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Web publications\"/>
    </mc:Choice>
  </mc:AlternateContent>
  <xr:revisionPtr revIDLastSave="0" documentId="8_{1694AE49-3419-41B6-8042-C6CF08AF03FF}" xr6:coauthVersionLast="46" xr6:coauthVersionMax="46" xr10:uidLastSave="{00000000-0000-0000-0000-000000000000}"/>
  <bookViews>
    <workbookView xWindow="-98" yWindow="-98" windowWidth="20715" windowHeight="13276" tabRatio="893"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2.3 Resilience Interface" sheetId="80" r:id="rId9"/>
    <sheet name="3.1 TO_Totex" sheetId="65" r:id="rId10"/>
    <sheet name="3.2 SO_Totex" sheetId="75" r:id="rId11"/>
    <sheet name="3.3 Allowances" sheetId="132" r:id="rId12"/>
    <sheet name="3.4 Totex_Summary" sheetId="155" r:id="rId13"/>
    <sheet name="3.5 Forecast_Totex" sheetId="177"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189" r:id="rId21"/>
    <sheet name="4.8 SO PT " sheetId="190"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5.1 TO_Indirects" sheetId="63" r:id="rId29"/>
    <sheet name="5.2 SO_Indirects" sheetId="72" r:id="rId30"/>
    <sheet name="5.3 TO_Direct_Opex" sheetId="73" r:id="rId31"/>
    <sheet name="5.4 SO_Direct_Opex" sheetId="76" r:id="rId32"/>
    <sheet name="5.5 Cost_Movements" sheetId="67" r:id="rId33"/>
    <sheet name="5.6 Quarry_Loss_CV" sheetId="61" r:id="rId34"/>
    <sheet name="5.7 PSUP_Opex" sheetId="62" r:id="rId35"/>
    <sheet name="3.9 Related_Party" sheetId="70" state="hidden" r:id="rId36"/>
    <sheet name="5.8 Provisions" sheetId="69" r:id="rId37"/>
    <sheet name="5.9 Bus_Sup_Alloc" sheetId="71" r:id="rId38"/>
    <sheet name="6.1_Capex_summary" sheetId="81" r:id="rId39"/>
    <sheet name="6.2_Projects" sheetId="95" r:id="rId40"/>
    <sheet name="6.3 Asset_Health" sheetId="118" r:id="rId41"/>
    <sheet name="6.4 Asset Health_Projects" sheetId="83" r:id="rId42"/>
    <sheet name="6.5 Redundant_Assets" sheetId="78" r:id="rId43"/>
    <sheet name="6.6 PSUP_Capex" sheetId="98" r:id="rId44"/>
    <sheet name="6.7 TO_NonOp_Capex" sheetId="64" r:id="rId45"/>
    <sheet name="6.8 SO_NonOp_Capex" sheetId="74" r:id="rId46"/>
    <sheet name="7.1_Pipeline_data" sheetId="90" r:id="rId47"/>
    <sheet name="7.2_Activity_Ind" sheetId="88" r:id="rId48"/>
    <sheet name="7.3_Peak_Demand" sheetId="94" r:id="rId49"/>
    <sheet name="7.4_Demand_Perf" sheetId="91" r:id="rId50"/>
    <sheet name="7.5_Compressor_Util_Perf" sheetId="92" r:id="rId51"/>
    <sheet name="7.6_Compressor_Assets" sheetId="96" r:id="rId52"/>
    <sheet name="7.7_Emissions" sheetId="93" r:id="rId53"/>
    <sheet name="7.8 Asset_data" sheetId="154" r:id="rId54"/>
    <sheet name="7.8_Forecast_Scenarios" sheetId="89" r:id="rId55"/>
    <sheet name="8.1_Satisfacton_Survey" sheetId="131" r:id="rId56"/>
    <sheet name="8.2 BCF" sheetId="174" r:id="rId57"/>
    <sheet name="8.3 Environmental Scorecard" sheetId="176" r:id="rId58"/>
    <sheet name="8.4 Gas_contraints" sheetId="115" r:id="rId59"/>
    <sheet name="8.5 Gas_contraint_events" sheetId="116" r:id="rId60"/>
    <sheet name="8.6 NIA" sheetId="178" r:id="rId61"/>
    <sheet name="8.7 NIC" sheetId="179" r:id="rId62"/>
    <sheet name="8.8 CNIA" sheetId="180" r:id="rId63"/>
    <sheet name="8.9 SIF" sheetId="181" r:id="rId64"/>
    <sheet name="8.10 Pipeline Log" sheetId="138" r:id="rId65"/>
    <sheet name="9.1_Operating_margins" sheetId="141" r:id="rId66"/>
    <sheet name="9.2_NTS_shrinkage" sheetId="142" r:id="rId67"/>
    <sheet name="9.3_NTS_Shrinkage_(prompt)" sheetId="143" r:id="rId68"/>
    <sheet name="9.4_NTS_Shrinkage_(gas_trades)" sheetId="144" r:id="rId69"/>
    <sheet name="9.5_NTS_Shrinkage_(elec_trades)" sheetId="145" r:id="rId70"/>
    <sheet name="9.6_Res_Bal_Data" sheetId="146" r:id="rId71"/>
    <sheet name="9.7_DF_Overview" sheetId="147" r:id="rId72"/>
    <sheet name="9.8_DF_Adjustment" sheetId="148" r:id="rId73"/>
    <sheet name="9.9_DF_D2D5_Data" sheetId="149" r:id="rId74"/>
    <sheet name="9.10_GHG_Incentive revenue" sheetId="150" r:id="rId75"/>
    <sheet name="9.11_GHG_Venting_data" sheetId="151" r:id="rId76"/>
    <sheet name="9.12_Maintenance_IR" sheetId="152" r:id="rId77"/>
  </sheets>
  <externalReferences>
    <externalReference r:id="rId78"/>
    <externalReference r:id="rId79"/>
    <externalReference r:id="rId80"/>
    <externalReference r:id="rId81"/>
    <externalReference r:id="rId82"/>
  </externalReferences>
  <definedNames>
    <definedName name="________hom1" localSheetId="40" hidden="1">{#N/A,#N/A,FALSE,"Assessment";#N/A,#N/A,FALSE,"Staffing";#N/A,#N/A,FALSE,"Hires";#N/A,#N/A,FALSE,"Assumptions"}</definedName>
    <definedName name="________hom1" localSheetId="57" hidden="1">{#N/A,#N/A,FALSE,"Assessment";#N/A,#N/A,FALSE,"Staffing";#N/A,#N/A,FALSE,"Hires";#N/A,#N/A,FALSE,"Assumptions"}</definedName>
    <definedName name="________hom1" hidden="1">{#N/A,#N/A,FALSE,"Assessment";#N/A,#N/A,FALSE,"Staffing";#N/A,#N/A,FALSE,"Hires";#N/A,#N/A,FALSE,"Assumptions"}</definedName>
    <definedName name="________hom1_1" hidden="1">{#N/A,#N/A,FALSE,"Assessment";#N/A,#N/A,FALSE,"Staffing";#N/A,#N/A,FALSE,"Hires";#N/A,#N/A,FALSE,"Assumptions"}</definedName>
    <definedName name="________hom1_2" hidden="1">{#N/A,#N/A,FALSE,"Assessment";#N/A,#N/A,FALSE,"Staffing";#N/A,#N/A,FALSE,"Hires";#N/A,#N/A,FALSE,"Assumptions"}</definedName>
    <definedName name="________hom1_3" hidden="1">{#N/A,#N/A,FALSE,"Assessment";#N/A,#N/A,FALSE,"Staffing";#N/A,#N/A,FALSE,"Hires";#N/A,#N/A,FALSE,"Assumptions"}</definedName>
    <definedName name="________hom1_4" hidden="1">{#N/A,#N/A,FALSE,"Assessment";#N/A,#N/A,FALSE,"Staffing";#N/A,#N/A,FALSE,"Hires";#N/A,#N/A,FALSE,"Assumptions"}</definedName>
    <definedName name="________k1" localSheetId="40" hidden="1">{#N/A,#N/A,FALSE,"Assessment";#N/A,#N/A,FALSE,"Staffing";#N/A,#N/A,FALSE,"Hires";#N/A,#N/A,FALSE,"Assumptions"}</definedName>
    <definedName name="________k1" localSheetId="57" hidden="1">{#N/A,#N/A,FALSE,"Assessment";#N/A,#N/A,FALSE,"Staffing";#N/A,#N/A,FALSE,"Hires";#N/A,#N/A,FALSE,"Assumptions"}</definedName>
    <definedName name="________k1" hidden="1">{#N/A,#N/A,FALSE,"Assessment";#N/A,#N/A,FALSE,"Staffing";#N/A,#N/A,FALSE,"Hires";#N/A,#N/A,FALSE,"Assumptions"}</definedName>
    <definedName name="________k1_1" hidden="1">{#N/A,#N/A,FALSE,"Assessment";#N/A,#N/A,FALSE,"Staffing";#N/A,#N/A,FALSE,"Hires";#N/A,#N/A,FALSE,"Assumptions"}</definedName>
    <definedName name="________k1_2" hidden="1">{#N/A,#N/A,FALSE,"Assessment";#N/A,#N/A,FALSE,"Staffing";#N/A,#N/A,FALSE,"Hires";#N/A,#N/A,FALSE,"Assumptions"}</definedName>
    <definedName name="________k1_3" hidden="1">{#N/A,#N/A,FALSE,"Assessment";#N/A,#N/A,FALSE,"Staffing";#N/A,#N/A,FALSE,"Hires";#N/A,#N/A,FALSE,"Assumptions"}</definedName>
    <definedName name="________k1_4" hidden="1">{#N/A,#N/A,FALSE,"Assessment";#N/A,#N/A,FALSE,"Staffing";#N/A,#N/A,FALSE,"Hires";#N/A,#N/A,FALSE,"Assumptions"}</definedName>
    <definedName name="________kk1" localSheetId="40" hidden="1">{#N/A,#N/A,FALSE,"Assessment";#N/A,#N/A,FALSE,"Staffing";#N/A,#N/A,FALSE,"Hires";#N/A,#N/A,FALSE,"Assumptions"}</definedName>
    <definedName name="________kk1" localSheetId="57" hidden="1">{#N/A,#N/A,FALSE,"Assessment";#N/A,#N/A,FALSE,"Staffing";#N/A,#N/A,FALSE,"Hires";#N/A,#N/A,FALSE,"Assumptions"}</definedName>
    <definedName name="________kk1" hidden="1">{#N/A,#N/A,FALSE,"Assessment";#N/A,#N/A,FALSE,"Staffing";#N/A,#N/A,FALSE,"Hires";#N/A,#N/A,FALSE,"Assumptions"}</definedName>
    <definedName name="________kk1_1" hidden="1">{#N/A,#N/A,FALSE,"Assessment";#N/A,#N/A,FALSE,"Staffing";#N/A,#N/A,FALSE,"Hires";#N/A,#N/A,FALSE,"Assumptions"}</definedName>
    <definedName name="________kk1_2" hidden="1">{#N/A,#N/A,FALSE,"Assessment";#N/A,#N/A,FALSE,"Staffing";#N/A,#N/A,FALSE,"Hires";#N/A,#N/A,FALSE,"Assumptions"}</definedName>
    <definedName name="________kk1_3" hidden="1">{#N/A,#N/A,FALSE,"Assessment";#N/A,#N/A,FALSE,"Staffing";#N/A,#N/A,FALSE,"Hires";#N/A,#N/A,FALSE,"Assumptions"}</definedName>
    <definedName name="________kk1_4" hidden="1">{#N/A,#N/A,FALSE,"Assessment";#N/A,#N/A,FALSE,"Staffing";#N/A,#N/A,FALSE,"Hires";#N/A,#N/A,FALSE,"Assumptions"}</definedName>
    <definedName name="________KKK1" localSheetId="40" hidden="1">{#N/A,#N/A,FALSE,"Assessment";#N/A,#N/A,FALSE,"Staffing";#N/A,#N/A,FALSE,"Hires";#N/A,#N/A,FALSE,"Assumptions"}</definedName>
    <definedName name="________KKK1" localSheetId="57" hidden="1">{#N/A,#N/A,FALSE,"Assessment";#N/A,#N/A,FALSE,"Staffing";#N/A,#N/A,FALSE,"Hires";#N/A,#N/A,FALSE,"Assumptions"}</definedName>
    <definedName name="________KKK1" hidden="1">{#N/A,#N/A,FALSE,"Assessment";#N/A,#N/A,FALSE,"Staffing";#N/A,#N/A,FALSE,"Hires";#N/A,#N/A,FALSE,"Assumptions"}</definedName>
    <definedName name="________KKK1_1" hidden="1">{#N/A,#N/A,FALSE,"Assessment";#N/A,#N/A,FALSE,"Staffing";#N/A,#N/A,FALSE,"Hires";#N/A,#N/A,FALSE,"Assumptions"}</definedName>
    <definedName name="________KKK1_2" hidden="1">{#N/A,#N/A,FALSE,"Assessment";#N/A,#N/A,FALSE,"Staffing";#N/A,#N/A,FALSE,"Hires";#N/A,#N/A,FALSE,"Assumptions"}</definedName>
    <definedName name="________KKK1_3" hidden="1">{#N/A,#N/A,FALSE,"Assessment";#N/A,#N/A,FALSE,"Staffing";#N/A,#N/A,FALSE,"Hires";#N/A,#N/A,FALSE,"Assumptions"}</definedName>
    <definedName name="________KKK1_4" hidden="1">{#N/A,#N/A,FALSE,"Assessment";#N/A,#N/A,FALSE,"Staffing";#N/A,#N/A,FALSE,"Hires";#N/A,#N/A,FALSE,"Assumptions"}</definedName>
    <definedName name="________w2" localSheetId="40"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40"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40" hidden="1">{"holdco",#N/A,FALSE,"Summary Financials";"holdco",#N/A,FALSE,"Summary Financials"}</definedName>
    <definedName name="________wr9" localSheetId="57" hidden="1">{"holdco",#N/A,FALSE,"Summary Financials";"holdco",#N/A,FALSE,"Summary Financials"}</definedName>
    <definedName name="________wr9" hidden="1">{"holdco",#N/A,FALSE,"Summary Financials";"holdco",#N/A,FALSE,"Summary Financials"}</definedName>
    <definedName name="________wr9_1" hidden="1">{"holdco",#N/A,FALSE,"Summary Financials";"holdco",#N/A,FALSE,"Summary Financials"}</definedName>
    <definedName name="________wr9_2" hidden="1">{"holdco",#N/A,FALSE,"Summary Financials";"holdco",#N/A,FALSE,"Summary Financials"}</definedName>
    <definedName name="________wr9_3" hidden="1">{"holdco",#N/A,FALSE,"Summary Financials";"holdco",#N/A,FALSE,"Summary Financials"}</definedName>
    <definedName name="________wr9_4" hidden="1">{"holdco",#N/A,FALSE,"Summary Financials";"holdco",#N/A,FALSE,"Summary Financials"}</definedName>
    <definedName name="________wrn1" localSheetId="40" hidden="1">{"holdco",#N/A,FALSE,"Summary Financials";"holdco",#N/A,FALSE,"Summary Financials"}</definedName>
    <definedName name="________wrn1" localSheetId="57" hidden="1">{"holdco",#N/A,FALSE,"Summary Financials";"holdco",#N/A,FALSE,"Summary Financials"}</definedName>
    <definedName name="________wrn1" hidden="1">{"holdco",#N/A,FALSE,"Summary Financials";"holdco",#N/A,FALSE,"Summary Financials"}</definedName>
    <definedName name="________wrn1_1" hidden="1">{"holdco",#N/A,FALSE,"Summary Financials";"holdco",#N/A,FALSE,"Summary Financials"}</definedName>
    <definedName name="________wrn1_2" hidden="1">{"holdco",#N/A,FALSE,"Summary Financials";"holdco",#N/A,FALSE,"Summary Financials"}</definedName>
    <definedName name="________wrn1_3" hidden="1">{"holdco",#N/A,FALSE,"Summary Financials";"holdco",#N/A,FALSE,"Summary Financials"}</definedName>
    <definedName name="________wrn1_4" hidden="1">{"holdco",#N/A,FALSE,"Summary Financials";"holdco",#N/A,FALSE,"Summary Financials"}</definedName>
    <definedName name="________wrn2" localSheetId="40" hidden="1">{"holdco",#N/A,FALSE,"Summary Financials";"holdco",#N/A,FALSE,"Summary Financials"}</definedName>
    <definedName name="________wrn2" localSheetId="57" hidden="1">{"holdco",#N/A,FALSE,"Summary Financials";"holdco",#N/A,FALSE,"Summary Financials"}</definedName>
    <definedName name="________wrn2" hidden="1">{"holdco",#N/A,FALSE,"Summary Financials";"holdco",#N/A,FALSE,"Summary Financials"}</definedName>
    <definedName name="________wrn2_1" hidden="1">{"holdco",#N/A,FALSE,"Summary Financials";"holdco",#N/A,FALSE,"Summary Financials"}</definedName>
    <definedName name="________wrn2_2" hidden="1">{"holdco",#N/A,FALSE,"Summary Financials";"holdco",#N/A,FALSE,"Summary Financials"}</definedName>
    <definedName name="________wrn2_3" hidden="1">{"holdco",#N/A,FALSE,"Summary Financials";"holdco",#N/A,FALSE,"Summary Financials"}</definedName>
    <definedName name="________wrn2_4" hidden="1">{"holdco",#N/A,FALSE,"Summary Financials";"holdco",#N/A,FALSE,"Summary Financials"}</definedName>
    <definedName name="________wrn3" localSheetId="40" hidden="1">{"holdco",#N/A,FALSE,"Summary Financials";"holdco",#N/A,FALSE,"Summary Financials"}</definedName>
    <definedName name="________wrn3" localSheetId="57" hidden="1">{"holdco",#N/A,FALSE,"Summary Financials";"holdco",#N/A,FALSE,"Summary Financials"}</definedName>
    <definedName name="________wrn3" hidden="1">{"holdco",#N/A,FALSE,"Summary Financials";"holdco",#N/A,FALSE,"Summary Financials"}</definedName>
    <definedName name="________wrn3_1" hidden="1">{"holdco",#N/A,FALSE,"Summary Financials";"holdco",#N/A,FALSE,"Summary Financials"}</definedName>
    <definedName name="________wrn3_2" hidden="1">{"holdco",#N/A,FALSE,"Summary Financials";"holdco",#N/A,FALSE,"Summary Financials"}</definedName>
    <definedName name="________wrn3_3" hidden="1">{"holdco",#N/A,FALSE,"Summary Financials";"holdco",#N/A,FALSE,"Summary Financials"}</definedName>
    <definedName name="________wrn3_4" hidden="1">{"holdco",#N/A,FALSE,"Summary Financials";"holdco",#N/A,FALSE,"Summary Financials"}</definedName>
    <definedName name="________wrn7" localSheetId="40"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40" hidden="1">{"holdco",#N/A,FALSE,"Summary Financials";"holdco",#N/A,FALSE,"Summary Financials"}</definedName>
    <definedName name="________wrn8" localSheetId="57" hidden="1">{"holdco",#N/A,FALSE,"Summary Financials";"holdco",#N/A,FALSE,"Summary Financials"}</definedName>
    <definedName name="________wrn8" hidden="1">{"holdco",#N/A,FALSE,"Summary Financials";"holdco",#N/A,FALSE,"Summary Financials"}</definedName>
    <definedName name="________wrn8_1" hidden="1">{"holdco",#N/A,FALSE,"Summary Financials";"holdco",#N/A,FALSE,"Summary Financials"}</definedName>
    <definedName name="________wrn8_2" hidden="1">{"holdco",#N/A,FALSE,"Summary Financials";"holdco",#N/A,FALSE,"Summary Financials"}</definedName>
    <definedName name="________wrn8_3" hidden="1">{"holdco",#N/A,FALSE,"Summary Financials";"holdco",#N/A,FALSE,"Summary Financials"}</definedName>
    <definedName name="________wrn8_4" hidden="1">{"holdco",#N/A,FALSE,"Summary Financials";"holdco",#N/A,FALSE,"Summary Financials"}</definedName>
    <definedName name="_______bb2" localSheetId="40" hidden="1">{#N/A,#N/A,FALSE,"PRJCTED MNTHLY QTY's"}</definedName>
    <definedName name="_______bb2" localSheetId="57" hidden="1">{#N/A,#N/A,FALSE,"PRJCTED MNTHLY QTY's"}</definedName>
    <definedName name="_______bb2" hidden="1">{#N/A,#N/A,FALSE,"PRJCTED MNTHLY QTY's"}</definedName>
    <definedName name="_______bb2_1" hidden="1">{#N/A,#N/A,FALSE,"PRJCTED MNTHLY QTY's"}</definedName>
    <definedName name="_______bb2_2" hidden="1">{#N/A,#N/A,FALSE,"PRJCTED MNTHLY QTY's"}</definedName>
    <definedName name="_______bb2_3" hidden="1">{#N/A,#N/A,FALSE,"PRJCTED MNTHLY QTY's"}</definedName>
    <definedName name="_______bb2_4" hidden="1">{#N/A,#N/A,FALSE,"PRJCTED MNTHLY QTY's"}</definedName>
    <definedName name="_______Lee5" localSheetId="40" hidden="1">{#VALUE!,#N/A,FALSE,0}</definedName>
    <definedName name="_______Lee5" localSheetId="57" hidden="1">{#VALUE!,#N/A,FALSE,0}</definedName>
    <definedName name="_______Lee5" hidden="1">{#VALUE!,#N/A,FALSE,0}</definedName>
    <definedName name="_______Lee5_1" hidden="1">{#VALUE!,#N/A,FALSE,0}</definedName>
    <definedName name="_______Lee5_2" hidden="1">{#VALUE!,#N/A,FALSE,0}</definedName>
    <definedName name="_______Lee5_3" hidden="1">{#VALUE!,#N/A,FALSE,0}</definedName>
    <definedName name="_______Lee5_4" hidden="1">{#VALUE!,#N/A,FALSE,0}</definedName>
    <definedName name="______hom1" localSheetId="40" hidden="1">{#N/A,#N/A,FALSE,"Assessment";#N/A,#N/A,FALSE,"Staffing";#N/A,#N/A,FALSE,"Hires";#N/A,#N/A,FALSE,"Assumptions"}</definedName>
    <definedName name="______hom1" localSheetId="57" hidden="1">{#N/A,#N/A,FALSE,"Assessment";#N/A,#N/A,FALSE,"Staffing";#N/A,#N/A,FALSE,"Hires";#N/A,#N/A,FALSE,"Assumptions"}</definedName>
    <definedName name="______hom1" hidden="1">{#N/A,#N/A,FALSE,"Assessment";#N/A,#N/A,FALSE,"Staffing";#N/A,#N/A,FALSE,"Hires";#N/A,#N/A,FALSE,"Assumptions"}</definedName>
    <definedName name="______hom1_1" hidden="1">{#N/A,#N/A,FALSE,"Assessment";#N/A,#N/A,FALSE,"Staffing";#N/A,#N/A,FALSE,"Hires";#N/A,#N/A,FALSE,"Assumptions"}</definedName>
    <definedName name="______hom1_2" hidden="1">{#N/A,#N/A,FALSE,"Assessment";#N/A,#N/A,FALSE,"Staffing";#N/A,#N/A,FALSE,"Hires";#N/A,#N/A,FALSE,"Assumptions"}</definedName>
    <definedName name="______hom1_3" hidden="1">{#N/A,#N/A,FALSE,"Assessment";#N/A,#N/A,FALSE,"Staffing";#N/A,#N/A,FALSE,"Hires";#N/A,#N/A,FALSE,"Assumptions"}</definedName>
    <definedName name="______hom1_4" hidden="1">{#N/A,#N/A,FALSE,"Assessment";#N/A,#N/A,FALSE,"Staffing";#N/A,#N/A,FALSE,"Hires";#N/A,#N/A,FALSE,"Assumptions"}</definedName>
    <definedName name="______k1" localSheetId="40" hidden="1">{#N/A,#N/A,FALSE,"Assessment";#N/A,#N/A,FALSE,"Staffing";#N/A,#N/A,FALSE,"Hires";#N/A,#N/A,FALSE,"Assumptions"}</definedName>
    <definedName name="______k1" localSheetId="57" hidden="1">{#N/A,#N/A,FALSE,"Assessment";#N/A,#N/A,FALSE,"Staffing";#N/A,#N/A,FALSE,"Hires";#N/A,#N/A,FALSE,"Assumptions"}</definedName>
    <definedName name="______k1" hidden="1">{#N/A,#N/A,FALSE,"Assessment";#N/A,#N/A,FALSE,"Staffing";#N/A,#N/A,FALSE,"Hires";#N/A,#N/A,FALSE,"Assumptions"}</definedName>
    <definedName name="______k1_1" hidden="1">{#N/A,#N/A,FALSE,"Assessment";#N/A,#N/A,FALSE,"Staffing";#N/A,#N/A,FALSE,"Hires";#N/A,#N/A,FALSE,"Assumptions"}</definedName>
    <definedName name="______k1_2" hidden="1">{#N/A,#N/A,FALSE,"Assessment";#N/A,#N/A,FALSE,"Staffing";#N/A,#N/A,FALSE,"Hires";#N/A,#N/A,FALSE,"Assumptions"}</definedName>
    <definedName name="______k1_3" hidden="1">{#N/A,#N/A,FALSE,"Assessment";#N/A,#N/A,FALSE,"Staffing";#N/A,#N/A,FALSE,"Hires";#N/A,#N/A,FALSE,"Assumptions"}</definedName>
    <definedName name="______k1_4" hidden="1">{#N/A,#N/A,FALSE,"Assessment";#N/A,#N/A,FALSE,"Staffing";#N/A,#N/A,FALSE,"Hires";#N/A,#N/A,FALSE,"Assumptions"}</definedName>
    <definedName name="______kk1" localSheetId="40" hidden="1">{#N/A,#N/A,FALSE,"Assessment";#N/A,#N/A,FALSE,"Staffing";#N/A,#N/A,FALSE,"Hires";#N/A,#N/A,FALSE,"Assumptions"}</definedName>
    <definedName name="______kk1" localSheetId="57" hidden="1">{#N/A,#N/A,FALSE,"Assessment";#N/A,#N/A,FALSE,"Staffing";#N/A,#N/A,FALSE,"Hires";#N/A,#N/A,FALSE,"Assumptions"}</definedName>
    <definedName name="______kk1" hidden="1">{#N/A,#N/A,FALSE,"Assessment";#N/A,#N/A,FALSE,"Staffing";#N/A,#N/A,FALSE,"Hires";#N/A,#N/A,FALSE,"Assumptions"}</definedName>
    <definedName name="______kk1_1" hidden="1">{#N/A,#N/A,FALSE,"Assessment";#N/A,#N/A,FALSE,"Staffing";#N/A,#N/A,FALSE,"Hires";#N/A,#N/A,FALSE,"Assumptions"}</definedName>
    <definedName name="______kk1_2" hidden="1">{#N/A,#N/A,FALSE,"Assessment";#N/A,#N/A,FALSE,"Staffing";#N/A,#N/A,FALSE,"Hires";#N/A,#N/A,FALSE,"Assumptions"}</definedName>
    <definedName name="______kk1_3" hidden="1">{#N/A,#N/A,FALSE,"Assessment";#N/A,#N/A,FALSE,"Staffing";#N/A,#N/A,FALSE,"Hires";#N/A,#N/A,FALSE,"Assumptions"}</definedName>
    <definedName name="______kk1_4" hidden="1">{#N/A,#N/A,FALSE,"Assessment";#N/A,#N/A,FALSE,"Staffing";#N/A,#N/A,FALSE,"Hires";#N/A,#N/A,FALSE,"Assumptions"}</definedName>
    <definedName name="______KKK1" localSheetId="40" hidden="1">{#N/A,#N/A,FALSE,"Assessment";#N/A,#N/A,FALSE,"Staffing";#N/A,#N/A,FALSE,"Hires";#N/A,#N/A,FALSE,"Assumptions"}</definedName>
    <definedName name="______KKK1" localSheetId="57" hidden="1">{#N/A,#N/A,FALSE,"Assessment";#N/A,#N/A,FALSE,"Staffing";#N/A,#N/A,FALSE,"Hires";#N/A,#N/A,FALSE,"Assumptions"}</definedName>
    <definedName name="______KKK1" hidden="1">{#N/A,#N/A,FALSE,"Assessment";#N/A,#N/A,FALSE,"Staffing";#N/A,#N/A,FALSE,"Hires";#N/A,#N/A,FALSE,"Assumptions"}</definedName>
    <definedName name="______KKK1_1" hidden="1">{#N/A,#N/A,FALSE,"Assessment";#N/A,#N/A,FALSE,"Staffing";#N/A,#N/A,FALSE,"Hires";#N/A,#N/A,FALSE,"Assumptions"}</definedName>
    <definedName name="______KKK1_2" hidden="1">{#N/A,#N/A,FALSE,"Assessment";#N/A,#N/A,FALSE,"Staffing";#N/A,#N/A,FALSE,"Hires";#N/A,#N/A,FALSE,"Assumptions"}</definedName>
    <definedName name="______KKK1_3" hidden="1">{#N/A,#N/A,FALSE,"Assessment";#N/A,#N/A,FALSE,"Staffing";#N/A,#N/A,FALSE,"Hires";#N/A,#N/A,FALSE,"Assumptions"}</definedName>
    <definedName name="______KKK1_4" hidden="1">{#N/A,#N/A,FALSE,"Assessment";#N/A,#N/A,FALSE,"Staffing";#N/A,#N/A,FALSE,"Hires";#N/A,#N/A,FALSE,"Assumptions"}</definedName>
    <definedName name="______w2" localSheetId="40"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40"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40" hidden="1">{"holdco",#N/A,FALSE,"Summary Financials";"holdco",#N/A,FALSE,"Summary Financials"}</definedName>
    <definedName name="______wr9" localSheetId="57" hidden="1">{"holdco",#N/A,FALSE,"Summary Financials";"holdco",#N/A,FALSE,"Summary Financials"}</definedName>
    <definedName name="______wr9" hidden="1">{"holdco",#N/A,FALSE,"Summary Financials";"holdco",#N/A,FALSE,"Summary Financials"}</definedName>
    <definedName name="______wr9_1" hidden="1">{"holdco",#N/A,FALSE,"Summary Financials";"holdco",#N/A,FALSE,"Summary Financials"}</definedName>
    <definedName name="______wr9_2" hidden="1">{"holdco",#N/A,FALSE,"Summary Financials";"holdco",#N/A,FALSE,"Summary Financials"}</definedName>
    <definedName name="______wr9_3" hidden="1">{"holdco",#N/A,FALSE,"Summary Financials";"holdco",#N/A,FALSE,"Summary Financials"}</definedName>
    <definedName name="______wr9_4" hidden="1">{"holdco",#N/A,FALSE,"Summary Financials";"holdco",#N/A,FALSE,"Summary Financials"}</definedName>
    <definedName name="______wrn1" localSheetId="40" hidden="1">{"holdco",#N/A,FALSE,"Summary Financials";"holdco",#N/A,FALSE,"Summary Financials"}</definedName>
    <definedName name="______wrn1" localSheetId="57" hidden="1">{"holdco",#N/A,FALSE,"Summary Financials";"holdco",#N/A,FALSE,"Summary Financials"}</definedName>
    <definedName name="______wrn1" hidden="1">{"holdco",#N/A,FALSE,"Summary Financials";"holdco",#N/A,FALSE,"Summary Financials"}</definedName>
    <definedName name="______wrn1_1" hidden="1">{"holdco",#N/A,FALSE,"Summary Financials";"holdco",#N/A,FALSE,"Summary Financials"}</definedName>
    <definedName name="______wrn1_2" hidden="1">{"holdco",#N/A,FALSE,"Summary Financials";"holdco",#N/A,FALSE,"Summary Financials"}</definedName>
    <definedName name="______wrn1_3" hidden="1">{"holdco",#N/A,FALSE,"Summary Financials";"holdco",#N/A,FALSE,"Summary Financials"}</definedName>
    <definedName name="______wrn1_4" hidden="1">{"holdco",#N/A,FALSE,"Summary Financials";"holdco",#N/A,FALSE,"Summary Financials"}</definedName>
    <definedName name="______wrn2" localSheetId="40" hidden="1">{"holdco",#N/A,FALSE,"Summary Financials";"holdco",#N/A,FALSE,"Summary Financials"}</definedName>
    <definedName name="______wrn2" localSheetId="57" hidden="1">{"holdco",#N/A,FALSE,"Summary Financials";"holdco",#N/A,FALSE,"Summary Financials"}</definedName>
    <definedName name="______wrn2" hidden="1">{"holdco",#N/A,FALSE,"Summary Financials";"holdco",#N/A,FALSE,"Summary Financials"}</definedName>
    <definedName name="______wrn2_1" hidden="1">{"holdco",#N/A,FALSE,"Summary Financials";"holdco",#N/A,FALSE,"Summary Financials"}</definedName>
    <definedName name="______wrn2_2" hidden="1">{"holdco",#N/A,FALSE,"Summary Financials";"holdco",#N/A,FALSE,"Summary Financials"}</definedName>
    <definedName name="______wrn2_3" hidden="1">{"holdco",#N/A,FALSE,"Summary Financials";"holdco",#N/A,FALSE,"Summary Financials"}</definedName>
    <definedName name="______wrn2_4" hidden="1">{"holdco",#N/A,FALSE,"Summary Financials";"holdco",#N/A,FALSE,"Summary Financials"}</definedName>
    <definedName name="______wrn3" localSheetId="40" hidden="1">{"holdco",#N/A,FALSE,"Summary Financials";"holdco",#N/A,FALSE,"Summary Financials"}</definedName>
    <definedName name="______wrn3" localSheetId="57" hidden="1">{"holdco",#N/A,FALSE,"Summary Financials";"holdco",#N/A,FALSE,"Summary Financials"}</definedName>
    <definedName name="______wrn3" hidden="1">{"holdco",#N/A,FALSE,"Summary Financials";"holdco",#N/A,FALSE,"Summary Financials"}</definedName>
    <definedName name="______wrn3_1" hidden="1">{"holdco",#N/A,FALSE,"Summary Financials";"holdco",#N/A,FALSE,"Summary Financials"}</definedName>
    <definedName name="______wrn3_2" hidden="1">{"holdco",#N/A,FALSE,"Summary Financials";"holdco",#N/A,FALSE,"Summary Financials"}</definedName>
    <definedName name="______wrn3_3" hidden="1">{"holdco",#N/A,FALSE,"Summary Financials";"holdco",#N/A,FALSE,"Summary Financials"}</definedName>
    <definedName name="______wrn3_4" hidden="1">{"holdco",#N/A,FALSE,"Summary Financials";"holdco",#N/A,FALSE,"Summary Financials"}</definedName>
    <definedName name="______wrn7" localSheetId="40"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40" hidden="1">{"holdco",#N/A,FALSE,"Summary Financials";"holdco",#N/A,FALSE,"Summary Financials"}</definedName>
    <definedName name="______wrn8" localSheetId="57" hidden="1">{"holdco",#N/A,FALSE,"Summary Financials";"holdco",#N/A,FALSE,"Summary Financials"}</definedName>
    <definedName name="______wrn8" hidden="1">{"holdco",#N/A,FALSE,"Summary Financials";"holdco",#N/A,FALSE,"Summary Financials"}</definedName>
    <definedName name="______wrn8_1" hidden="1">{"holdco",#N/A,FALSE,"Summary Financials";"holdco",#N/A,FALSE,"Summary Financials"}</definedName>
    <definedName name="______wrn8_2" hidden="1">{"holdco",#N/A,FALSE,"Summary Financials";"holdco",#N/A,FALSE,"Summary Financials"}</definedName>
    <definedName name="______wrn8_3" hidden="1">{"holdco",#N/A,FALSE,"Summary Financials";"holdco",#N/A,FALSE,"Summary Financials"}</definedName>
    <definedName name="______wrn8_4" hidden="1">{"holdco",#N/A,FALSE,"Summary Financials";"holdco",#N/A,FALSE,"Summary Financials"}</definedName>
    <definedName name="_____KKK1" localSheetId="40" hidden="1">{#N/A,#N/A,FALSE,"Assessment";#N/A,#N/A,FALSE,"Staffing";#N/A,#N/A,FALSE,"Hires";#N/A,#N/A,FALSE,"Assumptions"}</definedName>
    <definedName name="_____KKK1" localSheetId="57" hidden="1">{#N/A,#N/A,FALSE,"Assessment";#N/A,#N/A,FALSE,"Staffing";#N/A,#N/A,FALSE,"Hires";#N/A,#N/A,FALSE,"Assumptions"}</definedName>
    <definedName name="_____KKK1" hidden="1">{#N/A,#N/A,FALSE,"Assessment";#N/A,#N/A,FALSE,"Staffing";#N/A,#N/A,FALSE,"Hires";#N/A,#N/A,FALSE,"Assumptions"}</definedName>
    <definedName name="_____KKK1_1" hidden="1">{#N/A,#N/A,FALSE,"Assessment";#N/A,#N/A,FALSE,"Staffing";#N/A,#N/A,FALSE,"Hires";#N/A,#N/A,FALSE,"Assumptions"}</definedName>
    <definedName name="_____KKK1_2" hidden="1">{#N/A,#N/A,FALSE,"Assessment";#N/A,#N/A,FALSE,"Staffing";#N/A,#N/A,FALSE,"Hires";#N/A,#N/A,FALSE,"Assumptions"}</definedName>
    <definedName name="_____KKK1_3" hidden="1">{#N/A,#N/A,FALSE,"Assessment";#N/A,#N/A,FALSE,"Staffing";#N/A,#N/A,FALSE,"Hires";#N/A,#N/A,FALSE,"Assumptions"}</definedName>
    <definedName name="_____KKK1_4" hidden="1">{#N/A,#N/A,FALSE,"Assessment";#N/A,#N/A,FALSE,"Staffing";#N/A,#N/A,FALSE,"Hires";#N/A,#N/A,FALSE,"Assumptions"}</definedName>
    <definedName name="_____wrn1" localSheetId="40" hidden="1">{"holdco",#N/A,FALSE,"Summary Financials";"holdco",#N/A,FALSE,"Summary Financials"}</definedName>
    <definedName name="_____wrn1" localSheetId="57" hidden="1">{"holdco",#N/A,FALSE,"Summary Financials";"holdco",#N/A,FALSE,"Summary Financials"}</definedName>
    <definedName name="_____wrn1" hidden="1">{"holdco",#N/A,FALSE,"Summary Financials";"holdco",#N/A,FALSE,"Summary Financials"}</definedName>
    <definedName name="_____wrn1_1" hidden="1">{"holdco",#N/A,FALSE,"Summary Financials";"holdco",#N/A,FALSE,"Summary Financials"}</definedName>
    <definedName name="_____wrn1_2" hidden="1">{"holdco",#N/A,FALSE,"Summary Financials";"holdco",#N/A,FALSE,"Summary Financials"}</definedName>
    <definedName name="_____wrn1_3" hidden="1">{"holdco",#N/A,FALSE,"Summary Financials";"holdco",#N/A,FALSE,"Summary Financials"}</definedName>
    <definedName name="_____wrn1_4" hidden="1">{"holdco",#N/A,FALSE,"Summary Financials";"holdco",#N/A,FALSE,"Summary Financials"}</definedName>
    <definedName name="_____wrn2" localSheetId="40" hidden="1">{"holdco",#N/A,FALSE,"Summary Financials";"holdco",#N/A,FALSE,"Summary Financials"}</definedName>
    <definedName name="_____wrn2" localSheetId="57" hidden="1">{"holdco",#N/A,FALSE,"Summary Financials";"holdco",#N/A,FALSE,"Summary Financials"}</definedName>
    <definedName name="_____wrn2" hidden="1">{"holdco",#N/A,FALSE,"Summary Financials";"holdco",#N/A,FALSE,"Summary Financials"}</definedName>
    <definedName name="_____wrn2_1" hidden="1">{"holdco",#N/A,FALSE,"Summary Financials";"holdco",#N/A,FALSE,"Summary Financials"}</definedName>
    <definedName name="_____wrn2_2" hidden="1">{"holdco",#N/A,FALSE,"Summary Financials";"holdco",#N/A,FALSE,"Summary Financials"}</definedName>
    <definedName name="_____wrn2_3" hidden="1">{"holdco",#N/A,FALSE,"Summary Financials";"holdco",#N/A,FALSE,"Summary Financials"}</definedName>
    <definedName name="_____wrn2_4" hidden="1">{"holdco",#N/A,FALSE,"Summary Financials";"holdco",#N/A,FALSE,"Summary Financials"}</definedName>
    <definedName name="_____wrn3" localSheetId="40" hidden="1">{"holdco",#N/A,FALSE,"Summary Financials";"holdco",#N/A,FALSE,"Summary Financials"}</definedName>
    <definedName name="_____wrn3" localSheetId="57" hidden="1">{"holdco",#N/A,FALSE,"Summary Financials";"holdco",#N/A,FALSE,"Summary Financials"}</definedName>
    <definedName name="_____wrn3" hidden="1">{"holdco",#N/A,FALSE,"Summary Financials";"holdco",#N/A,FALSE,"Summary Financials"}</definedName>
    <definedName name="_____wrn3_1" hidden="1">{"holdco",#N/A,FALSE,"Summary Financials";"holdco",#N/A,FALSE,"Summary Financials"}</definedName>
    <definedName name="_____wrn3_2" hidden="1">{"holdco",#N/A,FALSE,"Summary Financials";"holdco",#N/A,FALSE,"Summary Financials"}</definedName>
    <definedName name="_____wrn3_3" hidden="1">{"holdco",#N/A,FALSE,"Summary Financials";"holdco",#N/A,FALSE,"Summary Financials"}</definedName>
    <definedName name="_____wrn3_4" hidden="1">{"holdco",#N/A,FALSE,"Summary Financials";"holdco",#N/A,FALSE,"Summary Financials"}</definedName>
    <definedName name="_____wrn7" localSheetId="40"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40" hidden="1">{"holdco",#N/A,FALSE,"Summary Financials";"holdco",#N/A,FALSE,"Summary Financials"}</definedName>
    <definedName name="_____wrn8" localSheetId="57" hidden="1">{"holdco",#N/A,FALSE,"Summary Financials";"holdco",#N/A,FALSE,"Summary Financials"}</definedName>
    <definedName name="_____wrn8" hidden="1">{"holdco",#N/A,FALSE,"Summary Financials";"holdco",#N/A,FALSE,"Summary Financials"}</definedName>
    <definedName name="_____wrn8_1" hidden="1">{"holdco",#N/A,FALSE,"Summary Financials";"holdco",#N/A,FALSE,"Summary Financials"}</definedName>
    <definedName name="_____wrn8_2" hidden="1">{"holdco",#N/A,FALSE,"Summary Financials";"holdco",#N/A,FALSE,"Summary Financials"}</definedName>
    <definedName name="_____wrn8_3"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40" hidden="1">{#N/A,#N/A,FALSE,"Assessment";#N/A,#N/A,FALSE,"Staffing";#N/A,#N/A,FALSE,"Hires";#N/A,#N/A,FALSE,"Assumptions"}</definedName>
    <definedName name="__hom1" localSheetId="57" hidden="1">{#N/A,#N/A,FALSE,"Assessment";#N/A,#N/A,FALSE,"Staffing";#N/A,#N/A,FALSE,"Hires";#N/A,#N/A,FALSE,"Assumptions"}</definedName>
    <definedName name="__hom1" hidden="1">{#N/A,#N/A,FALSE,"Assessment";#N/A,#N/A,FALSE,"Staffing";#N/A,#N/A,FALSE,"Hires";#N/A,#N/A,FALSE,"Assumptions"}</definedName>
    <definedName name="__hom1_1" hidden="1">{#N/A,#N/A,FALSE,"Assessment";#N/A,#N/A,FALSE,"Staffing";#N/A,#N/A,FALSE,"Hires";#N/A,#N/A,FALSE,"Assumptions"}</definedName>
    <definedName name="__hom1_2" hidden="1">{#N/A,#N/A,FALSE,"Assessment";#N/A,#N/A,FALSE,"Staffing";#N/A,#N/A,FALSE,"Hires";#N/A,#N/A,FALSE,"Assumptions"}</definedName>
    <definedName name="__hom1_3"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40" hidden="1">{#N/A,#N/A,FALSE,"Assessment";#N/A,#N/A,FALSE,"Staffing";#N/A,#N/A,FALSE,"Hires";#N/A,#N/A,FALSE,"Assumptions"}</definedName>
    <definedName name="__kk1" localSheetId="57" hidden="1">{#N/A,#N/A,FALSE,"Assessment";#N/A,#N/A,FALSE,"Staffing";#N/A,#N/A,FALSE,"Hires";#N/A,#N/A,FALSE,"Assumptions"}</definedName>
    <definedName name="__kk1" hidden="1">{#N/A,#N/A,FALSE,"Assessment";#N/A,#N/A,FALSE,"Staffing";#N/A,#N/A,FALSE,"Hires";#N/A,#N/A,FALSE,"Assumptions"}</definedName>
    <definedName name="__kk1_1" hidden="1">{#N/A,#N/A,FALSE,"Assessment";#N/A,#N/A,FALSE,"Staffing";#N/A,#N/A,FALSE,"Hires";#N/A,#N/A,FALSE,"Assumptions"}</definedName>
    <definedName name="__kk1_2" hidden="1">{#N/A,#N/A,FALSE,"Assessment";#N/A,#N/A,FALSE,"Staffing";#N/A,#N/A,FALSE,"Hires";#N/A,#N/A,FALSE,"Assumptions"}</definedName>
    <definedName name="__kk1_3" hidden="1">{#N/A,#N/A,FALSE,"Assessment";#N/A,#N/A,FALSE,"Staffing";#N/A,#N/A,FALSE,"Hires";#N/A,#N/A,FALSE,"Assumptions"}</definedName>
    <definedName name="__kk1_4" hidden="1">{#N/A,#N/A,FALSE,"Assessment";#N/A,#N/A,FALSE,"Staffing";#N/A,#N/A,FALSE,"Hires";#N/A,#N/A,FALSE,"Assumptions"}</definedName>
    <definedName name="__KKK1" localSheetId="40" hidden="1">{#N/A,#N/A,FALSE,"Assessment";#N/A,#N/A,FALSE,"Staffing";#N/A,#N/A,FALSE,"Hires";#N/A,#N/A,FALSE,"Assumptions"}</definedName>
    <definedName name="__KKK1" localSheetId="57" hidden="1">{#N/A,#N/A,FALSE,"Assessment";#N/A,#N/A,FALSE,"Staffing";#N/A,#N/A,FALSE,"Hires";#N/A,#N/A,FALSE,"Assumptions"}</definedName>
    <definedName name="__KKK1" hidden="1">{#N/A,#N/A,FALSE,"Assessment";#N/A,#N/A,FALSE,"Staffing";#N/A,#N/A,FALSE,"Hires";#N/A,#N/A,FALSE,"Assumptions"}</definedName>
    <definedName name="__KKK1_1" hidden="1">{#N/A,#N/A,FALSE,"Assessment";#N/A,#N/A,FALSE,"Staffing";#N/A,#N/A,FALSE,"Hires";#N/A,#N/A,FALSE,"Assumptions"}</definedName>
    <definedName name="__KKK1_2" hidden="1">{#N/A,#N/A,FALSE,"Assessment";#N/A,#N/A,FALSE,"Staffing";#N/A,#N/A,FALSE,"Hires";#N/A,#N/A,FALSE,"Assumptions"}</definedName>
    <definedName name="__KKK1_3" hidden="1">{#N/A,#N/A,FALSE,"Assessment";#N/A,#N/A,FALSE,"Staffing";#N/A,#N/A,FALSE,"Hires";#N/A,#N/A,FALSE,"Assumptions"}</definedName>
    <definedName name="__KKK1_4" hidden="1">{#N/A,#N/A,FALSE,"Assessment";#N/A,#N/A,FALSE,"Staffing";#N/A,#N/A,FALSE,"Hires";#N/A,#N/A,FALSE,"Assumptions"}</definedName>
    <definedName name="__wrn1" localSheetId="40" hidden="1">{"holdco",#N/A,FALSE,"Summary Financials";"holdco",#N/A,FALSE,"Summary Financials"}</definedName>
    <definedName name="__wrn1" localSheetId="57" hidden="1">{"holdco",#N/A,FALSE,"Summary Financials";"holdco",#N/A,FALSE,"Summary Financials"}</definedName>
    <definedName name="__wrn1" hidden="1">{"holdco",#N/A,FALSE,"Summary Financials";"holdco",#N/A,FALSE,"Summary Financials"}</definedName>
    <definedName name="__wrn1_1" hidden="1">{"holdco",#N/A,FALSE,"Summary Financials";"holdco",#N/A,FALSE,"Summary Financials"}</definedName>
    <definedName name="__wrn1_2" hidden="1">{"holdco",#N/A,FALSE,"Summary Financials";"holdco",#N/A,FALSE,"Summary Financials"}</definedName>
    <definedName name="__wrn1_3" hidden="1">{"holdco",#N/A,FALSE,"Summary Financials";"holdco",#N/A,FALSE,"Summary Financials"}</definedName>
    <definedName name="__wrn1_4" hidden="1">{"holdco",#N/A,FALSE,"Summary Financials";"holdco",#N/A,FALSE,"Summary Financials"}</definedName>
    <definedName name="__wrn2" localSheetId="40" hidden="1">{"holdco",#N/A,FALSE,"Summary Financials";"holdco",#N/A,FALSE,"Summary Financials"}</definedName>
    <definedName name="__wrn2" localSheetId="57" hidden="1">{"holdco",#N/A,FALSE,"Summary Financials";"holdco",#N/A,FALSE,"Summary Financials"}</definedName>
    <definedName name="__wrn2" hidden="1">{"holdco",#N/A,FALSE,"Summary Financials";"holdco",#N/A,FALSE,"Summary Financials"}</definedName>
    <definedName name="__wrn2_1" hidden="1">{"holdco",#N/A,FALSE,"Summary Financials";"holdco",#N/A,FALSE,"Summary Financials"}</definedName>
    <definedName name="__wrn2_2" hidden="1">{"holdco",#N/A,FALSE,"Summary Financials";"holdco",#N/A,FALSE,"Summary Financials"}</definedName>
    <definedName name="__wrn2_3" hidden="1">{"holdco",#N/A,FALSE,"Summary Financials";"holdco",#N/A,FALSE,"Summary Financials"}</definedName>
    <definedName name="__wrn2_4" hidden="1">{"holdco",#N/A,FALSE,"Summary Financials";"holdco",#N/A,FALSE,"Summary Financials"}</definedName>
    <definedName name="__wrn3" localSheetId="40" hidden="1">{"holdco",#N/A,FALSE,"Summary Financials";"holdco",#N/A,FALSE,"Summary Financials"}</definedName>
    <definedName name="__wrn3" localSheetId="57" hidden="1">{"holdco",#N/A,FALSE,"Summary Financials";"holdco",#N/A,FALSE,"Summary Financials"}</definedName>
    <definedName name="__wrn3" hidden="1">{"holdco",#N/A,FALSE,"Summary Financials";"holdco",#N/A,FALSE,"Summary Financials"}</definedName>
    <definedName name="__wrn3_1" hidden="1">{"holdco",#N/A,FALSE,"Summary Financials";"holdco",#N/A,FALSE,"Summary Financials"}</definedName>
    <definedName name="__wrn3_2" hidden="1">{"holdco",#N/A,FALSE,"Summary Financials";"holdco",#N/A,FALSE,"Summary Financials"}</definedName>
    <definedName name="__wrn3_3" hidden="1">{"holdco",#N/A,FALSE,"Summary Financials";"holdco",#N/A,FALSE,"Summary Financials"}</definedName>
    <definedName name="__wrn3_4" hidden="1">{"holdco",#N/A,FALSE,"Summary Financials";"holdco",#N/A,FALSE,"Summary Financials"}</definedName>
    <definedName name="__wrn7" localSheetId="40"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40" hidden="1">{"holdco",#N/A,FALSE,"Summary Financials";"holdco",#N/A,FALSE,"Summary Financials"}</definedName>
    <definedName name="__wrn8" localSheetId="57" hidden="1">{"holdco",#N/A,FALSE,"Summary Financials";"holdco",#N/A,FALSE,"Summary Financials"}</definedName>
    <definedName name="__wrn8" hidden="1">{"holdco",#N/A,FALSE,"Summary Financials";"holdco",#N/A,FALSE,"Summary Financials"}</definedName>
    <definedName name="__wrn8_1" hidden="1">{"holdco",#N/A,FALSE,"Summary Financials";"holdco",#N/A,FALSE,"Summary Financials"}</definedName>
    <definedName name="__wrn8_2" hidden="1">{"holdco",#N/A,FALSE,"Summary Financials";"holdco",#N/A,FALSE,"Summary Financials"}</definedName>
    <definedName name="__wrn8_3"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SimSetting_AutomaticallyGenerateReports" hidden="1">FALSE</definedName>
    <definedName name="_AtRisk_SimSetting_AutomaticResultsDisplayMode" localSheetId="57" hidden="1">0</definedName>
    <definedName name="_AtRisk_SimSetting_AutomaticResultsDisplayMode" localSheetId="58" hidden="1">0</definedName>
    <definedName name="_AtRisk_SimSetting_AutomaticResultsDisplayMode" localSheetId="59" hidden="1">0</definedName>
    <definedName name="_AtRisk_SimSetting_AutomaticResultsDisplayMode" localSheetId="6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localSheetId="57" hidden="1">0</definedName>
    <definedName name="_AtRisk_SimSetting_RandomNumberGenerator" localSheetId="58" hidden="1">0</definedName>
    <definedName name="_AtRisk_SimSetting_RandomNumberGenerator" localSheetId="59" hidden="1">0</definedName>
    <definedName name="_AtRisk_SimSetting_RandomNumberGenerator" localSheetId="65" hidden="1">0</definedName>
    <definedName name="_AtRisk_SimSetting_RandomNumberGenerator" hidden="1">7</definedName>
    <definedName name="_AtRisk_SimSetting_RandomNumberGenerator_1" hidden="1">7</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localSheetId="57" hidden="1">#REF!</definedName>
    <definedName name="_Fill" hidden="1">#REF!</definedName>
    <definedName name="_Key1" localSheetId="40" hidden="1">#REF!</definedName>
    <definedName name="_Key1" localSheetId="57" hidden="1">#REF!</definedName>
    <definedName name="_Key1" hidden="1">#REF!</definedName>
    <definedName name="_Key2" localSheetId="40" hidden="1">#REF!</definedName>
    <definedName name="_Key2" localSheetId="57" hidden="1">#REF!</definedName>
    <definedName name="_Key2" hidden="1">#REF!</definedName>
    <definedName name="_Order1" hidden="1">255</definedName>
    <definedName name="_Order2" hidden="1">0</definedName>
    <definedName name="_Sort" localSheetId="40" hidden="1">#REF!</definedName>
    <definedName name="_Sort" localSheetId="57" hidden="1">#REF!</definedName>
    <definedName name="_Sort" hidden="1">#REF!</definedName>
    <definedName name="a" localSheetId="57" hidden="1">#REF!</definedName>
    <definedName name="a" hidden="1">#REF!</definedName>
    <definedName name="AAA_duser" hidden="1">"OFF"</definedName>
    <definedName name="AAB_GSPPG" hidden="1">"AAB_Goldman Sachs PPG Chart Utilities 1.0g"</definedName>
    <definedName name="AccessDatabase" localSheetId="58" hidden="1">"C:\My Documents\MAUI MALL1.mdb"</definedName>
    <definedName name="AccessDatabase" localSheetId="59" hidden="1">"C:\My Documents\MAUI MALL1.mdb"</definedName>
    <definedName name="AccessDatabase" localSheetId="65" hidden="1">"C:\My Documents\MAUI MALL1.mdb"</definedName>
    <definedName name="AccessDatabase" hidden="1">"C:\DATA\KEVIN\MODELS\Model 0218.mdb"</definedName>
    <definedName name="ACwvu.CapersView." localSheetId="40" hidden="1">[3]Sheet1!#REF!</definedName>
    <definedName name="ACwvu.CapersView." localSheetId="57" hidden="1">[3]Sheet1!#REF!</definedName>
    <definedName name="ACwvu.CapersView." hidden="1">[3]Sheet1!#REF!</definedName>
    <definedName name="ACwvu.Japan_Capers_Ed_Pub." localSheetId="40" hidden="1">#REF!</definedName>
    <definedName name="ACwvu.Japan_Capers_Ed_Pub." localSheetId="57" hidden="1">#REF!</definedName>
    <definedName name="ACwvu.Japan_Capers_Ed_Pub." hidden="1">#REF!</definedName>
    <definedName name="ACwvu.KJP_CC." localSheetId="40" hidden="1">#REF!</definedName>
    <definedName name="ACwvu.KJP_CC." localSheetId="57" hidden="1">#REF!</definedName>
    <definedName name="ACwvu.KJP_CC." hidden="1">#REF!</definedName>
    <definedName name="b" localSheetId="26" hidden="1">{#N/A,#N/A,FALSE,"DI 2 YEAR MASTER SCHEDULE"}</definedName>
    <definedName name="b" localSheetId="27" hidden="1">{#N/A,#N/A,FALSE,"DI 2 YEAR MASTER SCHEDULE"}</definedName>
    <definedName name="b" localSheetId="17" hidden="1">{#N/A,#N/A,FALSE,"DI 2 YEAR MASTER SCHEDULE"}</definedName>
    <definedName name="b" localSheetId="19" hidden="1">{#N/A,#N/A,FALSE,"DI 2 YEAR MASTER SCHEDULE"}</definedName>
    <definedName name="b" localSheetId="40" hidden="1">{#N/A,#N/A,FALSE,"DI 2 YEAR MASTER SCHEDULE"}</definedName>
    <definedName name="b" localSheetId="57" hidden="1">{#N/A,#N/A,FALSE,"DI 2 YEAR MASTER SCHEDULE"}</definedName>
    <definedName name="b" localSheetId="58" hidden="1">{#N/A,#N/A,FALSE,"DI 2 YEAR MASTER SCHEDULE"}</definedName>
    <definedName name="b" localSheetId="59" hidden="1">{#N/A,#N/A,FALSE,"DI 2 YEAR MASTER SCHEDULE"}</definedName>
    <definedName name="b" localSheetId="65" hidden="1">{#N/A,#N/A,FALSE,"DI 2 YEAR MASTER SCHEDULE"}</definedName>
    <definedName name="b" localSheetId="75" hidden="1">{#N/A,#N/A,FALSE,"DI 2 YEAR MASTER SCHEDULE"}</definedName>
    <definedName name="b" localSheetId="66" hidden="1">{#N/A,#N/A,FALSE,"DI 2 YEAR MASTER SCHEDULE"}</definedName>
    <definedName name="b" localSheetId="67" hidden="1">{#N/A,#N/A,FALSE,"DI 2 YEAR MASTER SCHEDULE"}</definedName>
    <definedName name="b" localSheetId="68" hidden="1">{#N/A,#N/A,FALSE,"DI 2 YEAR MASTER SCHEDULE"}</definedName>
    <definedName name="b" localSheetId="69" hidden="1">{#N/A,#N/A,FALSE,"DI 2 YEAR MASTER SCHEDULE"}</definedName>
    <definedName name="b" localSheetId="72" hidden="1">{#N/A,#N/A,FALSE,"DI 2 YEAR MASTER SCHEDULE"}</definedName>
    <definedName name="b" localSheetId="73" hidden="1">{#N/A,#N/A,FALSE,"DI 2 YEAR MASTER SCHEDULE"}</definedName>
    <definedName name="b" hidden="1">{#N/A,#N/A,FALSE,"DI 2 YEAR MASTER SCHEDULE"}</definedName>
    <definedName name="bb" localSheetId="26" hidden="1">{#N/A,#N/A,FALSE,"PRJCTED MNTHLY QTY's"}</definedName>
    <definedName name="bb" localSheetId="27" hidden="1">{#N/A,#N/A,FALSE,"PRJCTED MNTHLY QTY's"}</definedName>
    <definedName name="bb" localSheetId="17" hidden="1">{#N/A,#N/A,FALSE,"PRJCTED MNTHLY QTY's"}</definedName>
    <definedName name="bb" localSheetId="19" hidden="1">{#N/A,#N/A,FALSE,"PRJCTED MNTHLY QTY's"}</definedName>
    <definedName name="bb" localSheetId="40" hidden="1">{#N/A,#N/A,FALSE,"PRJCTED MNTHLY QTY's"}</definedName>
    <definedName name="bb" localSheetId="57" hidden="1">{#N/A,#N/A,FALSE,"PRJCTED MNTHLY QTY's"}</definedName>
    <definedName name="bb" localSheetId="58" hidden="1">{#N/A,#N/A,FALSE,"PRJCTED MNTHLY QTY's"}</definedName>
    <definedName name="bb" localSheetId="59" hidden="1">{#N/A,#N/A,FALSE,"PRJCTED MNTHLY QTY's"}</definedName>
    <definedName name="bb" localSheetId="65" hidden="1">{#N/A,#N/A,FALSE,"PRJCTED MNTHLY QTY's"}</definedName>
    <definedName name="bb" localSheetId="75" hidden="1">{#N/A,#N/A,FALSE,"PRJCTED MNTHLY QTY's"}</definedName>
    <definedName name="bb" localSheetId="66" hidden="1">{#N/A,#N/A,FALSE,"PRJCTED MNTHLY QTY's"}</definedName>
    <definedName name="bb" localSheetId="67" hidden="1">{#N/A,#N/A,FALSE,"PRJCTED MNTHLY QTY's"}</definedName>
    <definedName name="bb" localSheetId="68" hidden="1">{#N/A,#N/A,FALSE,"PRJCTED MNTHLY QTY's"}</definedName>
    <definedName name="bb" localSheetId="69" hidden="1">{#N/A,#N/A,FALSE,"PRJCTED MNTHLY QTY's"}</definedName>
    <definedName name="bb" localSheetId="72" hidden="1">{#N/A,#N/A,FALSE,"PRJCTED MNTHLY QTY's"}</definedName>
    <definedName name="bb" localSheetId="73"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17" hidden="1">{#N/A,#N/A,FALSE,"PRJCTED QTRLY QTY's"}</definedName>
    <definedName name="bbbb" localSheetId="19" hidden="1">{#N/A,#N/A,FALSE,"PRJCTED QTRLY QTY's"}</definedName>
    <definedName name="bbbb" localSheetId="40" hidden="1">{#N/A,#N/A,FALSE,"PRJCTED QTRLY QTY's"}</definedName>
    <definedName name="bbbb" localSheetId="57" hidden="1">{#N/A,#N/A,FALSE,"PRJCTED QTRLY QTY's"}</definedName>
    <definedName name="bbbb" localSheetId="58" hidden="1">{#N/A,#N/A,FALSE,"PRJCTED QTRLY QTY's"}</definedName>
    <definedName name="bbbb" localSheetId="59" hidden="1">{#N/A,#N/A,FALSE,"PRJCTED QTRLY QTY's"}</definedName>
    <definedName name="bbbb" localSheetId="65" hidden="1">{#N/A,#N/A,FALSE,"PRJCTED QTRLY QTY's"}</definedName>
    <definedName name="bbbb" localSheetId="75" hidden="1">{#N/A,#N/A,FALSE,"PRJCTED QTRLY QTY's"}</definedName>
    <definedName name="bbbb" localSheetId="66" hidden="1">{#N/A,#N/A,FALSE,"PRJCTED QTRLY QTY's"}</definedName>
    <definedName name="bbbb" localSheetId="67" hidden="1">{#N/A,#N/A,FALSE,"PRJCTED QTRLY QTY's"}</definedName>
    <definedName name="bbbb" localSheetId="68" hidden="1">{#N/A,#N/A,FALSE,"PRJCTED QTRLY QTY's"}</definedName>
    <definedName name="bbbb" localSheetId="69" hidden="1">{#N/A,#N/A,FALSE,"PRJCTED QTRLY QTY's"}</definedName>
    <definedName name="bbbb" localSheetId="72" hidden="1">{#N/A,#N/A,FALSE,"PRJCTED QTRLY QTY's"}</definedName>
    <definedName name="bbbb" localSheetId="73"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17" hidden="1">{#N/A,#N/A,FALSE,"PRJCTED QTRLY QTY's"}</definedName>
    <definedName name="bbbbbb" localSheetId="19" hidden="1">{#N/A,#N/A,FALSE,"PRJCTED QTRLY QTY's"}</definedName>
    <definedName name="bbbbbb" localSheetId="40" hidden="1">{#N/A,#N/A,FALSE,"PRJCTED QTRLY QTY's"}</definedName>
    <definedName name="bbbbbb" localSheetId="57" hidden="1">{#N/A,#N/A,FALSE,"PRJCTED QTRLY QTY's"}</definedName>
    <definedName name="bbbbbb" localSheetId="58" hidden="1">{#N/A,#N/A,FALSE,"PRJCTED QTRLY QTY's"}</definedName>
    <definedName name="bbbbbb" localSheetId="59" hidden="1">{#N/A,#N/A,FALSE,"PRJCTED QTRLY QTY's"}</definedName>
    <definedName name="bbbbbb" localSheetId="65" hidden="1">{#N/A,#N/A,FALSE,"PRJCTED QTRLY QTY's"}</definedName>
    <definedName name="bbbbbb" localSheetId="75" hidden="1">{#N/A,#N/A,FALSE,"PRJCTED QTRLY QTY's"}</definedName>
    <definedName name="bbbbbb" localSheetId="66" hidden="1">{#N/A,#N/A,FALSE,"PRJCTED QTRLY QTY's"}</definedName>
    <definedName name="bbbbbb" localSheetId="67" hidden="1">{#N/A,#N/A,FALSE,"PRJCTED QTRLY QTY's"}</definedName>
    <definedName name="bbbbbb" localSheetId="68" hidden="1">{#N/A,#N/A,FALSE,"PRJCTED QTRLY QTY's"}</definedName>
    <definedName name="bbbbbb" localSheetId="69" hidden="1">{#N/A,#N/A,FALSE,"PRJCTED QTRLY QTY's"}</definedName>
    <definedName name="bbbbbb" localSheetId="72" hidden="1">{#N/A,#N/A,FALSE,"PRJCTED QTRLY QTY's"}</definedName>
    <definedName name="bbbbbb" localSheetId="73" hidden="1">{#N/A,#N/A,FALSE,"PRJCTED QTRLY QTY's"}</definedName>
    <definedName name="bbbbbb" hidden="1">{#N/A,#N/A,FALSE,"PRJCTED QTRLY QTY's"}</definedName>
    <definedName name="BExEZ4HBCC06708765M8A06KCR7P" hidden="1">#N/A</definedName>
    <definedName name="BLPH1" localSheetId="57" hidden="1">[4]Sheet2!#REF!</definedName>
    <definedName name="BLPH1" hidden="1">[4]Sheet2!#REF!</definedName>
    <definedName name="BLPH10" localSheetId="40" hidden="1">#REF!</definedName>
    <definedName name="BLPH10" localSheetId="57" hidden="1">#REF!</definedName>
    <definedName name="BLPH10" hidden="1">#REF!</definedName>
    <definedName name="BLPH100" localSheetId="40" hidden="1">#REF!</definedName>
    <definedName name="BLPH100" localSheetId="57" hidden="1">#REF!</definedName>
    <definedName name="BLPH100" hidden="1">#REF!</definedName>
    <definedName name="BLPH101" localSheetId="40" hidden="1">#REF!</definedName>
    <definedName name="BLPH101" localSheetId="57"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[4]Sheet2!#REF!</definedName>
    <definedName name="BLPH20" localSheetId="40" hidden="1">#REF!</definedName>
    <definedName name="BLPH20" localSheetId="57" hidden="1">#REF!</definedName>
    <definedName name="BLPH20" hidden="1">#REF!</definedName>
    <definedName name="BLPH200" localSheetId="40" hidden="1">#REF!</definedName>
    <definedName name="BLPH200" localSheetId="57" hidden="1">#REF!</definedName>
    <definedName name="BLPH200" hidden="1">#REF!</definedName>
    <definedName name="BLPH201" localSheetId="40" hidden="1">#REF!</definedName>
    <definedName name="BLPH201" localSheetId="57"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'[5]Risk-Free Rate'!$AQ$15</definedName>
    <definedName name="BLPH210" localSheetId="40" hidden="1">#REF!</definedName>
    <definedName name="BLPH210" localSheetId="57" hidden="1">#REF!</definedName>
    <definedName name="BLPH210" hidden="1">#REF!</definedName>
    <definedName name="BLPH211" localSheetId="40" hidden="1">#REF!</definedName>
    <definedName name="BLPH211" localSheetId="57" hidden="1">#REF!</definedName>
    <definedName name="BLPH211" hidden="1">#REF!</definedName>
    <definedName name="BLPH212" localSheetId="40" hidden="1">#REF!</definedName>
    <definedName name="BLPH212" localSheetId="57"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'[5]Risk-Free Rate'!$AN$15</definedName>
    <definedName name="BLPH220" localSheetId="40" hidden="1">#REF!</definedName>
    <definedName name="BLPH220" localSheetId="57" hidden="1">#REF!</definedName>
    <definedName name="BLPH220" hidden="1">#REF!</definedName>
    <definedName name="BLPH221" localSheetId="40" hidden="1">#REF!</definedName>
    <definedName name="BLPH221" localSheetId="57" hidden="1">#REF!</definedName>
    <definedName name="BLPH221" hidden="1">#REF!</definedName>
    <definedName name="BLPH222" localSheetId="40" hidden="1">#REF!</definedName>
    <definedName name="BLPH222" localSheetId="57"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'[5]Risk-Free Rate'!$AK$15</definedName>
    <definedName name="BLPH230" localSheetId="40" hidden="1">#REF!</definedName>
    <definedName name="BLPH230" localSheetId="57" hidden="1">#REF!</definedName>
    <definedName name="BLPH230" hidden="1">#REF!</definedName>
    <definedName name="BLPH231" localSheetId="40" hidden="1">#REF!</definedName>
    <definedName name="BLPH231" localSheetId="57" hidden="1">#REF!</definedName>
    <definedName name="BLPH231" hidden="1">#REF!</definedName>
    <definedName name="BLPH232" localSheetId="40" hidden="1">#REF!</definedName>
    <definedName name="BLPH232" localSheetId="57"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'[5]Risk-Free Rate'!$AH$15</definedName>
    <definedName name="BLPH240" localSheetId="40" hidden="1">#REF!</definedName>
    <definedName name="BLPH240" localSheetId="57" hidden="1">#REF!</definedName>
    <definedName name="BLPH240" hidden="1">#REF!</definedName>
    <definedName name="BLPH241" localSheetId="40" hidden="1">#REF!</definedName>
    <definedName name="BLPH241" localSheetId="57" hidden="1">#REF!</definedName>
    <definedName name="BLPH241" hidden="1">#REF!</definedName>
    <definedName name="BLPH242" localSheetId="40" hidden="1">#REF!</definedName>
    <definedName name="BLPH242" localSheetId="57"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'[5]Risk-Free Rate'!$AE$15</definedName>
    <definedName name="BLPH250" localSheetId="40" hidden="1">#REF!</definedName>
    <definedName name="BLPH250" localSheetId="57" hidden="1">#REF!</definedName>
    <definedName name="BLPH250" hidden="1">#REF!</definedName>
    <definedName name="BLPH251" localSheetId="40" hidden="1">#REF!</definedName>
    <definedName name="BLPH251" localSheetId="57" hidden="1">#REF!</definedName>
    <definedName name="BLPH251" hidden="1">#REF!</definedName>
    <definedName name="BLPH252" localSheetId="40" hidden="1">#REF!</definedName>
    <definedName name="BLPH252" localSheetId="57"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'[5]Risk-Free Rate'!$AB$15</definedName>
    <definedName name="BLPH260" localSheetId="40" hidden="1">#REF!</definedName>
    <definedName name="BLPH260" localSheetId="57" hidden="1">#REF!</definedName>
    <definedName name="BLPH260" hidden="1">#REF!</definedName>
    <definedName name="BLPH261" localSheetId="40" hidden="1">#REF!</definedName>
    <definedName name="BLPH261" localSheetId="57" hidden="1">#REF!</definedName>
    <definedName name="BLPH261" hidden="1">#REF!</definedName>
    <definedName name="BLPH262" localSheetId="40" hidden="1">#REF!</definedName>
    <definedName name="BLPH262" localSheetId="57"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'[5]Risk-Free Rate'!$Y$15</definedName>
    <definedName name="BLPH270" localSheetId="40" hidden="1">#REF!</definedName>
    <definedName name="BLPH270" localSheetId="57" hidden="1">#REF!</definedName>
    <definedName name="BLPH270" hidden="1">#REF!</definedName>
    <definedName name="BLPH271" localSheetId="40" hidden="1">#REF!</definedName>
    <definedName name="BLPH271" localSheetId="57" hidden="1">#REF!</definedName>
    <definedName name="BLPH271" hidden="1">#REF!</definedName>
    <definedName name="BLPH272" localSheetId="40" hidden="1">#REF!</definedName>
    <definedName name="BLPH272" localSheetId="57"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'[5]Risk-Free Rate'!$V$15</definedName>
    <definedName name="BLPH280" localSheetId="40" hidden="1">#REF!</definedName>
    <definedName name="BLPH280" localSheetId="57" hidden="1">#REF!</definedName>
    <definedName name="BLPH280" hidden="1">#REF!</definedName>
    <definedName name="BLPH281" localSheetId="40" hidden="1">#REF!</definedName>
    <definedName name="BLPH281" localSheetId="57" hidden="1">#REF!</definedName>
    <definedName name="BLPH281" hidden="1">#REF!</definedName>
    <definedName name="BLPH282" localSheetId="40" hidden="1">#REF!</definedName>
    <definedName name="BLPH282" localSheetId="57"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'[5]Risk-Free Rate'!$S$15</definedName>
    <definedName name="BLPH290" localSheetId="40" hidden="1">#REF!</definedName>
    <definedName name="BLPH290" localSheetId="57" hidden="1">#REF!</definedName>
    <definedName name="BLPH290" hidden="1">#REF!</definedName>
    <definedName name="BLPH291" localSheetId="40" hidden="1">#REF!</definedName>
    <definedName name="BLPH291" localSheetId="57" hidden="1">#REF!</definedName>
    <definedName name="BLPH291" hidden="1">#REF!</definedName>
    <definedName name="BLPH292" localSheetId="40" hidden="1">#REF!</definedName>
    <definedName name="BLPH292" localSheetId="57"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'[5]Risk-Free Rate'!$P$15</definedName>
    <definedName name="BLPH300" localSheetId="40" hidden="1">#REF!</definedName>
    <definedName name="BLPH300" localSheetId="57" hidden="1">#REF!</definedName>
    <definedName name="BLPH300" hidden="1">#REF!</definedName>
    <definedName name="BLPH301" localSheetId="40" hidden="1">#REF!</definedName>
    <definedName name="BLPH301" localSheetId="57" hidden="1">#REF!</definedName>
    <definedName name="BLPH301" hidden="1">#REF!</definedName>
    <definedName name="BLPH302" localSheetId="40" hidden="1">#REF!</definedName>
    <definedName name="BLPH302" localSheetId="57"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'[5]Risk-Free Rate'!$M$15</definedName>
    <definedName name="BLPH310" localSheetId="40" hidden="1">#REF!</definedName>
    <definedName name="BLPH310" localSheetId="57" hidden="1">#REF!</definedName>
    <definedName name="BLPH310" hidden="1">#REF!</definedName>
    <definedName name="BLPH311" localSheetId="40" hidden="1">#REF!</definedName>
    <definedName name="BLPH311" localSheetId="57" hidden="1">#REF!</definedName>
    <definedName name="BLPH311" hidden="1">#REF!</definedName>
    <definedName name="BLPH312" localSheetId="40" hidden="1">#REF!</definedName>
    <definedName name="BLPH312" localSheetId="57"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'[5]Risk-Free Rate'!$J$15</definedName>
    <definedName name="BLPH320" localSheetId="40" hidden="1">#REF!</definedName>
    <definedName name="BLPH320" localSheetId="57" hidden="1">#REF!</definedName>
    <definedName name="BLPH320" hidden="1">#REF!</definedName>
    <definedName name="BLPH321" localSheetId="40" hidden="1">#REF!</definedName>
    <definedName name="BLPH321" localSheetId="57" hidden="1">#REF!</definedName>
    <definedName name="BLPH321" hidden="1">#REF!</definedName>
    <definedName name="BLPH322" localSheetId="40" hidden="1">#REF!</definedName>
    <definedName name="BLPH322" localSheetId="57"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'[5]Risk-Free Rate'!$G$15</definedName>
    <definedName name="BLPH330" localSheetId="40" hidden="1">#REF!</definedName>
    <definedName name="BLPH330" localSheetId="57" hidden="1">#REF!</definedName>
    <definedName name="BLPH330" hidden="1">#REF!</definedName>
    <definedName name="BLPH331" localSheetId="40" hidden="1">#REF!</definedName>
    <definedName name="BLPH331" localSheetId="57" hidden="1">#REF!</definedName>
    <definedName name="BLPH331" hidden="1">#REF!</definedName>
    <definedName name="BLPH332" localSheetId="40" hidden="1">#REF!</definedName>
    <definedName name="BLPH332" localSheetId="57"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'[5]Risk-Free Rate'!$D$15</definedName>
    <definedName name="BLPH340" localSheetId="40" hidden="1">#REF!</definedName>
    <definedName name="BLPH340" localSheetId="57" hidden="1">#REF!</definedName>
    <definedName name="BLPH340" hidden="1">#REF!</definedName>
    <definedName name="BLPH341" localSheetId="40" hidden="1">#REF!</definedName>
    <definedName name="BLPH341" localSheetId="57" hidden="1">#REF!</definedName>
    <definedName name="BLPH341" hidden="1">#REF!</definedName>
    <definedName name="BLPH342" localSheetId="40" hidden="1">#REF!</definedName>
    <definedName name="BLPH342" localSheetId="57"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'[5]Risk-Free Rate'!$A$15</definedName>
    <definedName name="BLPH350" localSheetId="40" hidden="1">#REF!</definedName>
    <definedName name="BLPH350" localSheetId="57" hidden="1">#REF!</definedName>
    <definedName name="BLPH350" hidden="1">#REF!</definedName>
    <definedName name="BLPH351" localSheetId="40" hidden="1">#REF!</definedName>
    <definedName name="BLPH351" localSheetId="57" hidden="1">#REF!</definedName>
    <definedName name="BLPH351" hidden="1">#REF!</definedName>
    <definedName name="BLPH352" localSheetId="40" hidden="1">#REF!</definedName>
    <definedName name="BLPH352" localSheetId="57"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[4]Sheet2!#REF!</definedName>
    <definedName name="BLPH50" localSheetId="40" hidden="1">#REF!</definedName>
    <definedName name="BLPH50" localSheetId="57" hidden="1">#REF!</definedName>
    <definedName name="BLPH50" hidden="1">#REF!</definedName>
    <definedName name="BLPH51" localSheetId="40" hidden="1">#REF!</definedName>
    <definedName name="BLPH51" localSheetId="57" hidden="1">#REF!</definedName>
    <definedName name="BLPH51" hidden="1">#REF!</definedName>
    <definedName name="BLPH52" localSheetId="40" hidden="1">#REF!</definedName>
    <definedName name="BLPH52" localSheetId="57"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2020_21">'2.1 Revenue_Interface'!$AB$179</definedName>
    <definedName name="BR2020_21">'2.1 Revenue_Interface'!$AB$177</definedName>
    <definedName name="CNIARt">'2.1 Revenue_Interface'!$AB$175</definedName>
    <definedName name="CNIAV">'2.1 Revenue_Interface'!#REF!</definedName>
    <definedName name="Cwvu.CapersView." localSheetId="57" hidden="1">[3]Sheet1!#REF!</definedName>
    <definedName name="Cwvu.CapersView." hidden="1">[3]Sheet1!#REF!</definedName>
    <definedName name="Cwvu.Japan_Capers_Ed_Pub." localSheetId="57" hidden="1">[3]Sheet1!#REF!</definedName>
    <definedName name="Cwvu.Japan_Capers_Ed_Pub." hidden="1">[3]Sheet1!#REF!</definedName>
    <definedName name="ECNIAt">'2.1 Revenue_Interface'!$AB$174</definedName>
    <definedName name="ENIA2020_21">'2.1 Revenue_Interface'!$AB$178</definedName>
    <definedName name="f" localSheetId="26" hidden="1">{"'PRODUCTIONCOST SHEET'!$B$3:$G$48"}</definedName>
    <definedName name="f" localSheetId="27" hidden="1">{"'PRODUCTIONCOST SHEET'!$B$3:$G$48"}</definedName>
    <definedName name="f" localSheetId="17" hidden="1">{"'PRODUCTIONCOST SHEET'!$B$3:$G$48"}</definedName>
    <definedName name="f" localSheetId="19" hidden="1">{"'PRODUCTIONCOST SHEET'!$B$3:$G$48"}</definedName>
    <definedName name="f" localSheetId="40" hidden="1">{"'PRODUCTIONCOST SHEET'!$B$3:$G$48"}</definedName>
    <definedName name="f" localSheetId="57" hidden="1">{"'PRODUCTIONCOST SHEET'!$B$3:$G$48"}</definedName>
    <definedName name="f" localSheetId="58" hidden="1">{"'PRODUCTIONCOST SHEET'!$B$3:$G$48"}</definedName>
    <definedName name="f" localSheetId="59" hidden="1">{"'PRODUCTIONCOST SHEET'!$B$3:$G$48"}</definedName>
    <definedName name="f" localSheetId="65" hidden="1">{"'PRODUCTIONCOST SHEET'!$B$3:$G$48"}</definedName>
    <definedName name="f" localSheetId="75" hidden="1">{"'PRODUCTIONCOST SHEET'!$B$3:$G$48"}</definedName>
    <definedName name="f" localSheetId="66" hidden="1">{"'PRODUCTIONCOST SHEET'!$B$3:$G$48"}</definedName>
    <definedName name="f" localSheetId="67" hidden="1">{"'PRODUCTIONCOST SHEET'!$B$3:$G$48"}</definedName>
    <definedName name="f" localSheetId="68" hidden="1">{"'PRODUCTIONCOST SHEET'!$B$3:$G$48"}</definedName>
    <definedName name="f" localSheetId="69" hidden="1">{"'PRODUCTIONCOST SHEET'!$B$3:$G$48"}</definedName>
    <definedName name="f" localSheetId="72" hidden="1">{"'PRODUCTIONCOST SHEET'!$B$3:$G$48"}</definedName>
    <definedName name="f" localSheetId="73" hidden="1">{"'PRODUCTIONCOST SHEET'!$B$3:$G$48"}</definedName>
    <definedName name="f" hidden="1">{"'PRODUCTIONCOST SHEET'!$B$3:$G$48"}</definedName>
    <definedName name="ff" localSheetId="26" hidden="1">{#N/A,#N/A,FALSE,"PRJCTED MNTHLY QTY's"}</definedName>
    <definedName name="ff" localSheetId="27" hidden="1">{#N/A,#N/A,FALSE,"PRJCTED MNTHLY QTY's"}</definedName>
    <definedName name="ff" localSheetId="17" hidden="1">{#N/A,#N/A,FALSE,"PRJCTED MNTHLY QTY's"}</definedName>
    <definedName name="ff" localSheetId="19" hidden="1">{#N/A,#N/A,FALSE,"PRJCTED MNTHLY QTY's"}</definedName>
    <definedName name="ff" localSheetId="40" hidden="1">{#N/A,#N/A,FALSE,"PRJCTED MNTHLY QTY's"}</definedName>
    <definedName name="ff" localSheetId="57" hidden="1">{#N/A,#N/A,FALSE,"PRJCTED MNTHLY QTY's"}</definedName>
    <definedName name="ff" localSheetId="58" hidden="1">{#N/A,#N/A,FALSE,"PRJCTED MNTHLY QTY's"}</definedName>
    <definedName name="ff" localSheetId="59" hidden="1">{#N/A,#N/A,FALSE,"PRJCTED MNTHLY QTY's"}</definedName>
    <definedName name="ff" localSheetId="65" hidden="1">{#N/A,#N/A,FALSE,"PRJCTED MNTHLY QTY's"}</definedName>
    <definedName name="ff" localSheetId="75" hidden="1">{#N/A,#N/A,FALSE,"PRJCTED MNTHLY QTY's"}</definedName>
    <definedName name="ff" localSheetId="66" hidden="1">{#N/A,#N/A,FALSE,"PRJCTED MNTHLY QTY's"}</definedName>
    <definedName name="ff" localSheetId="67" hidden="1">{#N/A,#N/A,FALSE,"PRJCTED MNTHLY QTY's"}</definedName>
    <definedName name="ff" localSheetId="68" hidden="1">{#N/A,#N/A,FALSE,"PRJCTED MNTHLY QTY's"}</definedName>
    <definedName name="ff" localSheetId="69" hidden="1">{#N/A,#N/A,FALSE,"PRJCTED MNTHLY QTY's"}</definedName>
    <definedName name="ff" localSheetId="72" hidden="1">{#N/A,#N/A,FALSE,"PRJCTED MNTHLY QTY's"}</definedName>
    <definedName name="ff" localSheetId="73"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17" hidden="1">{#N/A,#N/A,FALSE,"PRJCTED QTRLY QTY's"}</definedName>
    <definedName name="fffff" localSheetId="19" hidden="1">{#N/A,#N/A,FALSE,"PRJCTED QTRLY QTY's"}</definedName>
    <definedName name="fffff" localSheetId="40" hidden="1">{#N/A,#N/A,FALSE,"PRJCTED QTRLY QTY's"}</definedName>
    <definedName name="fffff" localSheetId="57" hidden="1">{#N/A,#N/A,FALSE,"PRJCTED QTRLY QTY's"}</definedName>
    <definedName name="fffff" localSheetId="58" hidden="1">{#N/A,#N/A,FALSE,"PRJCTED QTRLY QTY's"}</definedName>
    <definedName name="fffff" localSheetId="59" hidden="1">{#N/A,#N/A,FALSE,"PRJCTED QTRLY QTY's"}</definedName>
    <definedName name="fffff" localSheetId="65" hidden="1">{#N/A,#N/A,FALSE,"PRJCTED QTRLY QTY's"}</definedName>
    <definedName name="fffff" localSheetId="75" hidden="1">{#N/A,#N/A,FALSE,"PRJCTED QTRLY QTY's"}</definedName>
    <definedName name="fffff" localSheetId="66" hidden="1">{#N/A,#N/A,FALSE,"PRJCTED QTRLY QTY's"}</definedName>
    <definedName name="fffff" localSheetId="67" hidden="1">{#N/A,#N/A,FALSE,"PRJCTED QTRLY QTY's"}</definedName>
    <definedName name="fffff" localSheetId="68" hidden="1">{#N/A,#N/A,FALSE,"PRJCTED QTRLY QTY's"}</definedName>
    <definedName name="fffff" localSheetId="69" hidden="1">{#N/A,#N/A,FALSE,"PRJCTED QTRLY QTY's"}</definedName>
    <definedName name="fffff" localSheetId="72" hidden="1">{#N/A,#N/A,FALSE,"PRJCTED QTRLY QTY's"}</definedName>
    <definedName name="fffff" localSheetId="73" hidden="1">{#N/A,#N/A,FALSE,"PRJCTED QTRLY QTY's"}</definedName>
    <definedName name="fffff" hidden="1">{#N/A,#N/A,FALSE,"PRJCTED QTRLY QTY's"}</definedName>
    <definedName name="gjk" localSheetId="26" hidden="1">{#N/A,#N/A,FALSE,"DI 2 YEAR MASTER SCHEDULE"}</definedName>
    <definedName name="gjk" localSheetId="27" hidden="1">{#N/A,#N/A,FALSE,"DI 2 YEAR MASTER SCHEDULE"}</definedName>
    <definedName name="gjk" localSheetId="17" hidden="1">{#N/A,#N/A,FALSE,"DI 2 YEAR MASTER SCHEDULE"}</definedName>
    <definedName name="gjk" localSheetId="19" hidden="1">{#N/A,#N/A,FALSE,"DI 2 YEAR MASTER SCHEDULE"}</definedName>
    <definedName name="gjk" localSheetId="40" hidden="1">{#N/A,#N/A,FALSE,"DI 2 YEAR MASTER SCHEDULE"}</definedName>
    <definedName name="gjk" localSheetId="57" hidden="1">{#N/A,#N/A,FALSE,"DI 2 YEAR MASTER SCHEDULE"}</definedName>
    <definedName name="gjk" localSheetId="58" hidden="1">{#N/A,#N/A,FALSE,"DI 2 YEAR MASTER SCHEDULE"}</definedName>
    <definedName name="gjk" localSheetId="59" hidden="1">{#N/A,#N/A,FALSE,"DI 2 YEAR MASTER SCHEDULE"}</definedName>
    <definedName name="gjk" localSheetId="65" hidden="1">{#N/A,#N/A,FALSE,"DI 2 YEAR MASTER SCHEDULE"}</definedName>
    <definedName name="gjk" localSheetId="75" hidden="1">{#N/A,#N/A,FALSE,"DI 2 YEAR MASTER SCHEDULE"}</definedName>
    <definedName name="gjk" localSheetId="72" hidden="1">{#N/A,#N/A,FALSE,"DI 2 YEAR MASTER SCHEDULE"}</definedName>
    <definedName name="gjk" localSheetId="73" hidden="1">{#N/A,#N/A,FALSE,"DI 2 YEAR MASTER SCHEDULE"}</definedName>
    <definedName name="gjk" hidden="1">{#N/A,#N/A,FALSE,"DI 2 YEAR MASTER SCHEDULE"}</definedName>
    <definedName name="gwge" localSheetId="40" hidden="1">#REF!</definedName>
    <definedName name="gwge" localSheetId="57"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17" hidden="1">{"'PRODUCTIONCOST SHEET'!$B$3:$G$48"}</definedName>
    <definedName name="HTML_Control" localSheetId="19" hidden="1">{"'PRODUCTIONCOST SHEET'!$B$3:$G$48"}</definedName>
    <definedName name="HTML_Control" localSheetId="40" hidden="1">{"'PRODUCTIONCOST SHEET'!$B$3:$G$48"}</definedName>
    <definedName name="HTML_Control" localSheetId="57" hidden="1">{"'PRODUCTIONCOST SHEET'!$B$3:$G$48"}</definedName>
    <definedName name="HTML_Control" localSheetId="58" hidden="1">{"'PRODUCTIONCOST SHEET'!$B$3:$G$48"}</definedName>
    <definedName name="HTML_Control" localSheetId="59" hidden="1">{"'PRODUCTIONCOST SHEET'!$B$3:$G$48"}</definedName>
    <definedName name="HTML_Control" localSheetId="65" hidden="1">{"'PRODUCTIONCOST SHEET'!$B$3:$G$48"}</definedName>
    <definedName name="HTML_Control" localSheetId="75" hidden="1">{"'PRODUCTIONCOST SHEET'!$B$3:$G$48"}</definedName>
    <definedName name="HTML_Control" localSheetId="66" hidden="1">{"'PRODUCTIONCOST SHEET'!$B$3:$G$48"}</definedName>
    <definedName name="HTML_Control" localSheetId="67" hidden="1">{"'PRODUCTIONCOST SHEET'!$B$3:$G$48"}</definedName>
    <definedName name="HTML_Control" localSheetId="68" hidden="1">{"'PRODUCTIONCOST SHEET'!$B$3:$G$48"}</definedName>
    <definedName name="HTML_Control" localSheetId="69" hidden="1">{"'PRODUCTIONCOST SHEET'!$B$3:$G$48"}</definedName>
    <definedName name="HTML_Control" localSheetId="72" hidden="1">{"'PRODUCTIONCOST SHEET'!$B$3:$G$48"}</definedName>
    <definedName name="HTML_Control" localSheetId="73"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'2.1 Revenue_Interface'!$AB$172:$AF$172</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l" localSheetId="26" hidden="1">{#N/A,#N/A,FALSE,"DI 2 YEAR MASTER SCHEDULE"}</definedName>
    <definedName name="l" localSheetId="27" hidden="1">{#N/A,#N/A,FALSE,"DI 2 YEAR MASTER SCHEDULE"}</definedName>
    <definedName name="l" localSheetId="17" hidden="1">{#N/A,#N/A,FALSE,"DI 2 YEAR MASTER SCHEDULE"}</definedName>
    <definedName name="l" localSheetId="19" hidden="1">{#N/A,#N/A,FALSE,"DI 2 YEAR MASTER SCHEDULE"}</definedName>
    <definedName name="l" localSheetId="40" hidden="1">{#N/A,#N/A,FALSE,"DI 2 YEAR MASTER SCHEDULE"}</definedName>
    <definedName name="l" localSheetId="57" hidden="1">{#N/A,#N/A,FALSE,"DI 2 YEAR MASTER SCHEDULE"}</definedName>
    <definedName name="l" localSheetId="58" hidden="1">{#N/A,#N/A,FALSE,"DI 2 YEAR MASTER SCHEDULE"}</definedName>
    <definedName name="l" localSheetId="59" hidden="1">{#N/A,#N/A,FALSE,"DI 2 YEAR MASTER SCHEDULE"}</definedName>
    <definedName name="l" localSheetId="65" hidden="1">{#N/A,#N/A,FALSE,"DI 2 YEAR MASTER SCHEDULE"}</definedName>
    <definedName name="l" localSheetId="75" hidden="1">{#N/A,#N/A,FALSE,"DI 2 YEAR MASTER SCHEDULE"}</definedName>
    <definedName name="l" localSheetId="66" hidden="1">{#N/A,#N/A,FALSE,"DI 2 YEAR MASTER SCHEDULE"}</definedName>
    <definedName name="l" localSheetId="67" hidden="1">{#N/A,#N/A,FALSE,"DI 2 YEAR MASTER SCHEDULE"}</definedName>
    <definedName name="l" localSheetId="68" hidden="1">{#N/A,#N/A,FALSE,"DI 2 YEAR MASTER SCHEDULE"}</definedName>
    <definedName name="l" localSheetId="69" hidden="1">{#N/A,#N/A,FALSE,"DI 2 YEAR MASTER SCHEDULE"}</definedName>
    <definedName name="l" localSheetId="72" hidden="1">{#N/A,#N/A,FALSE,"DI 2 YEAR MASTER SCHEDULE"}</definedName>
    <definedName name="l" localSheetId="73" hidden="1">{#N/A,#N/A,FALSE,"DI 2 YEAR MASTER SCHEDULE"}</definedName>
    <definedName name="l" hidden="1">{#N/A,#N/A,FALSE,"DI 2 YEAR MASTER SCHEDULE"}</definedName>
    <definedName name="ListOffset" hidden="1">1</definedName>
    <definedName name="lkl" localSheetId="26" hidden="1">{#N/A,#N/A,FALSE,"DI 2 YEAR MASTER SCHEDULE"}</definedName>
    <definedName name="lkl" localSheetId="27" hidden="1">{#N/A,#N/A,FALSE,"DI 2 YEAR MASTER SCHEDULE"}</definedName>
    <definedName name="lkl" localSheetId="17" hidden="1">{#N/A,#N/A,FALSE,"DI 2 YEAR MASTER SCHEDULE"}</definedName>
    <definedName name="lkl" localSheetId="19" hidden="1">{#N/A,#N/A,FALSE,"DI 2 YEAR MASTER SCHEDULE"}</definedName>
    <definedName name="lkl" localSheetId="40" hidden="1">{#N/A,#N/A,FALSE,"DI 2 YEAR MASTER SCHEDULE"}</definedName>
    <definedName name="lkl" localSheetId="57" hidden="1">{#N/A,#N/A,FALSE,"DI 2 YEAR MASTER SCHEDULE"}</definedName>
    <definedName name="lkl" localSheetId="58" hidden="1">{#N/A,#N/A,FALSE,"DI 2 YEAR MASTER SCHEDULE"}</definedName>
    <definedName name="lkl" localSheetId="59" hidden="1">{#N/A,#N/A,FALSE,"DI 2 YEAR MASTER SCHEDULE"}</definedName>
    <definedName name="lkl" localSheetId="65" hidden="1">{#N/A,#N/A,FALSE,"DI 2 YEAR MASTER SCHEDULE"}</definedName>
    <definedName name="lkl" localSheetId="75" hidden="1">{#N/A,#N/A,FALSE,"DI 2 YEAR MASTER SCHEDULE"}</definedName>
    <definedName name="lkl" localSheetId="66" hidden="1">{#N/A,#N/A,FALSE,"DI 2 YEAR MASTER SCHEDULE"}</definedName>
    <definedName name="lkl" localSheetId="67" hidden="1">{#N/A,#N/A,FALSE,"DI 2 YEAR MASTER SCHEDULE"}</definedName>
    <definedName name="lkl" localSheetId="68" hidden="1">{#N/A,#N/A,FALSE,"DI 2 YEAR MASTER SCHEDULE"}</definedName>
    <definedName name="lkl" localSheetId="69" hidden="1">{#N/A,#N/A,FALSE,"DI 2 YEAR MASTER SCHEDULE"}</definedName>
    <definedName name="lkl" localSheetId="72" hidden="1">{#N/A,#N/A,FALSE,"DI 2 YEAR MASTER SCHEDULE"}</definedName>
    <definedName name="lkl" localSheetId="73" hidden="1">{#N/A,#N/A,FALSE,"DI 2 YEAR MASTER SCHEDULE"}</definedName>
    <definedName name="lkl" hidden="1">{#N/A,#N/A,FALSE,"DI 2 YEAR MASTER SCHEDULE"}</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IAEt">'2.1 Revenue_Interface'!$AB$171:$AF$171</definedName>
    <definedName name="NIAV2020_21">'2.1 Revenue_Interface'!$AB$176</definedName>
    <definedName name="nn" localSheetId="26" hidden="1">{#N/A,#N/A,FALSE,"PRJCTED QTRLY $'s"}</definedName>
    <definedName name="nn" localSheetId="27" hidden="1">{#N/A,#N/A,FALSE,"PRJCTED QTRLY $'s"}</definedName>
    <definedName name="nn" localSheetId="17" hidden="1">{#N/A,#N/A,FALSE,"PRJCTED QTRLY $'s"}</definedName>
    <definedName name="nn" localSheetId="19" hidden="1">{#N/A,#N/A,FALSE,"PRJCTED QTRLY $'s"}</definedName>
    <definedName name="nn" localSheetId="40" hidden="1">{#N/A,#N/A,FALSE,"PRJCTED QTRLY $'s"}</definedName>
    <definedName name="nn" localSheetId="57" hidden="1">{#N/A,#N/A,FALSE,"PRJCTED QTRLY $'s"}</definedName>
    <definedName name="nn" localSheetId="58" hidden="1">{#N/A,#N/A,FALSE,"PRJCTED QTRLY $'s"}</definedName>
    <definedName name="nn" localSheetId="59" hidden="1">{#N/A,#N/A,FALSE,"PRJCTED QTRLY $'s"}</definedName>
    <definedName name="nn" localSheetId="65" hidden="1">{#N/A,#N/A,FALSE,"PRJCTED QTRLY $'s"}</definedName>
    <definedName name="nn" localSheetId="75" hidden="1">{#N/A,#N/A,FALSE,"PRJCTED QTRLY $'s"}</definedName>
    <definedName name="nn" localSheetId="66" hidden="1">{#N/A,#N/A,FALSE,"PRJCTED QTRLY $'s"}</definedName>
    <definedName name="nn" localSheetId="67" hidden="1">{#N/A,#N/A,FALSE,"PRJCTED QTRLY $'s"}</definedName>
    <definedName name="nn" localSheetId="68" hidden="1">{#N/A,#N/A,FALSE,"PRJCTED QTRLY $'s"}</definedName>
    <definedName name="nn" localSheetId="69" hidden="1">{#N/A,#N/A,FALSE,"PRJCTED QTRLY $'s"}</definedName>
    <definedName name="nn" localSheetId="72" hidden="1">{#N/A,#N/A,FALSE,"PRJCTED QTRLY $'s"}</definedName>
    <definedName name="nn" localSheetId="73" hidden="1">{#N/A,#N/A,FALSE,"PRJCTED QTRLY $'s"}</definedName>
    <definedName name="nn" hidden="1">{#N/A,#N/A,FALSE,"PRJCTED QTRLY $'s"}</definedName>
    <definedName name="Pal_Workbook_GUID" hidden="1">"LJ9YVKRJVQ1A1KNUG7XIT5A9"</definedName>
    <definedName name="qs" localSheetId="26" hidden="1">{#N/A,#N/A,FALSE,"PRJCTED MNTHLY QTY's"}</definedName>
    <definedName name="qs" localSheetId="27" hidden="1">{#N/A,#N/A,FALSE,"PRJCTED MNTHLY QTY's"}</definedName>
    <definedName name="qs" localSheetId="17" hidden="1">{#N/A,#N/A,FALSE,"PRJCTED MNTHLY QTY's"}</definedName>
    <definedName name="qs" localSheetId="19" hidden="1">{#N/A,#N/A,FALSE,"PRJCTED MNTHLY QTY's"}</definedName>
    <definedName name="qs" localSheetId="40" hidden="1">{#N/A,#N/A,FALSE,"PRJCTED MNTHLY QTY's"}</definedName>
    <definedName name="qs" localSheetId="57" hidden="1">{#N/A,#N/A,FALSE,"PRJCTED MNTHLY QTY's"}</definedName>
    <definedName name="qs" localSheetId="58" hidden="1">{#N/A,#N/A,FALSE,"PRJCTED MNTHLY QTY's"}</definedName>
    <definedName name="qs" localSheetId="59" hidden="1">{#N/A,#N/A,FALSE,"PRJCTED MNTHLY QTY's"}</definedName>
    <definedName name="qs" localSheetId="65" hidden="1">{#N/A,#N/A,FALSE,"PRJCTED MNTHLY QTY's"}</definedName>
    <definedName name="qs" localSheetId="75" hidden="1">{#N/A,#N/A,FALSE,"PRJCTED MNTHLY QTY's"}</definedName>
    <definedName name="qs" localSheetId="66" hidden="1">{#N/A,#N/A,FALSE,"PRJCTED MNTHLY QTY's"}</definedName>
    <definedName name="qs" localSheetId="67" hidden="1">{#N/A,#N/A,FALSE,"PRJCTED MNTHLY QTY's"}</definedName>
    <definedName name="qs" localSheetId="68" hidden="1">{#N/A,#N/A,FALSE,"PRJCTED MNTHLY QTY's"}</definedName>
    <definedName name="qs" localSheetId="69" hidden="1">{#N/A,#N/A,FALSE,"PRJCTED MNTHLY QTY's"}</definedName>
    <definedName name="qs" localSheetId="72" hidden="1">{#N/A,#N/A,FALSE,"PRJCTED MNTHLY QTY's"}</definedName>
    <definedName name="qs" localSheetId="73" hidden="1">{#N/A,#N/A,FALSE,"PRJCTED MNTHLY QTY's"}</definedName>
    <definedName name="qs" hidden="1">{#N/A,#N/A,FALSE,"PRJCTED MNTHLY QTY's"}</definedName>
    <definedName name="Ref_Col" localSheetId="35">#REF!</definedName>
    <definedName name="Ref_Data" localSheetId="35">#REF!</definedName>
    <definedName name="Ref_Row" localSheetId="35">#REF!</definedName>
    <definedName name="Ref_Sheet" localSheetId="35">#REF!</definedName>
    <definedName name="RiskAfterRecalcMacro" localSheetId="57" hidden="1">"Simulation"</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57" hidden="1">100</definedName>
    <definedName name="RiskNumIterations" localSheetId="58" hidden="1">10000</definedName>
    <definedName name="RiskNumIterations" localSheetId="59" hidden="1">10000</definedName>
    <definedName name="RiskNumIterations" localSheetId="65" hidden="1">10000</definedName>
    <definedName name="RiskNumIterations" hidden="1">5000</definedName>
    <definedName name="RiskNumSimulations" hidden="1">1</definedName>
    <definedName name="RiskPauseOnError" hidden="1">FALSE</definedName>
    <definedName name="RiskRunAfterRecalcMacro" localSheetId="57"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localSheetId="58" hidden="1">2</definedName>
    <definedName name="RiskStandardRecalc" localSheetId="59" hidden="1">2</definedName>
    <definedName name="RiskStandardRecalc" localSheetId="65"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localSheetId="57" hidden="1">FALSE</definedName>
    <definedName name="RiskUseMultipleCPUs" hidden="1">TRUE</definedName>
    <definedName name="Rwvu.CapersView." localSheetId="40" hidden="1">#REF!</definedName>
    <definedName name="Rwvu.CapersView." localSheetId="57" hidden="1">#REF!</definedName>
    <definedName name="Rwvu.CapersView." hidden="1">#REF!</definedName>
    <definedName name="Rwvu.Japan_Capers_Ed_Pub." localSheetId="40" hidden="1">#REF!</definedName>
    <definedName name="Rwvu.Japan_Capers_Ed_Pub." localSheetId="57" hidden="1">#REF!</definedName>
    <definedName name="Rwvu.Japan_Capers_Ed_Pub." hidden="1">#REF!</definedName>
    <definedName name="Rwvu.KJP_CC." localSheetId="57"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IFFt">'2.1 Revenue_Interface'!$AB$169:$AF$169</definedName>
    <definedName name="SOActualBadDebtcostincurred">'2.1 Revenue_Interface'!$AB$149:$AF$149</definedName>
    <definedName name="SOCDSPt">'2.1 Revenue_Interface'!$AB$145:$AF$145</definedName>
    <definedName name="SOCRITOt">'2.1 Revenue_Interface'!$AB$114:$AF$114</definedName>
    <definedName name="SOCRITRAt">'2.1 Revenue_Interface'!$AB$63:$AF$63</definedName>
    <definedName name="SOCRITROt">'2.1 Revenue_Interface'!$AB$115:$AF$115</definedName>
    <definedName name="SOCROTOt">'2.1 Revenue_Interface'!$AB$111:$AF$111</definedName>
    <definedName name="SOCROTRAt">'2.1 Revenue_Interface'!$AB$61:$AF$61</definedName>
    <definedName name="SOCROTROt">'2.1 Revenue_Interface'!$AB$112:$AF$112</definedName>
    <definedName name="SOFIOCOt">'2.1 Revenue_Interface'!$AB$122:$AF$122</definedName>
    <definedName name="SOFIOCRAt">'2.1 Revenue_Interface'!$AB$65:$AF$65</definedName>
    <definedName name="SOFIOCROt">'2.1 Revenue_Interface'!$AB$123:$AF$123</definedName>
    <definedName name="SOInterestincomeaccruedadjustment">'2.1 Revenue_Interface'!$AB$150:$AF$150</definedName>
    <definedName name="SONOITt">'2.1 Revenue_Interface'!$AB$120:$AF$120</definedName>
    <definedName name="SONZOt">'2.1 Revenue_Interface'!$AB$117:$AF$117</definedName>
    <definedName name="SONZROt">'2.1 Revenue_Interface'!$AB$118:$AF$118</definedName>
    <definedName name="SOProvisionalBadDebtcost">'2.1 Revenue_Interface'!$AB$148:$AF$148</definedName>
    <definedName name="SOSOACO">'2.1 Revenue_Interface'!$AB$33:$AF$33</definedName>
    <definedName name="SOSOANC">'2.1 Revenue_Interface'!$AB$32:$AF$32</definedName>
    <definedName name="SOSOEDEt">'2.1 Revenue_Interface'!$AB$146:$AF$146</definedName>
    <definedName name="SOSORBDt">'2.1 Revenue_Interface'!$AB$151:$AF$151</definedName>
    <definedName name="Swvu.CapersView." localSheetId="57" hidden="1">[3]Sheet1!#REF!</definedName>
    <definedName name="Swvu.CapersView." hidden="1">[3]Sheet1!#REF!</definedName>
    <definedName name="Swvu.Japan_Capers_Ed_Pub." localSheetId="40" hidden="1">#REF!</definedName>
    <definedName name="Swvu.Japan_Capers_Ed_Pub." localSheetId="57" hidden="1">#REF!</definedName>
    <definedName name="Swvu.Japan_Capers_Ed_Pub." hidden="1">#REF!</definedName>
    <definedName name="Swvu.KJP_CC." localSheetId="40" hidden="1">#REF!</definedName>
    <definedName name="Swvu.KJP_CC." localSheetId="57" hidden="1">#REF!</definedName>
    <definedName name="Swvu.KJP_CC." hidden="1">#REF!</definedName>
    <definedName name="TOACO">'2.1 Revenue_Interface'!$AB$14:$AF$14</definedName>
    <definedName name="TOACOU">'2.1 Revenue_Interface'!$AB$21:$AF$21</definedName>
    <definedName name="TOActualBadDebtcostincurred">'2.1 Revenue_Interface'!$AB$135:$AF$135</definedName>
    <definedName name="TOActualbusinessmileageemissions">'2.1 Revenue_Interface'!$AB$158:$AF$158</definedName>
    <definedName name="TOActualEnvironmentalValue">'2.1 Revenue_Interface'!$AB$165:$AF$165</definedName>
    <definedName name="TOActualofficewaste">'2.1 Revenue_Interface'!$AB$161:$AF$161</definedName>
    <definedName name="TOActualoperationaltransportemissions">'2.1 Revenue_Interface'!$AB$157:$AF$157</definedName>
    <definedName name="TOActualwateruse">'2.1 Revenue_Interface'!$AB$162:$AF$162</definedName>
    <definedName name="TOAHt">'2.1 Revenue_Interface'!$AB$102:$AF$102</definedName>
    <definedName name="TOAIO">'2.1 Revenue_Interface'!$AB$15:$AF$15</definedName>
    <definedName name="TOAIOU">'2.1 Revenue_Interface'!$AB$22:$AF$22</definedName>
    <definedName name="TOALC">'2.1 Revenue_Interface'!$AB$11:$AF$11</definedName>
    <definedName name="TOALCU">'2.1 Revenue_Interface'!$AB$18:$AF$18</definedName>
    <definedName name="TOALTt">'2.1 Revenue_Interface'!$AB$141:$AF$141</definedName>
    <definedName name="TOANC">'2.1 Revenue_Interface'!$AB$16:$AF$16</definedName>
    <definedName name="TOANCU">'2.1 Revenue_Interface'!$AB$23:$AF$23</definedName>
    <definedName name="TOAOC">'2.1 Revenue_Interface'!$AB$13:$AF$13</definedName>
    <definedName name="TOAOCU">'2.1 Revenue_Interface'!$AB$20:$AF$20</definedName>
    <definedName name="TOARC">'2.1 Revenue_Interface'!$AB$12:$AF$12</definedName>
    <definedName name="TOARCU">'2.1 Revenue_Interface'!$AB$19:$AF$19</definedName>
    <definedName name="TOBPDt">'2.1 Revenue_Interface'!$AB$139:$AF$139</definedName>
    <definedName name="TOBTROt">'2.1 Revenue_Interface'!$AB$90:$AF$90</definedName>
    <definedName name="TOBTRRAt">'2.1 Revenue_Interface'!$AB$47:$AF$47</definedName>
    <definedName name="TOBTRROt">'2.1 Revenue_Interface'!$AB$91:$AF$91</definedName>
    <definedName name="TOCAMt">'2.1 Revenue_Interface'!$AB$86:$AF$86</definedName>
    <definedName name="TOCEPOt">'2.1 Revenue_Interface'!$AB$93:$AF$93</definedName>
    <definedName name="TOCEPRAt">'2.1 Revenue_Interface'!$AB$49:$AF$49</definedName>
    <definedName name="TOCEPROt">'2.1 Revenue_Interface'!$AB$94:$AF$94</definedName>
    <definedName name="TOCRITOt">'2.1 Revenue_Interface'!$AB$75:$AF$75</definedName>
    <definedName name="TOCRITRAt">'2.1 Revenue_Interface'!$AB$41:$AF$41</definedName>
    <definedName name="TOCRITROt">'2.1 Revenue_Interface'!$AB$76:$AF$76</definedName>
    <definedName name="TOCROTOt">'2.1 Revenue_Interface'!$AB$72:$AF$72</definedName>
    <definedName name="TOCROTRAt">'2.1 Revenue_Interface'!$AB$39:$AF$39</definedName>
    <definedName name="TOCROTROt">'2.1 Revenue_Interface'!$AB$73:$AF$73</definedName>
    <definedName name="TOCSPt">'2.1 Revenue_Interface'!$AB$155:$AF$155</definedName>
    <definedName name="TOEDEt">'2.1 Revenue_Interface'!$AB$129:$AF$129</definedName>
    <definedName name="TOFIOCOt">'2.1 Revenue_Interface'!$AB$99:$AF$99</definedName>
    <definedName name="TOFIOCRAt">'2.1 Revenue_Interface'!$AB$53:$AF$53</definedName>
    <definedName name="TOFIOCROt">'2.1 Revenue_Interface'!$AB$100:$AF$100</definedName>
    <definedName name="TOIDRSt">'2.1 Revenue_Interface'!$AB$28:$AF$28</definedName>
    <definedName name="TOInterestincomeaccruedadjustment">'2.1 Revenue_Interface'!$AB$136:$AF$136</definedName>
    <definedName name="TOKLSOt">'2.1 Revenue_Interface'!$AB$96:$AF$96</definedName>
    <definedName name="TOKLSRAt">'2.1 Revenue_Interface'!$AB$51:$AF$51</definedName>
    <definedName name="TOKLSROt">'2.1 Revenue_Interface'!$AB$97:$AF$97</definedName>
    <definedName name="TOLFt">'2.1 Revenue_Interface'!$AB$127:$AF$127</definedName>
    <definedName name="TONARMAHOt">'2.1 Revenue_Interface'!$AB$69:$AF$69</definedName>
    <definedName name="TONARMAHRt">'2.1 Revenue_Interface'!$AB$70:$AF$70</definedName>
    <definedName name="TONARMRt">'2.1 Revenue_Interface'!$AB$37:$AF$37</definedName>
    <definedName name="TONLAHOt">'2.1 Revenue_Interface'!$AB$104:$AF$104</definedName>
    <definedName name="TONLAHRt">'2.1 Revenue_Interface'!$AB$105:$AF$105</definedName>
    <definedName name="TONLARt">'2.1 Revenue_Interface'!$AB$55:$AF$55</definedName>
    <definedName name="TONOITt">'2.1 Revenue_Interface'!$AB$84:$AF$84</definedName>
    <definedName name="TONumberofQualifyingProjectswithnetEnvironmentalGainequaltoorabove15">'2.1 Revenue_Interface'!$AB$163:$AF$163</definedName>
    <definedName name="TONumberofQualifyingProjectswithnetEnvironmentalGainequaltoorlessthan5">'2.1 Revenue_Interface'!$AB$164:$AF$164</definedName>
    <definedName name="TONZOt">'2.1 Revenue_Interface'!$AB$81:$AF$81</definedName>
    <definedName name="TONZPSt">'2.1 Revenue_Interface'!$AB$132:$AF$132</definedName>
    <definedName name="TONZPt">'2.1 Revenue_Interface'!$AB$88:$AF$88</definedName>
    <definedName name="TONZROt">'2.1 Revenue_Interface'!$AB$82:$AF$82</definedName>
    <definedName name="TOOIDRSt">'2.1 Revenue_Interface'!$AB$27:$AF$27</definedName>
    <definedName name="TOOPTCt">'2.1 Revenue_Interface'!$AB$130:$AF$130</definedName>
    <definedName name="TOPOSDRSt">'2.1 Revenue_Interface'!$AB$26:$AF$26</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'2.1 Revenue_Interface'!$AB$25:$AF$25</definedName>
    <definedName name="TOProvisionalBadDebtcost">'2.1 Revenue_Interface'!$AB$134:$AF$134</definedName>
    <definedName name="TOPSUPOt">'2.1 Revenue_Interface'!$AB$78:$AF$78</definedName>
    <definedName name="TOPSUPRAt">'2.1 Revenue_Interface'!$AB$43:$AF$43</definedName>
    <definedName name="TOPSUPROt">'2.1 Revenue_Interface'!$AB$79:$AF$79</definedName>
    <definedName name="TOPTVt">'2.1 Revenue_Interface'!$AB$131:$AF$131</definedName>
    <definedName name="TOQLt_and_PDt">'2.1 Revenue_Interface'!$AB$107:$AF$107</definedName>
    <definedName name="TORARt">'2.1 Revenue_Interface'!$AB$57:$AF$57</definedName>
    <definedName name="TORBDt">'2.1 Revenue_Interface'!$AB$137:$AF$137</definedName>
    <definedName name="TORBt">'2.1 Revenue_Interface'!$AB$128:$AF$128</definedName>
    <definedName name="TORDFRt">'2.1 Revenue_Interface'!$AB$45:$AF$45</definedName>
    <definedName name="TOTotalannualoperationalandofficewaste">'2.1 Revenue_Interface'!$AB$159:$AF$159</definedName>
    <definedName name="TOTotalannualoperationalandofficewasterecycled">'2.1 Revenue_Interface'!$AB$160:$AF$160</definedName>
    <definedName name="u" localSheetId="26" hidden="1">{#VALUE!,#N/A,FALSE,0}</definedName>
    <definedName name="u" localSheetId="27" hidden="1">{#VALUE!,#N/A,FALSE,0}</definedName>
    <definedName name="u" localSheetId="17" hidden="1">{#VALUE!,#N/A,FALSE,0}</definedName>
    <definedName name="u" localSheetId="19" hidden="1">{#VALUE!,#N/A,FALSE,0}</definedName>
    <definedName name="u" localSheetId="40" hidden="1">{#VALUE!,#N/A,FALSE,0}</definedName>
    <definedName name="u" localSheetId="57" hidden="1">{#VALUE!,#N/A,FALSE,0}</definedName>
    <definedName name="u" localSheetId="58" hidden="1">{#VALUE!,#N/A,FALSE,0}</definedName>
    <definedName name="u" localSheetId="59" hidden="1">{#VALUE!,#N/A,FALSE,0}</definedName>
    <definedName name="u" localSheetId="65" hidden="1">{#VALUE!,#N/A,FALSE,0}</definedName>
    <definedName name="u" localSheetId="75" hidden="1">{#VALUE!,#N/A,FALSE,0}</definedName>
    <definedName name="u" localSheetId="66" hidden="1">{#VALUE!,#N/A,FALSE,0}</definedName>
    <definedName name="u" localSheetId="67" hidden="1">{#VALUE!,#N/A,FALSE,0}</definedName>
    <definedName name="u" localSheetId="68" hidden="1">{#VALUE!,#N/A,FALSE,0}</definedName>
    <definedName name="u" localSheetId="69" hidden="1">{#VALUE!,#N/A,FALSE,0}</definedName>
    <definedName name="u" localSheetId="72" hidden="1">{#VALUE!,#N/A,FALSE,0}</definedName>
    <definedName name="u" localSheetId="73"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17" hidden="1">{#N/A,#N/A,FALSE,"DI 2 YEAR MASTER SCHEDULE"}</definedName>
    <definedName name="UAG" localSheetId="19" hidden="1">{#N/A,#N/A,FALSE,"DI 2 YEAR MASTER SCHEDULE"}</definedName>
    <definedName name="UAG" localSheetId="40" hidden="1">{#N/A,#N/A,FALSE,"DI 2 YEAR MASTER SCHEDULE"}</definedName>
    <definedName name="UAG" localSheetId="57" hidden="1">{#N/A,#N/A,FALSE,"DI 2 YEAR MASTER SCHEDULE"}</definedName>
    <definedName name="UAG" localSheetId="58" hidden="1">{#N/A,#N/A,FALSE,"DI 2 YEAR MASTER SCHEDULE"}</definedName>
    <definedName name="UAG" localSheetId="59" hidden="1">{#N/A,#N/A,FALSE,"DI 2 YEAR MASTER SCHEDULE"}</definedName>
    <definedName name="UAG" localSheetId="65" hidden="1">{#N/A,#N/A,FALSE,"DI 2 YEAR MASTER SCHEDULE"}</definedName>
    <definedName name="UAG" localSheetId="75" hidden="1">{#N/A,#N/A,FALSE,"DI 2 YEAR MASTER SCHEDULE"}</definedName>
    <definedName name="UAG" localSheetId="66" hidden="1">{#N/A,#N/A,FALSE,"DI 2 YEAR MASTER SCHEDULE"}</definedName>
    <definedName name="UAG" localSheetId="67" hidden="1">{#N/A,#N/A,FALSE,"DI 2 YEAR MASTER SCHEDULE"}</definedName>
    <definedName name="UAG" localSheetId="68" hidden="1">{#N/A,#N/A,FALSE,"DI 2 YEAR MASTER SCHEDULE"}</definedName>
    <definedName name="UAG" localSheetId="69" hidden="1">{#N/A,#N/A,FALSE,"DI 2 YEAR MASTER SCHEDULE"}</definedName>
    <definedName name="UAG" localSheetId="72" hidden="1">{#N/A,#N/A,FALSE,"DI 2 YEAR MASTER SCHEDULE"}</definedName>
    <definedName name="UAG" localSheetId="73"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26" hidden="1">{"Japan_Capers_Ed_Pub",#N/A,FALSE,"DI 2 YEAR MASTER SCHEDULE"}</definedName>
    <definedName name="v" localSheetId="27"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40" hidden="1">{"Japan_Capers_Ed_Pub",#N/A,FALSE,"DI 2 YEAR MASTER SCHEDULE"}</definedName>
    <definedName name="v" localSheetId="57" hidden="1">{"Japan_Capers_Ed_Pub",#N/A,FALSE,"DI 2 YEAR MASTER SCHEDULE"}</definedName>
    <definedName name="v" localSheetId="58" hidden="1">{"Japan_Capers_Ed_Pub",#N/A,FALSE,"DI 2 YEAR MASTER SCHEDULE"}</definedName>
    <definedName name="v" localSheetId="59" hidden="1">{"Japan_Capers_Ed_Pub",#N/A,FALSE,"DI 2 YEAR MASTER SCHEDULE"}</definedName>
    <definedName name="v" localSheetId="65" hidden="1">{"Japan_Capers_Ed_Pub",#N/A,FALSE,"DI 2 YEAR MASTER SCHEDULE"}</definedName>
    <definedName name="v" localSheetId="75" hidden="1">{"Japan_Capers_Ed_Pub",#N/A,FALSE,"DI 2 YEAR MASTER SCHEDULE"}</definedName>
    <definedName name="v" localSheetId="66" hidden="1">{"Japan_Capers_Ed_Pub",#N/A,FALSE,"DI 2 YEAR MASTER SCHEDULE"}</definedName>
    <definedName name="v" localSheetId="67" hidden="1">{"Japan_Capers_Ed_Pub",#N/A,FALSE,"DI 2 YEAR MASTER SCHEDULE"}</definedName>
    <definedName name="v" localSheetId="68" hidden="1">{"Japan_Capers_Ed_Pub",#N/A,FALSE,"DI 2 YEAR MASTER SCHEDULE"}</definedName>
    <definedName name="v" localSheetId="69" hidden="1">{"Japan_Capers_Ed_Pub",#N/A,FALSE,"DI 2 YEAR MASTER SCHEDULE"}</definedName>
    <definedName name="v" localSheetId="72" hidden="1">{"Japan_Capers_Ed_Pub",#N/A,FALSE,"DI 2 YEAR MASTER SCHEDULE"}</definedName>
    <definedName name="v" localSheetId="73" hidden="1">{"Japan_Capers_Ed_Pub",#N/A,FALSE,"DI 2 YEAR MASTER SCHEDULE"}</definedName>
    <definedName name="v" hidden="1">{"Japan_Capers_Ed_Pub",#N/A,FALSE,"DI 2 YEAR MASTER SCHEDULE"}</definedName>
    <definedName name="wrn.CapersPlotter." localSheetId="26" hidden="1">{#N/A,#N/A,FALSE,"DI 2 YEAR MASTER SCHEDULE"}</definedName>
    <definedName name="wrn.CapersPlotter." localSheetId="27"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40" hidden="1">{#N/A,#N/A,FALSE,"DI 2 YEAR MASTER SCHEDULE"}</definedName>
    <definedName name="wrn.CapersPlotter." localSheetId="57" hidden="1">{#N/A,#N/A,FALSE,"DI 2 YEAR MASTER SCHEDULE"}</definedName>
    <definedName name="wrn.CapersPlotter." localSheetId="58" hidden="1">{#N/A,#N/A,FALSE,"DI 2 YEAR MASTER SCHEDULE"}</definedName>
    <definedName name="wrn.CapersPlotter." localSheetId="59" hidden="1">{#N/A,#N/A,FALSE,"DI 2 YEAR MASTER SCHEDULE"}</definedName>
    <definedName name="wrn.CapersPlotter." localSheetId="65" hidden="1">{#N/A,#N/A,FALSE,"DI 2 YEAR MASTER SCHEDULE"}</definedName>
    <definedName name="wrn.CapersPlotter." localSheetId="75" hidden="1">{#N/A,#N/A,FALSE,"DI 2 YEAR MASTER SCHEDULE"}</definedName>
    <definedName name="wrn.CapersPlotter." localSheetId="66" hidden="1">{#N/A,#N/A,FALSE,"DI 2 YEAR MASTER SCHEDULE"}</definedName>
    <definedName name="wrn.CapersPlotter." localSheetId="67" hidden="1">{#N/A,#N/A,FALSE,"DI 2 YEAR MASTER SCHEDULE"}</definedName>
    <definedName name="wrn.CapersPlotter." localSheetId="68" hidden="1">{#N/A,#N/A,FALSE,"DI 2 YEAR MASTER SCHEDULE"}</definedName>
    <definedName name="wrn.CapersPlotter." localSheetId="69" hidden="1">{#N/A,#N/A,FALSE,"DI 2 YEAR MASTER SCHEDULE"}</definedName>
    <definedName name="wrn.CapersPlotter." localSheetId="72" hidden="1">{#N/A,#N/A,FALSE,"DI 2 YEAR MASTER SCHEDULE"}</definedName>
    <definedName name="wrn.CapersPlotter." localSheetId="73"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40" hidden="1">{#N/A,#N/A,FALSE,"DI 2 YEAR MASTER SCHEDULE"}</definedName>
    <definedName name="wrn.Edutainment._.Priority._.List." localSheetId="57" hidden="1">{#N/A,#N/A,FALSE,"DI 2 YEAR MASTER SCHEDULE"}</definedName>
    <definedName name="wrn.Edutainment._.Priority._.List." localSheetId="58" hidden="1">{#N/A,#N/A,FALSE,"DI 2 YEAR MASTER SCHEDULE"}</definedName>
    <definedName name="wrn.Edutainment._.Priority._.List." localSheetId="59" hidden="1">{#N/A,#N/A,FALSE,"DI 2 YEAR MASTER SCHEDULE"}</definedName>
    <definedName name="wrn.Edutainment._.Priority._.List." localSheetId="65" hidden="1">{#N/A,#N/A,FALSE,"DI 2 YEAR MASTER SCHEDULE"}</definedName>
    <definedName name="wrn.Edutainment._.Priority._.List." localSheetId="75" hidden="1">{#N/A,#N/A,FALSE,"DI 2 YEAR MASTER SCHEDULE"}</definedName>
    <definedName name="wrn.Edutainment._.Priority._.List." localSheetId="66" hidden="1">{#N/A,#N/A,FALSE,"DI 2 YEAR MASTER SCHEDULE"}</definedName>
    <definedName name="wrn.Edutainment._.Priority._.List." localSheetId="67" hidden="1">{#N/A,#N/A,FALSE,"DI 2 YEAR MASTER SCHEDULE"}</definedName>
    <definedName name="wrn.Edutainment._.Priority._.List." localSheetId="68" hidden="1">{#N/A,#N/A,FALSE,"DI 2 YEAR MASTER SCHEDULE"}</definedName>
    <definedName name="wrn.Edutainment._.Priority._.List." localSheetId="69" hidden="1">{#N/A,#N/A,FALSE,"DI 2 YEAR MASTER SCHEDULE"}</definedName>
    <definedName name="wrn.Edutainment._.Priority._.List." localSheetId="72" hidden="1">{#N/A,#N/A,FALSE,"DI 2 YEAR MASTER SCHEDULE"}</definedName>
    <definedName name="wrn.Edutainment._.Priority._.List." localSheetId="73"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40" hidden="1">{"Japan_Capers_Ed_Pub",#N/A,FALSE,"DI 2 YEAR MASTER SCHEDULE"}</definedName>
    <definedName name="wrn.Japan_Capers_Ed._.Pub." localSheetId="57" hidden="1">{"Japan_Capers_Ed_Pub",#N/A,FALSE,"DI 2 YEAR MASTER SCHEDULE"}</definedName>
    <definedName name="wrn.Japan_Capers_Ed._.Pub." localSheetId="58" hidden="1">{"Japan_Capers_Ed_Pub",#N/A,FALSE,"DI 2 YEAR MASTER SCHEDULE"}</definedName>
    <definedName name="wrn.Japan_Capers_Ed._.Pub." localSheetId="59" hidden="1">{"Japan_Capers_Ed_Pub",#N/A,FALSE,"DI 2 YEAR MASTER SCHEDULE"}</definedName>
    <definedName name="wrn.Japan_Capers_Ed._.Pub." localSheetId="65" hidden="1">{"Japan_Capers_Ed_Pub",#N/A,FALSE,"DI 2 YEAR MASTER SCHEDULE"}</definedName>
    <definedName name="wrn.Japan_Capers_Ed._.Pub." localSheetId="75" hidden="1">{"Japan_Capers_Ed_Pub",#N/A,FALSE,"DI 2 YEAR MASTER SCHEDULE"}</definedName>
    <definedName name="wrn.Japan_Capers_Ed._.Pub." localSheetId="66" hidden="1">{"Japan_Capers_Ed_Pub",#N/A,FALSE,"DI 2 YEAR MASTER SCHEDULE"}</definedName>
    <definedName name="wrn.Japan_Capers_Ed._.Pub." localSheetId="67" hidden="1">{"Japan_Capers_Ed_Pub",#N/A,FALSE,"DI 2 YEAR MASTER SCHEDULE"}</definedName>
    <definedName name="wrn.Japan_Capers_Ed._.Pub." localSheetId="68" hidden="1">{"Japan_Capers_Ed_Pub",#N/A,FALSE,"DI 2 YEAR MASTER SCHEDULE"}</definedName>
    <definedName name="wrn.Japan_Capers_Ed._.Pub." localSheetId="69" hidden="1">{"Japan_Capers_Ed_Pub",#N/A,FALSE,"DI 2 YEAR MASTER SCHEDULE"}</definedName>
    <definedName name="wrn.Japan_Capers_Ed._.Pub." localSheetId="72" hidden="1">{"Japan_Capers_Ed_Pub",#N/A,FALSE,"DI 2 YEAR MASTER SCHEDULE"}</definedName>
    <definedName name="wrn.Japan_Capers_Ed._.Pub." localSheetId="73"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40" hidden="1">{#N/A,#N/A,FALSE,"DI 2 YEAR MASTER SCHEDULE"}</definedName>
    <definedName name="wrn.Priority._.list." localSheetId="57" hidden="1">{#N/A,#N/A,FALSE,"DI 2 YEAR MASTER SCHEDULE"}</definedName>
    <definedName name="wrn.Priority._.list." localSheetId="58" hidden="1">{#N/A,#N/A,FALSE,"DI 2 YEAR MASTER SCHEDULE"}</definedName>
    <definedName name="wrn.Priority._.list." localSheetId="59" hidden="1">{#N/A,#N/A,FALSE,"DI 2 YEAR MASTER SCHEDULE"}</definedName>
    <definedName name="wrn.Priority._.list." localSheetId="65" hidden="1">{#N/A,#N/A,FALSE,"DI 2 YEAR MASTER SCHEDULE"}</definedName>
    <definedName name="wrn.Priority._.list." localSheetId="75" hidden="1">{#N/A,#N/A,FALSE,"DI 2 YEAR MASTER SCHEDULE"}</definedName>
    <definedName name="wrn.Priority._.list." localSheetId="66" hidden="1">{#N/A,#N/A,FALSE,"DI 2 YEAR MASTER SCHEDULE"}</definedName>
    <definedName name="wrn.Priority._.list." localSheetId="67" hidden="1">{#N/A,#N/A,FALSE,"DI 2 YEAR MASTER SCHEDULE"}</definedName>
    <definedName name="wrn.Priority._.list." localSheetId="68" hidden="1">{#N/A,#N/A,FALSE,"DI 2 YEAR MASTER SCHEDULE"}</definedName>
    <definedName name="wrn.Priority._.list." localSheetId="69" hidden="1">{#N/A,#N/A,FALSE,"DI 2 YEAR MASTER SCHEDULE"}</definedName>
    <definedName name="wrn.Priority._.list." localSheetId="72" hidden="1">{#N/A,#N/A,FALSE,"DI 2 YEAR MASTER SCHEDULE"}</definedName>
    <definedName name="wrn.Priority._.list." localSheetId="73"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40" hidden="1">{#N/A,#N/A,FALSE,"PRJCTED MNTHLY QTY's"}</definedName>
    <definedName name="wrn.Prjcted._.Mnthly._.Qtys." localSheetId="57" hidden="1">{#N/A,#N/A,FALSE,"PRJCTED MNTHLY QTY's"}</definedName>
    <definedName name="wrn.Prjcted._.Mnthly._.Qtys." localSheetId="58" hidden="1">{#N/A,#N/A,FALSE,"PRJCTED MNTHLY QTY's"}</definedName>
    <definedName name="wrn.Prjcted._.Mnthly._.Qtys." localSheetId="59" hidden="1">{#N/A,#N/A,FALSE,"PRJCTED MNTHLY QTY's"}</definedName>
    <definedName name="wrn.Prjcted._.Mnthly._.Qtys." localSheetId="65" hidden="1">{#N/A,#N/A,FALSE,"PRJCTED MNTHLY QTY's"}</definedName>
    <definedName name="wrn.Prjcted._.Mnthly._.Qtys." localSheetId="75" hidden="1">{#N/A,#N/A,FALSE,"PRJCTED MNTHLY QTY's"}</definedName>
    <definedName name="wrn.Prjcted._.Mnthly._.Qtys." localSheetId="66" hidden="1">{#N/A,#N/A,FALSE,"PRJCTED MNTHLY QTY's"}</definedName>
    <definedName name="wrn.Prjcted._.Mnthly._.Qtys." localSheetId="67" hidden="1">{#N/A,#N/A,FALSE,"PRJCTED MNTHLY QTY's"}</definedName>
    <definedName name="wrn.Prjcted._.Mnthly._.Qtys." localSheetId="68" hidden="1">{#N/A,#N/A,FALSE,"PRJCTED MNTHLY QTY's"}</definedName>
    <definedName name="wrn.Prjcted._.Mnthly._.Qtys." localSheetId="69" hidden="1">{#N/A,#N/A,FALSE,"PRJCTED MNTHLY QTY's"}</definedName>
    <definedName name="wrn.Prjcted._.Mnthly._.Qtys." localSheetId="72" hidden="1">{#N/A,#N/A,FALSE,"PRJCTED MNTHLY QTY's"}</definedName>
    <definedName name="wrn.Prjcted._.Mnthly._.Qtys." localSheetId="73"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40" hidden="1">{#N/A,#N/A,FALSE,"PRJCTED QTRLY $'s"}</definedName>
    <definedName name="wrn.Prjcted._.Qtrly._.Dollars." localSheetId="57" hidden="1">{#N/A,#N/A,FALSE,"PRJCTED QTRLY $'s"}</definedName>
    <definedName name="wrn.Prjcted._.Qtrly._.Dollars." localSheetId="58" hidden="1">{#N/A,#N/A,FALSE,"PRJCTED QTRLY $'s"}</definedName>
    <definedName name="wrn.Prjcted._.Qtrly._.Dollars." localSheetId="59" hidden="1">{#N/A,#N/A,FALSE,"PRJCTED QTRLY $'s"}</definedName>
    <definedName name="wrn.Prjcted._.Qtrly._.Dollars." localSheetId="65" hidden="1">{#N/A,#N/A,FALSE,"PRJCTED QTRLY $'s"}</definedName>
    <definedName name="wrn.Prjcted._.Qtrly._.Dollars." localSheetId="75" hidden="1">{#N/A,#N/A,FALSE,"PRJCTED QTRLY $'s"}</definedName>
    <definedName name="wrn.Prjcted._.Qtrly._.Dollars." localSheetId="66" hidden="1">{#N/A,#N/A,FALSE,"PRJCTED QTRLY $'s"}</definedName>
    <definedName name="wrn.Prjcted._.Qtrly._.Dollars." localSheetId="67" hidden="1">{#N/A,#N/A,FALSE,"PRJCTED QTRLY $'s"}</definedName>
    <definedName name="wrn.Prjcted._.Qtrly._.Dollars." localSheetId="68" hidden="1">{#N/A,#N/A,FALSE,"PRJCTED QTRLY $'s"}</definedName>
    <definedName name="wrn.Prjcted._.Qtrly._.Dollars." localSheetId="69" hidden="1">{#N/A,#N/A,FALSE,"PRJCTED QTRLY $'s"}</definedName>
    <definedName name="wrn.Prjcted._.Qtrly._.Dollars." localSheetId="72" hidden="1">{#N/A,#N/A,FALSE,"PRJCTED QTRLY $'s"}</definedName>
    <definedName name="wrn.Prjcted._.Qtrly._.Dollars." localSheetId="73"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40" hidden="1">{#N/A,#N/A,FALSE,"PRJCTED QTRLY QTY's"}</definedName>
    <definedName name="wrn.Prjcted._.Qtrly._.Qtys." localSheetId="57" hidden="1">{#N/A,#N/A,FALSE,"PRJCTED QTRLY QTY's"}</definedName>
    <definedName name="wrn.Prjcted._.Qtrly._.Qtys." localSheetId="58" hidden="1">{#N/A,#N/A,FALSE,"PRJCTED QTRLY QTY's"}</definedName>
    <definedName name="wrn.Prjcted._.Qtrly._.Qtys." localSheetId="59" hidden="1">{#N/A,#N/A,FALSE,"PRJCTED QTRLY QTY's"}</definedName>
    <definedName name="wrn.Prjcted._.Qtrly._.Qtys." localSheetId="65" hidden="1">{#N/A,#N/A,FALSE,"PRJCTED QTRLY QTY's"}</definedName>
    <definedName name="wrn.Prjcted._.Qtrly._.Qtys." localSheetId="75" hidden="1">{#N/A,#N/A,FALSE,"PRJCTED QTRLY QTY's"}</definedName>
    <definedName name="wrn.Prjcted._.Qtrly._.Qtys." localSheetId="66" hidden="1">{#N/A,#N/A,FALSE,"PRJCTED QTRLY QTY's"}</definedName>
    <definedName name="wrn.Prjcted._.Qtrly._.Qtys." localSheetId="67" hidden="1">{#N/A,#N/A,FALSE,"PRJCTED QTRLY QTY's"}</definedName>
    <definedName name="wrn.Prjcted._.Qtrly._.Qtys." localSheetId="68" hidden="1">{#N/A,#N/A,FALSE,"PRJCTED QTRLY QTY's"}</definedName>
    <definedName name="wrn.Prjcted._.Qtrly._.Qtys." localSheetId="69" hidden="1">{#N/A,#N/A,FALSE,"PRJCTED QTRLY QTY's"}</definedName>
    <definedName name="wrn.Prjcted._.Qtrly._.Qtys." localSheetId="72" hidden="1">{#N/A,#N/A,FALSE,"PRJCTED QTRLY QTY's"}</definedName>
    <definedName name="wrn.Prjcted._.Qtrly._.Qtys." localSheetId="73"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17" hidden="1">{#N/A,#N/A,FALSE,"DI 2 YEAR MASTER SCHEDULE"}</definedName>
    <definedName name="x" localSheetId="19" hidden="1">{#N/A,#N/A,FALSE,"DI 2 YEAR MASTER SCHEDULE"}</definedName>
    <definedName name="x" localSheetId="40" hidden="1">{#N/A,#N/A,FALSE,"DI 2 YEAR MASTER SCHEDULE"}</definedName>
    <definedName name="x" localSheetId="57" hidden="1">{#N/A,#N/A,FALSE,"DI 2 YEAR MASTER SCHEDULE"}</definedName>
    <definedName name="x" localSheetId="58" hidden="1">{#N/A,#N/A,FALSE,"DI 2 YEAR MASTER SCHEDULE"}</definedName>
    <definedName name="x" localSheetId="59" hidden="1">{#N/A,#N/A,FALSE,"DI 2 YEAR MASTER SCHEDULE"}</definedName>
    <definedName name="x" localSheetId="65" hidden="1">{#N/A,#N/A,FALSE,"DI 2 YEAR MASTER SCHEDULE"}</definedName>
    <definedName name="x" localSheetId="75" hidden="1">{#N/A,#N/A,FALSE,"DI 2 YEAR MASTER SCHEDULE"}</definedName>
    <definedName name="x" localSheetId="66" hidden="1">{#N/A,#N/A,FALSE,"DI 2 YEAR MASTER SCHEDULE"}</definedName>
    <definedName name="x" localSheetId="67" hidden="1">{#N/A,#N/A,FALSE,"DI 2 YEAR MASTER SCHEDULE"}</definedName>
    <definedName name="x" localSheetId="68" hidden="1">{#N/A,#N/A,FALSE,"DI 2 YEAR MASTER SCHEDULE"}</definedName>
    <definedName name="x" localSheetId="69" hidden="1">{#N/A,#N/A,FALSE,"DI 2 YEAR MASTER SCHEDULE"}</definedName>
    <definedName name="x" localSheetId="72" hidden="1">{#N/A,#N/A,FALSE,"DI 2 YEAR MASTER SCHEDULE"}</definedName>
    <definedName name="x" localSheetId="73" hidden="1">{#N/A,#N/A,FALSE,"DI 2 YEAR MASTER SCHEDULE"}</definedName>
    <definedName name="x" hidden="1">{#N/A,#N/A,FALSE,"DI 2 YEAR MASTER SCHEDULE"}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17" hidden="1">{#N/A,#N/A,FALSE,"DI 2 YEAR MASTER SCHEDULE"}</definedName>
    <definedName name="z" localSheetId="19" hidden="1">{#N/A,#N/A,FALSE,"DI 2 YEAR MASTER SCHEDULE"}</definedName>
    <definedName name="z" localSheetId="40" hidden="1">{#N/A,#N/A,FALSE,"DI 2 YEAR MASTER SCHEDULE"}</definedName>
    <definedName name="z" localSheetId="57" hidden="1">{#N/A,#N/A,FALSE,"DI 2 YEAR MASTER SCHEDULE"}</definedName>
    <definedName name="z" localSheetId="58" hidden="1">{#N/A,#N/A,FALSE,"DI 2 YEAR MASTER SCHEDULE"}</definedName>
    <definedName name="z" localSheetId="59" hidden="1">{#N/A,#N/A,FALSE,"DI 2 YEAR MASTER SCHEDULE"}</definedName>
    <definedName name="z" localSheetId="65" hidden="1">{#N/A,#N/A,FALSE,"DI 2 YEAR MASTER SCHEDULE"}</definedName>
    <definedName name="z" localSheetId="75" hidden="1">{#N/A,#N/A,FALSE,"DI 2 YEAR MASTER SCHEDULE"}</definedName>
    <definedName name="z" localSheetId="66" hidden="1">{#N/A,#N/A,FALSE,"DI 2 YEAR MASTER SCHEDULE"}</definedName>
    <definedName name="z" localSheetId="67" hidden="1">{#N/A,#N/A,FALSE,"DI 2 YEAR MASTER SCHEDULE"}</definedName>
    <definedName name="z" localSheetId="68" hidden="1">{#N/A,#N/A,FALSE,"DI 2 YEAR MASTER SCHEDULE"}</definedName>
    <definedName name="z" localSheetId="69" hidden="1">{#N/A,#N/A,FALSE,"DI 2 YEAR MASTER SCHEDULE"}</definedName>
    <definedName name="z" localSheetId="72" hidden="1">{#N/A,#N/A,FALSE,"DI 2 YEAR MASTER SCHEDULE"}</definedName>
    <definedName name="z" localSheetId="73" hidden="1">{#N/A,#N/A,FALSE,"DI 2 YEAR MASTER SCHEDULE"}</definedName>
    <definedName name="z" hidden="1">{#N/A,#N/A,FALSE,"DI 2 YEAR MASTER SCHEDULE"}</definedName>
    <definedName name="Z_9A428CE1_B4D9_11D0_A8AA_0000C071AEE7_.wvu.Cols" hidden="1">[3]Sheet1!$A$1:$Q$65536,[3]Sheet1!$Y$1:$Z$65536</definedName>
    <definedName name="Z_9A428CE1_B4D9_11D0_A8AA_0000C071AEE7_.wvu.PrintArea" localSheetId="40" hidden="1">#REF!</definedName>
    <definedName name="Z_9A428CE1_B4D9_11D0_A8AA_0000C071AEE7_.wvu.PrintArea" localSheetId="57" hidden="1">#REF!</definedName>
    <definedName name="Z_9A428CE1_B4D9_11D0_A8AA_0000C071AEE7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64" i="182" l="1"/>
  <c r="AD164" i="182"/>
  <c r="AE164" i="182"/>
  <c r="AF164" i="182"/>
  <c r="AF163" i="182"/>
  <c r="AE163" i="182"/>
  <c r="AD163" i="182"/>
  <c r="AC163" i="182"/>
  <c r="AB164" i="182"/>
  <c r="AB163" i="182"/>
  <c r="AF162" i="182"/>
  <c r="AE162" i="182"/>
  <c r="AD162" i="182"/>
  <c r="AC162" i="182"/>
  <c r="AB162" i="182"/>
  <c r="AF160" i="182"/>
  <c r="AE160" i="182"/>
  <c r="AD160" i="182"/>
  <c r="AC160" i="182"/>
  <c r="AB160" i="182"/>
  <c r="AF161" i="182"/>
  <c r="AE161" i="182"/>
  <c r="AD161" i="182"/>
  <c r="AC161" i="182"/>
  <c r="AB161" i="182"/>
  <c r="AF159" i="182"/>
  <c r="AE159" i="182"/>
  <c r="AD159" i="182"/>
  <c r="AC159" i="182"/>
  <c r="AB159" i="182"/>
  <c r="AF158" i="182"/>
  <c r="AE158" i="182"/>
  <c r="AD158" i="182"/>
  <c r="AC158" i="182"/>
  <c r="AB158" i="182"/>
  <c r="AF157" i="182"/>
  <c r="AE157" i="182"/>
  <c r="AD157" i="182"/>
  <c r="AC157" i="182"/>
  <c r="AB157" i="182"/>
  <c r="H280" i="194"/>
  <c r="I280" i="194"/>
  <c r="J280" i="194"/>
  <c r="K280" i="194"/>
  <c r="G280" i="194"/>
  <c r="H216" i="194"/>
  <c r="I216" i="194"/>
  <c r="J216" i="194"/>
  <c r="K216" i="194"/>
  <c r="G216" i="194"/>
  <c r="H192" i="194"/>
  <c r="I192" i="194"/>
  <c r="J192" i="194"/>
  <c r="K192" i="194"/>
  <c r="G192" i="194"/>
  <c r="H131" i="194"/>
  <c r="I131" i="194"/>
  <c r="J131" i="194"/>
  <c r="K131" i="194"/>
  <c r="G131" i="194"/>
  <c r="H123" i="194"/>
  <c r="I123" i="194"/>
  <c r="J123" i="194"/>
  <c r="K123" i="194"/>
  <c r="G123" i="194"/>
  <c r="H26" i="194"/>
  <c r="I26" i="194"/>
  <c r="J26" i="194"/>
  <c r="K26" i="194"/>
  <c r="H27" i="194"/>
  <c r="I27" i="194"/>
  <c r="J27" i="194"/>
  <c r="K27" i="194"/>
  <c r="G27" i="194"/>
  <c r="G26" i="194"/>
  <c r="H12" i="194"/>
  <c r="I12" i="194"/>
  <c r="J12" i="194"/>
  <c r="K12" i="194"/>
  <c r="H13" i="194"/>
  <c r="I40" i="184" s="1"/>
  <c r="I13" i="194"/>
  <c r="J40" i="184" s="1"/>
  <c r="J13" i="194"/>
  <c r="K40" i="184" s="1"/>
  <c r="K13" i="194"/>
  <c r="G13" i="194"/>
  <c r="G12" i="194"/>
  <c r="H22" i="190"/>
  <c r="I22" i="190"/>
  <c r="J22" i="190"/>
  <c r="K22" i="190"/>
  <c r="L22" i="190"/>
  <c r="H27" i="189"/>
  <c r="I38" i="189"/>
  <c r="J38" i="189"/>
  <c r="K38" i="189"/>
  <c r="L38" i="189"/>
  <c r="H38" i="189"/>
  <c r="I27" i="189"/>
  <c r="J27" i="189"/>
  <c r="K27" i="189"/>
  <c r="L27" i="189"/>
  <c r="H32" i="184"/>
  <c r="I39" i="184"/>
  <c r="J39" i="184"/>
  <c r="K39" i="184"/>
  <c r="L39" i="184"/>
  <c r="L40" i="184"/>
  <c r="I42" i="184"/>
  <c r="J42" i="184"/>
  <c r="K42" i="184"/>
  <c r="L42" i="184"/>
  <c r="I45" i="184"/>
  <c r="J45" i="184"/>
  <c r="K45" i="184"/>
  <c r="L45" i="184"/>
  <c r="H42" i="184"/>
  <c r="H39" i="184"/>
  <c r="H40" i="184"/>
  <c r="I34" i="184"/>
  <c r="J34" i="184"/>
  <c r="K34" i="184"/>
  <c r="L34" i="184"/>
  <c r="H34" i="184"/>
  <c r="I32" i="184"/>
  <c r="J32" i="184"/>
  <c r="K32" i="184"/>
  <c r="L32" i="184"/>
  <c r="I66" i="183"/>
  <c r="J66" i="183"/>
  <c r="K66" i="183"/>
  <c r="L66" i="183"/>
  <c r="H72" i="183"/>
  <c r="H69" i="183"/>
  <c r="H68" i="183"/>
  <c r="H66" i="183"/>
  <c r="I65" i="183"/>
  <c r="J65" i="183"/>
  <c r="K65" i="183"/>
  <c r="L65" i="183"/>
  <c r="H65" i="183"/>
  <c r="I64" i="183"/>
  <c r="J64" i="183"/>
  <c r="K64" i="183"/>
  <c r="L64" i="183"/>
  <c r="H64" i="183"/>
  <c r="AB257" i="182" l="1"/>
  <c r="AB256" i="182"/>
  <c r="AB255" i="182"/>
  <c r="E11" i="152"/>
  <c r="AB238" i="182" a="1"/>
  <c r="AB238" i="182" s="1"/>
  <c r="AA232" i="182"/>
  <c r="AA230" i="182"/>
  <c r="AB225" i="182" a="1"/>
  <c r="AB225" i="182" s="1"/>
  <c r="AB224" i="182"/>
  <c r="AB220" i="182"/>
  <c r="AB219" i="182"/>
  <c r="F42" i="115"/>
  <c r="A2" i="183" l="1"/>
  <c r="A2" i="184"/>
  <c r="A2" i="185"/>
  <c r="A2" i="186"/>
  <c r="A2" i="187"/>
  <c r="A2" i="188"/>
  <c r="A2" i="189"/>
  <c r="A2" i="190"/>
  <c r="A2" i="191"/>
  <c r="A2" i="192"/>
  <c r="A2" i="193"/>
  <c r="A2" i="196"/>
  <c r="A2" i="195"/>
  <c r="A2" i="194"/>
  <c r="AB177" i="182" l="1"/>
  <c r="AB178" i="182"/>
  <c r="AB179" i="182"/>
  <c r="AB176" i="182"/>
  <c r="I38" i="193" s="1"/>
  <c r="AB175" i="182"/>
  <c r="AB174" i="182"/>
  <c r="AB172" i="182"/>
  <c r="AI34" i="178"/>
  <c r="AC171" i="182"/>
  <c r="J19" i="193" s="1"/>
  <c r="AD171" i="182"/>
  <c r="K19" i="193" s="1"/>
  <c r="AE171" i="182"/>
  <c r="AF171" i="182"/>
  <c r="M19" i="193" s="1"/>
  <c r="AB171" i="182"/>
  <c r="I19" i="193" s="1"/>
  <c r="I23" i="193" s="1"/>
  <c r="AF135" i="182"/>
  <c r="AF132" i="182"/>
  <c r="AF131" i="182"/>
  <c r="AF130" i="182"/>
  <c r="AF129" i="182"/>
  <c r="AF128" i="182"/>
  <c r="AF127" i="182"/>
  <c r="AE135" i="182"/>
  <c r="AE132" i="182"/>
  <c r="AE131" i="182"/>
  <c r="AE130" i="182"/>
  <c r="AE129" i="182"/>
  <c r="AE128" i="182"/>
  <c r="AE127" i="182"/>
  <c r="AD135" i="182"/>
  <c r="AD132" i="182"/>
  <c r="AD131" i="182"/>
  <c r="AD130" i="182"/>
  <c r="AD129" i="182"/>
  <c r="AD128" i="182"/>
  <c r="AD127" i="182"/>
  <c r="AC135" i="182"/>
  <c r="AC132" i="182"/>
  <c r="AC131" i="182"/>
  <c r="AC130" i="182"/>
  <c r="AC129" i="182"/>
  <c r="AC128" i="182"/>
  <c r="AC127" i="182"/>
  <c r="AB135" i="182"/>
  <c r="AB132" i="182"/>
  <c r="AB131" i="182"/>
  <c r="AB130" i="182"/>
  <c r="AB129" i="182"/>
  <c r="AB128" i="182"/>
  <c r="AB127" i="182"/>
  <c r="AB145" i="182"/>
  <c r="AF149" i="182"/>
  <c r="AE149" i="182"/>
  <c r="AD149" i="182"/>
  <c r="AC149" i="182"/>
  <c r="AF146" i="182"/>
  <c r="AE146" i="182"/>
  <c r="AD146" i="182"/>
  <c r="AC146" i="182"/>
  <c r="AB146" i="182"/>
  <c r="AB149" i="182"/>
  <c r="AF145" i="182"/>
  <c r="AE145" i="182"/>
  <c r="AD145" i="182"/>
  <c r="AC145" i="182"/>
  <c r="H279" i="194"/>
  <c r="I279" i="194"/>
  <c r="J279" i="194"/>
  <c r="K279" i="194"/>
  <c r="G279" i="194"/>
  <c r="G277" i="194"/>
  <c r="H277" i="194"/>
  <c r="I277" i="194"/>
  <c r="J277" i="194"/>
  <c r="K277" i="194"/>
  <c r="H276" i="194"/>
  <c r="I276" i="194"/>
  <c r="J276" i="194"/>
  <c r="K276" i="194"/>
  <c r="G276" i="194"/>
  <c r="H264" i="194"/>
  <c r="I264" i="194"/>
  <c r="J264" i="194"/>
  <c r="K264" i="194"/>
  <c r="H249" i="194"/>
  <c r="I249" i="194"/>
  <c r="J249" i="194"/>
  <c r="K249" i="194"/>
  <c r="H246" i="194"/>
  <c r="I246" i="194"/>
  <c r="J246" i="194"/>
  <c r="K246" i="194"/>
  <c r="H232" i="194"/>
  <c r="I232" i="194"/>
  <c r="J232" i="194"/>
  <c r="K232" i="194"/>
  <c r="H229" i="194"/>
  <c r="I229" i="194"/>
  <c r="J229" i="194"/>
  <c r="K229" i="194"/>
  <c r="G229" i="194"/>
  <c r="G205" i="194"/>
  <c r="H205" i="194"/>
  <c r="I205" i="194"/>
  <c r="J205" i="194"/>
  <c r="K205" i="194"/>
  <c r="G206" i="194"/>
  <c r="H206" i="194"/>
  <c r="I206" i="194"/>
  <c r="J206" i="194"/>
  <c r="K206" i="194"/>
  <c r="H204" i="194"/>
  <c r="I204" i="194"/>
  <c r="J204" i="194"/>
  <c r="K204" i="194"/>
  <c r="G204" i="194"/>
  <c r="H189" i="194"/>
  <c r="I189" i="194"/>
  <c r="J189" i="194"/>
  <c r="K189" i="194"/>
  <c r="G174" i="194"/>
  <c r="H174" i="194"/>
  <c r="I174" i="194"/>
  <c r="J174" i="194"/>
  <c r="K174" i="194"/>
  <c r="F174" i="194"/>
  <c r="F169" i="194"/>
  <c r="G160" i="194"/>
  <c r="H160" i="194"/>
  <c r="I160" i="194"/>
  <c r="J160" i="194"/>
  <c r="K160" i="194"/>
  <c r="G161" i="194"/>
  <c r="H161" i="194"/>
  <c r="I161" i="194"/>
  <c r="J161" i="194"/>
  <c r="K161" i="194"/>
  <c r="H159" i="194"/>
  <c r="I159" i="194"/>
  <c r="J159" i="194"/>
  <c r="K159" i="194"/>
  <c r="G159" i="194"/>
  <c r="G140" i="194"/>
  <c r="H140" i="194"/>
  <c r="I140" i="194"/>
  <c r="J140" i="194"/>
  <c r="K140" i="194"/>
  <c r="H139" i="194"/>
  <c r="I139" i="194"/>
  <c r="J139" i="194"/>
  <c r="K139" i="194"/>
  <c r="G139" i="194"/>
  <c r="G122" i="194"/>
  <c r="H122" i="194"/>
  <c r="I122" i="194"/>
  <c r="J122" i="194"/>
  <c r="K122" i="194"/>
  <c r="H121" i="194"/>
  <c r="I121" i="194"/>
  <c r="J121" i="194"/>
  <c r="K121" i="194"/>
  <c r="G121" i="194"/>
  <c r="H107" i="194"/>
  <c r="I107" i="194"/>
  <c r="J107" i="194"/>
  <c r="K107" i="194"/>
  <c r="H86" i="194"/>
  <c r="I86" i="194"/>
  <c r="J86" i="194"/>
  <c r="K86" i="194"/>
  <c r="G86" i="194"/>
  <c r="H79" i="194"/>
  <c r="I79" i="194"/>
  <c r="J79" i="194"/>
  <c r="K79" i="194"/>
  <c r="H78" i="194"/>
  <c r="I78" i="194"/>
  <c r="J78" i="194"/>
  <c r="K78" i="194"/>
  <c r="G78" i="194"/>
  <c r="H72" i="194"/>
  <c r="I72" i="194"/>
  <c r="J72" i="194"/>
  <c r="K72" i="194"/>
  <c r="H71" i="194"/>
  <c r="I71" i="194"/>
  <c r="J71" i="194"/>
  <c r="K71" i="194"/>
  <c r="G65" i="194"/>
  <c r="H65" i="194"/>
  <c r="I65" i="194"/>
  <c r="J65" i="194"/>
  <c r="K65" i="194"/>
  <c r="H64" i="194"/>
  <c r="I64" i="194"/>
  <c r="J64" i="194"/>
  <c r="K64" i="194"/>
  <c r="G64" i="194"/>
  <c r="G57" i="194"/>
  <c r="H57" i="194"/>
  <c r="I57" i="194"/>
  <c r="J57" i="194"/>
  <c r="K57" i="194"/>
  <c r="H56" i="194"/>
  <c r="I56" i="194"/>
  <c r="J56" i="194"/>
  <c r="K56" i="194"/>
  <c r="G56" i="194"/>
  <c r="G48" i="194"/>
  <c r="H48" i="194"/>
  <c r="I48" i="194"/>
  <c r="J48" i="194"/>
  <c r="K48" i="194"/>
  <c r="H49" i="194"/>
  <c r="I49" i="194"/>
  <c r="J49" i="194"/>
  <c r="K49" i="194"/>
  <c r="H47" i="194"/>
  <c r="I47" i="194"/>
  <c r="J47" i="194"/>
  <c r="K47" i="194"/>
  <c r="H43" i="194"/>
  <c r="I43" i="194"/>
  <c r="J43" i="194"/>
  <c r="K43" i="194"/>
  <c r="H44" i="194"/>
  <c r="I44" i="194"/>
  <c r="J44" i="194"/>
  <c r="K44" i="194"/>
  <c r="G45" i="194"/>
  <c r="H45" i="194"/>
  <c r="I45" i="194"/>
  <c r="J45" i="194"/>
  <c r="K45" i="194"/>
  <c r="H42" i="194"/>
  <c r="I42" i="194"/>
  <c r="J42" i="194"/>
  <c r="K42" i="194"/>
  <c r="G42" i="194"/>
  <c r="G39" i="194"/>
  <c r="H39" i="194"/>
  <c r="I39" i="194"/>
  <c r="J39" i="194"/>
  <c r="K39" i="194"/>
  <c r="G40" i="194"/>
  <c r="H40" i="194"/>
  <c r="I40" i="194"/>
  <c r="J40" i="194"/>
  <c r="K40" i="194"/>
  <c r="H38" i="194"/>
  <c r="I38" i="194"/>
  <c r="J38" i="194"/>
  <c r="K38" i="194"/>
  <c r="I41" i="193"/>
  <c r="I40" i="193"/>
  <c r="I39" i="193"/>
  <c r="I35" i="193"/>
  <c r="I34" i="193"/>
  <c r="I22" i="193"/>
  <c r="L19" i="193"/>
  <c r="M10" i="193"/>
  <c r="I10" i="193"/>
  <c r="J10" i="193"/>
  <c r="K10" i="193"/>
  <c r="L10" i="193"/>
  <c r="AB203" i="182"/>
  <c r="G72" i="194" s="1"/>
  <c r="AB202" i="182"/>
  <c r="G71" i="194" s="1"/>
  <c r="AB206" i="182"/>
  <c r="G79" i="194" s="1"/>
  <c r="AB205" i="182"/>
  <c r="AB192" i="182"/>
  <c r="G47" i="194" s="1"/>
  <c r="AB194" i="182"/>
  <c r="G49" i="194" s="1"/>
  <c r="AB190" i="182"/>
  <c r="G44" i="194" s="1"/>
  <c r="AB189" i="182"/>
  <c r="G43" i="194" s="1"/>
  <c r="AB188" i="182"/>
  <c r="AB185" i="182"/>
  <c r="G38" i="194" s="1"/>
  <c r="AB210" i="182"/>
  <c r="G107" i="194" s="1"/>
  <c r="AB236" i="182"/>
  <c r="G189" i="194" s="1"/>
  <c r="AB251" i="182"/>
  <c r="G264" i="194" s="1"/>
  <c r="AB249" i="182"/>
  <c r="G249" i="194" s="1"/>
  <c r="AB248" i="182"/>
  <c r="G246" i="194" s="1"/>
  <c r="AB245" i="182"/>
  <c r="G232" i="194" s="1"/>
  <c r="AE145" i="81" l="1"/>
  <c r="AE73" i="65" s="1"/>
  <c r="AF145" i="81"/>
  <c r="AF73" i="65" s="1"/>
  <c r="AG145" i="81"/>
  <c r="AG73" i="65" s="1"/>
  <c r="AH145" i="81"/>
  <c r="AH73" i="65" s="1"/>
  <c r="AI145" i="81"/>
  <c r="AI73" i="65" s="1"/>
  <c r="AE140" i="81"/>
  <c r="AE69" i="65" s="1"/>
  <c r="AF140" i="81"/>
  <c r="AF69" i="65" s="1"/>
  <c r="AG140" i="81"/>
  <c r="AG69" i="65" s="1"/>
  <c r="AH140" i="81"/>
  <c r="AH69" i="65" s="1"/>
  <c r="AI140" i="81"/>
  <c r="AI69" i="65" s="1"/>
  <c r="AE141" i="81"/>
  <c r="AE72" i="65" s="1"/>
  <c r="AF141" i="81"/>
  <c r="AF72" i="65" s="1"/>
  <c r="AG141" i="81"/>
  <c r="AG72" i="65" s="1"/>
  <c r="AH141" i="81"/>
  <c r="AH72" i="65" s="1"/>
  <c r="AI141" i="81"/>
  <c r="AI72" i="65" s="1"/>
  <c r="AE142" i="81"/>
  <c r="AE71" i="65" s="1"/>
  <c r="AF142" i="81"/>
  <c r="AF71" i="65" s="1"/>
  <c r="AG142" i="81"/>
  <c r="AG71" i="65" s="1"/>
  <c r="AH142" i="81"/>
  <c r="AH71" i="65" s="1"/>
  <c r="AI142" i="81"/>
  <c r="AI71" i="65" s="1"/>
  <c r="AE143" i="81"/>
  <c r="AE74" i="65" s="1"/>
  <c r="AF143" i="81"/>
  <c r="AF74" i="65" s="1"/>
  <c r="AG143" i="81"/>
  <c r="AG74" i="65" s="1"/>
  <c r="AH143" i="81"/>
  <c r="AH74" i="65" s="1"/>
  <c r="AI143" i="81"/>
  <c r="AI74" i="65" s="1"/>
  <c r="AE144" i="81"/>
  <c r="AE75" i="65" s="1"/>
  <c r="AF144" i="81"/>
  <c r="AF75" i="65" s="1"/>
  <c r="AG144" i="81"/>
  <c r="AG75" i="65" s="1"/>
  <c r="AH144" i="81"/>
  <c r="AH75" i="65" s="1"/>
  <c r="AI144" i="81"/>
  <c r="AI75" i="65" s="1"/>
  <c r="AF139" i="81"/>
  <c r="AF70" i="65" s="1"/>
  <c r="AG139" i="81"/>
  <c r="AG70" i="65" s="1"/>
  <c r="AH139" i="81"/>
  <c r="AH70" i="65" s="1"/>
  <c r="AI139" i="81"/>
  <c r="AI70" i="65" s="1"/>
  <c r="AE139" i="81"/>
  <c r="AE70" i="65" s="1"/>
  <c r="AE158" i="81"/>
  <c r="AE157" i="81"/>
  <c r="AE78" i="65" s="1"/>
  <c r="AI158" i="81"/>
  <c r="AH158" i="81"/>
  <c r="AG158" i="81"/>
  <c r="AF158" i="81"/>
  <c r="AI157" i="81"/>
  <c r="AI78" i="65" s="1"/>
  <c r="AH157" i="81"/>
  <c r="AH78" i="65" s="1"/>
  <c r="AG157" i="81"/>
  <c r="AG78" i="65" s="1"/>
  <c r="AF157" i="81"/>
  <c r="AF78" i="65" s="1"/>
  <c r="AF79" i="65"/>
  <c r="AG79" i="65"/>
  <c r="AH79" i="65"/>
  <c r="AI79" i="65"/>
  <c r="AE79" i="65"/>
  <c r="AF80" i="65"/>
  <c r="AG80" i="65"/>
  <c r="AH80" i="65"/>
  <c r="AI80" i="65"/>
  <c r="AE80" i="65"/>
  <c r="AE64" i="157"/>
  <c r="AF64" i="157"/>
  <c r="AG64" i="157"/>
  <c r="AH64" i="157"/>
  <c r="AI64" i="157"/>
  <c r="AE65" i="157"/>
  <c r="AF65" i="157"/>
  <c r="AG65" i="157"/>
  <c r="AH65" i="157"/>
  <c r="AI65" i="157"/>
  <c r="AE66" i="157"/>
  <c r="AF66" i="157"/>
  <c r="AG66" i="157"/>
  <c r="AH66" i="157"/>
  <c r="AI66" i="157"/>
  <c r="AE67" i="157"/>
  <c r="AF67" i="157"/>
  <c r="AG67" i="157"/>
  <c r="AH67" i="157"/>
  <c r="AI67" i="157"/>
  <c r="AE68" i="157"/>
  <c r="AF68" i="157"/>
  <c r="AG68" i="157"/>
  <c r="AH68" i="157"/>
  <c r="AI68" i="157"/>
  <c r="AE69" i="157"/>
  <c r="AF69" i="157"/>
  <c r="AG69" i="157"/>
  <c r="AH69" i="157"/>
  <c r="AI69" i="157"/>
  <c r="AE70" i="157"/>
  <c r="AF70" i="157"/>
  <c r="AG70" i="157"/>
  <c r="AH70" i="157"/>
  <c r="AI70" i="157"/>
  <c r="AE71" i="157"/>
  <c r="AF71" i="157"/>
  <c r="AG71" i="157"/>
  <c r="AH71" i="157"/>
  <c r="AI71" i="157"/>
  <c r="AE72" i="157"/>
  <c r="AF72" i="157"/>
  <c r="AG72" i="157"/>
  <c r="AH72" i="157"/>
  <c r="AI72" i="157"/>
  <c r="AE73" i="157"/>
  <c r="AF73" i="157"/>
  <c r="AG73" i="157"/>
  <c r="AH73" i="157"/>
  <c r="AI73" i="157"/>
  <c r="AE74" i="157"/>
  <c r="AF74" i="157"/>
  <c r="AG74" i="157"/>
  <c r="AH74" i="157"/>
  <c r="AI74" i="157"/>
  <c r="AE75" i="157"/>
  <c r="AF75" i="157"/>
  <c r="AG75" i="157"/>
  <c r="AH75" i="157"/>
  <c r="AI75" i="157"/>
  <c r="AE76" i="157"/>
  <c r="AF76" i="157"/>
  <c r="AG76" i="157"/>
  <c r="AH76" i="157"/>
  <c r="AI76" i="157"/>
  <c r="AE77" i="157"/>
  <c r="AF77" i="157"/>
  <c r="AG77" i="157"/>
  <c r="AH77" i="157"/>
  <c r="AI77" i="157"/>
  <c r="AE78" i="157"/>
  <c r="AF78" i="157"/>
  <c r="AG78" i="157"/>
  <c r="AH78" i="157"/>
  <c r="AI78" i="157"/>
  <c r="AE79" i="157"/>
  <c r="AF79" i="157"/>
  <c r="AG79" i="157"/>
  <c r="AH79" i="157"/>
  <c r="AI79" i="157"/>
  <c r="AE80" i="157"/>
  <c r="AF80" i="157"/>
  <c r="AG80" i="157"/>
  <c r="AH80" i="157"/>
  <c r="AI80" i="157"/>
  <c r="AE81" i="157"/>
  <c r="AF81" i="157"/>
  <c r="AG81" i="157"/>
  <c r="AH81" i="157"/>
  <c r="AI81" i="157"/>
  <c r="AE82" i="157"/>
  <c r="AF82" i="157"/>
  <c r="AG82" i="157"/>
  <c r="AH82" i="157"/>
  <c r="AI82" i="157"/>
  <c r="AE83" i="157"/>
  <c r="AF83" i="157"/>
  <c r="AG83" i="157"/>
  <c r="AH83" i="157"/>
  <c r="AI83" i="157"/>
  <c r="AE84" i="157"/>
  <c r="AF84" i="157"/>
  <c r="AG84" i="157"/>
  <c r="AH84" i="157"/>
  <c r="AI84" i="157"/>
  <c r="AE85" i="157"/>
  <c r="AF85" i="157"/>
  <c r="AG85" i="157"/>
  <c r="AH85" i="157"/>
  <c r="AI85" i="157"/>
  <c r="AE86" i="157"/>
  <c r="AF86" i="157"/>
  <c r="AG86" i="157"/>
  <c r="AH86" i="157"/>
  <c r="AI86" i="157"/>
  <c r="AE87" i="157"/>
  <c r="AF87" i="157"/>
  <c r="AG87" i="157"/>
  <c r="AH87" i="157"/>
  <c r="AI87" i="157"/>
  <c r="AE88" i="157"/>
  <c r="AF88" i="157"/>
  <c r="AG88" i="157"/>
  <c r="AH88" i="157"/>
  <c r="AI88" i="157"/>
  <c r="AE89" i="157"/>
  <c r="AF89" i="157"/>
  <c r="AG89" i="157"/>
  <c r="AH89" i="157"/>
  <c r="AI89" i="157"/>
  <c r="AE90" i="157"/>
  <c r="AF90" i="157"/>
  <c r="AG90" i="157"/>
  <c r="AH90" i="157"/>
  <c r="AI90" i="157"/>
  <c r="AE91" i="157"/>
  <c r="AF91" i="157"/>
  <c r="AG91" i="157"/>
  <c r="AH91" i="157"/>
  <c r="AI91" i="157"/>
  <c r="AE92" i="157"/>
  <c r="AF92" i="157"/>
  <c r="AG92" i="157"/>
  <c r="AH92" i="157"/>
  <c r="AI92" i="157"/>
  <c r="AE93" i="157"/>
  <c r="AF93" i="157"/>
  <c r="AG93" i="157"/>
  <c r="AH93" i="157"/>
  <c r="AI93" i="157"/>
  <c r="AE94" i="157"/>
  <c r="AF94" i="157"/>
  <c r="AG94" i="157"/>
  <c r="AH94" i="157"/>
  <c r="AI94" i="157"/>
  <c r="AE95" i="157"/>
  <c r="AF95" i="157"/>
  <c r="AG95" i="157"/>
  <c r="AH95" i="157"/>
  <c r="AI95" i="157"/>
  <c r="AE96" i="157"/>
  <c r="AF96" i="157"/>
  <c r="AG96" i="157"/>
  <c r="AH96" i="157"/>
  <c r="AI96" i="157"/>
  <c r="AE97" i="157"/>
  <c r="AF97" i="157"/>
  <c r="AG97" i="157"/>
  <c r="AH97" i="157"/>
  <c r="AI97" i="157"/>
  <c r="AE98" i="157"/>
  <c r="AF98" i="157"/>
  <c r="AG98" i="157"/>
  <c r="AH98" i="157"/>
  <c r="AI98" i="157"/>
  <c r="AE99" i="157"/>
  <c r="AF99" i="157"/>
  <c r="AG99" i="157"/>
  <c r="AH99" i="157"/>
  <c r="AI99" i="157"/>
  <c r="AE100" i="157"/>
  <c r="AF100" i="157"/>
  <c r="AG100" i="157"/>
  <c r="AH100" i="157"/>
  <c r="AI100" i="157"/>
  <c r="AE101" i="157"/>
  <c r="AF101" i="157"/>
  <c r="AG101" i="157"/>
  <c r="AH101" i="157"/>
  <c r="AI101" i="157"/>
  <c r="AE102" i="157"/>
  <c r="AF102" i="157"/>
  <c r="AG102" i="157"/>
  <c r="AH102" i="157"/>
  <c r="AI102" i="157"/>
  <c r="AE103" i="157"/>
  <c r="AF103" i="157"/>
  <c r="AG103" i="157"/>
  <c r="AH103" i="157"/>
  <c r="AI103" i="157"/>
  <c r="AE104" i="157"/>
  <c r="AF104" i="157"/>
  <c r="AG104" i="157"/>
  <c r="AH104" i="157"/>
  <c r="AI104" i="157"/>
  <c r="AE105" i="157"/>
  <c r="AF105" i="157"/>
  <c r="AG105" i="157"/>
  <c r="AH105" i="157"/>
  <c r="AI105" i="157"/>
  <c r="AE106" i="157"/>
  <c r="AF106" i="157"/>
  <c r="AG106" i="157"/>
  <c r="AH106" i="157"/>
  <c r="AI106" i="157"/>
  <c r="AE107" i="157"/>
  <c r="AF107" i="157"/>
  <c r="AG107" i="157"/>
  <c r="AH107" i="157"/>
  <c r="AI107" i="157"/>
  <c r="AE108" i="157"/>
  <c r="AF108" i="157"/>
  <c r="AG108" i="157"/>
  <c r="AH108" i="157"/>
  <c r="AI108" i="157"/>
  <c r="AE109" i="157"/>
  <c r="AF109" i="157"/>
  <c r="AG109" i="157"/>
  <c r="AH109" i="157"/>
  <c r="AI109" i="157"/>
  <c r="AF63" i="157"/>
  <c r="AG63" i="157"/>
  <c r="AH63" i="157"/>
  <c r="AI63" i="157"/>
  <c r="AE63" i="157"/>
  <c r="AE14" i="157"/>
  <c r="AF14" i="157"/>
  <c r="AG14" i="157"/>
  <c r="AH14" i="157"/>
  <c r="AI14" i="157"/>
  <c r="AE15" i="157"/>
  <c r="AF15" i="157"/>
  <c r="AG15" i="157"/>
  <c r="AH15" i="157"/>
  <c r="AI15" i="157"/>
  <c r="AE16" i="157"/>
  <c r="AF16" i="157"/>
  <c r="AG16" i="157"/>
  <c r="AH16" i="157"/>
  <c r="AI16" i="157"/>
  <c r="AE17" i="157"/>
  <c r="AF17" i="157"/>
  <c r="AG17" i="157"/>
  <c r="AH17" i="157"/>
  <c r="AI17" i="157"/>
  <c r="AE18" i="157"/>
  <c r="AF18" i="157"/>
  <c r="AG18" i="157"/>
  <c r="AH18" i="157"/>
  <c r="AI18" i="157"/>
  <c r="AE19" i="157"/>
  <c r="AF19" i="157"/>
  <c r="AG19" i="157"/>
  <c r="AH19" i="157"/>
  <c r="AI19" i="157"/>
  <c r="AE20" i="157"/>
  <c r="AF20" i="157"/>
  <c r="AG20" i="157"/>
  <c r="AH20" i="157"/>
  <c r="AI20" i="157"/>
  <c r="AE21" i="157"/>
  <c r="AF21" i="157"/>
  <c r="AG21" i="157"/>
  <c r="AH21" i="157"/>
  <c r="AI21" i="157"/>
  <c r="AE22" i="157"/>
  <c r="AF22" i="157"/>
  <c r="AG22" i="157"/>
  <c r="AH22" i="157"/>
  <c r="AI22" i="157"/>
  <c r="AE23" i="157"/>
  <c r="AF23" i="157"/>
  <c r="AG23" i="157"/>
  <c r="AH23" i="157"/>
  <c r="AI23" i="157"/>
  <c r="AE24" i="157"/>
  <c r="AF24" i="157"/>
  <c r="AG24" i="157"/>
  <c r="AH24" i="157"/>
  <c r="AI24" i="157"/>
  <c r="AE25" i="157"/>
  <c r="AF25" i="157"/>
  <c r="AG25" i="157"/>
  <c r="AH25" i="157"/>
  <c r="AI25" i="157"/>
  <c r="AE26" i="157"/>
  <c r="AF26" i="157"/>
  <c r="AG26" i="157"/>
  <c r="AH26" i="157"/>
  <c r="AI26" i="157"/>
  <c r="AE27" i="157"/>
  <c r="AF27" i="157"/>
  <c r="AG27" i="157"/>
  <c r="AH27" i="157"/>
  <c r="AI27" i="157"/>
  <c r="AE28" i="157"/>
  <c r="AF28" i="157"/>
  <c r="AG28" i="157"/>
  <c r="AH28" i="157"/>
  <c r="AI28" i="157"/>
  <c r="AE29" i="157"/>
  <c r="AF29" i="157"/>
  <c r="AG29" i="157"/>
  <c r="AH29" i="157"/>
  <c r="AI29" i="157"/>
  <c r="AE30" i="157"/>
  <c r="AF30" i="157"/>
  <c r="AG30" i="157"/>
  <c r="AH30" i="157"/>
  <c r="AI30" i="157"/>
  <c r="AE31" i="157"/>
  <c r="AF31" i="157"/>
  <c r="AG31" i="157"/>
  <c r="AH31" i="157"/>
  <c r="AI31" i="157"/>
  <c r="AE32" i="157"/>
  <c r="AF32" i="157"/>
  <c r="AG32" i="157"/>
  <c r="AH32" i="157"/>
  <c r="AI32" i="157"/>
  <c r="AE33" i="157"/>
  <c r="AF33" i="157"/>
  <c r="AG33" i="157"/>
  <c r="AH33" i="157"/>
  <c r="AI33" i="157"/>
  <c r="AE34" i="157"/>
  <c r="AF34" i="157"/>
  <c r="AG34" i="157"/>
  <c r="AH34" i="157"/>
  <c r="AI34" i="157"/>
  <c r="AE35" i="157"/>
  <c r="AF35" i="157"/>
  <c r="AG35" i="157"/>
  <c r="AH35" i="157"/>
  <c r="AI35" i="157"/>
  <c r="AE36" i="157"/>
  <c r="AF36" i="157"/>
  <c r="AG36" i="157"/>
  <c r="AH36" i="157"/>
  <c r="AI36" i="157"/>
  <c r="AE37" i="157"/>
  <c r="AF37" i="157"/>
  <c r="AG37" i="157"/>
  <c r="AH37" i="157"/>
  <c r="AI37" i="157"/>
  <c r="AE38" i="157"/>
  <c r="AF38" i="157"/>
  <c r="AG38" i="157"/>
  <c r="AH38" i="157"/>
  <c r="AI38" i="157"/>
  <c r="AE39" i="157"/>
  <c r="AF39" i="157"/>
  <c r="AG39" i="157"/>
  <c r="AH39" i="157"/>
  <c r="AI39" i="157"/>
  <c r="AE40" i="157"/>
  <c r="AF40" i="157"/>
  <c r="AG40" i="157"/>
  <c r="AH40" i="157"/>
  <c r="AI40" i="157"/>
  <c r="AE41" i="157"/>
  <c r="AF41" i="157"/>
  <c r="AG41" i="157"/>
  <c r="AH41" i="157"/>
  <c r="AI41" i="157"/>
  <c r="AE42" i="157"/>
  <c r="AF42" i="157"/>
  <c r="AG42" i="157"/>
  <c r="AH42" i="157"/>
  <c r="AI42" i="157"/>
  <c r="AE43" i="157"/>
  <c r="AF43" i="157"/>
  <c r="AG43" i="157"/>
  <c r="AH43" i="157"/>
  <c r="AI43" i="157"/>
  <c r="AE44" i="157"/>
  <c r="AF44" i="157"/>
  <c r="AG44" i="157"/>
  <c r="AH44" i="157"/>
  <c r="AI44" i="157"/>
  <c r="AE45" i="157"/>
  <c r="AF45" i="157"/>
  <c r="AG45" i="157"/>
  <c r="AH45" i="157"/>
  <c r="AI45" i="157"/>
  <c r="AE46" i="157"/>
  <c r="AF46" i="157"/>
  <c r="AG46" i="157"/>
  <c r="AH46" i="157"/>
  <c r="AI46" i="157"/>
  <c r="AE47" i="157"/>
  <c r="AF47" i="157"/>
  <c r="AG47" i="157"/>
  <c r="AH47" i="157"/>
  <c r="AI47" i="157"/>
  <c r="AE48" i="157"/>
  <c r="AF48" i="157"/>
  <c r="AG48" i="157"/>
  <c r="AH48" i="157"/>
  <c r="AI48" i="157"/>
  <c r="AE49" i="157"/>
  <c r="AF49" i="157"/>
  <c r="AG49" i="157"/>
  <c r="AH49" i="157"/>
  <c r="AI49" i="157"/>
  <c r="AE50" i="157"/>
  <c r="AF50" i="157"/>
  <c r="AG50" i="157"/>
  <c r="AH50" i="157"/>
  <c r="AI50" i="157"/>
  <c r="AE51" i="157"/>
  <c r="AF51" i="157"/>
  <c r="AG51" i="157"/>
  <c r="AH51" i="157"/>
  <c r="AI51" i="157"/>
  <c r="AE52" i="157"/>
  <c r="AF52" i="157"/>
  <c r="AG52" i="157"/>
  <c r="AH52" i="157"/>
  <c r="AI52" i="157"/>
  <c r="AE53" i="157"/>
  <c r="AF53" i="157"/>
  <c r="AG53" i="157"/>
  <c r="AH53" i="157"/>
  <c r="AI53" i="157"/>
  <c r="AE54" i="157"/>
  <c r="AF54" i="157"/>
  <c r="AG54" i="157"/>
  <c r="AH54" i="157"/>
  <c r="AI54" i="157"/>
  <c r="AE55" i="157"/>
  <c r="AF55" i="157"/>
  <c r="AG55" i="157"/>
  <c r="AH55" i="157"/>
  <c r="AI55" i="157"/>
  <c r="AE56" i="157"/>
  <c r="AF56" i="157"/>
  <c r="AG56" i="157"/>
  <c r="AH56" i="157"/>
  <c r="AI56" i="157"/>
  <c r="AE57" i="157"/>
  <c r="AF57" i="157"/>
  <c r="AG57" i="157"/>
  <c r="AH57" i="157"/>
  <c r="AI57" i="157"/>
  <c r="AE58" i="157"/>
  <c r="AF58" i="157"/>
  <c r="AG58" i="157"/>
  <c r="AH58" i="157"/>
  <c r="AI58" i="157"/>
  <c r="AE59" i="157"/>
  <c r="AF59" i="157"/>
  <c r="AG59" i="157"/>
  <c r="AH59" i="157"/>
  <c r="AI59" i="157"/>
  <c r="AF13" i="157"/>
  <c r="AG13" i="157"/>
  <c r="AH13" i="157"/>
  <c r="AI13" i="157"/>
  <c r="AE13" i="157"/>
  <c r="I12" i="196" l="1"/>
  <c r="J12" i="196"/>
  <c r="K12" i="196"/>
  <c r="L12" i="196"/>
  <c r="M12" i="196"/>
  <c r="I13" i="196"/>
  <c r="J13" i="196"/>
  <c r="K13" i="196"/>
  <c r="L13" i="196"/>
  <c r="M13" i="196"/>
  <c r="I14" i="196"/>
  <c r="J14" i="196"/>
  <c r="K14" i="196"/>
  <c r="L14" i="196"/>
  <c r="M14" i="196"/>
  <c r="I15" i="196"/>
  <c r="J15" i="196"/>
  <c r="K15" i="196"/>
  <c r="L15" i="196"/>
  <c r="M15" i="196"/>
  <c r="I16" i="196"/>
  <c r="J16" i="196"/>
  <c r="K16" i="196"/>
  <c r="L16" i="196"/>
  <c r="M16" i="196"/>
  <c r="I17" i="196"/>
  <c r="J17" i="196"/>
  <c r="K17" i="196"/>
  <c r="L17" i="196"/>
  <c r="M17" i="196"/>
  <c r="I18" i="196"/>
  <c r="J18" i="196"/>
  <c r="K18" i="196"/>
  <c r="L18" i="196"/>
  <c r="M18" i="196"/>
  <c r="I19" i="196"/>
  <c r="J19" i="196"/>
  <c r="K19" i="196"/>
  <c r="L19" i="196"/>
  <c r="M19" i="196"/>
  <c r="I20" i="196"/>
  <c r="J20" i="196"/>
  <c r="K20" i="196"/>
  <c r="L20" i="196"/>
  <c r="M20" i="196"/>
  <c r="I21" i="196"/>
  <c r="J21" i="196"/>
  <c r="K21" i="196"/>
  <c r="L21" i="196"/>
  <c r="M21" i="196"/>
  <c r="I22" i="196"/>
  <c r="J22" i="196"/>
  <c r="K22" i="196"/>
  <c r="L22" i="196"/>
  <c r="M22" i="196"/>
  <c r="J11" i="196"/>
  <c r="K11" i="196"/>
  <c r="L11" i="196"/>
  <c r="M11" i="196"/>
  <c r="I11" i="196"/>
  <c r="I12" i="195"/>
  <c r="J12" i="195"/>
  <c r="K12" i="195"/>
  <c r="L12" i="195"/>
  <c r="M12" i="195"/>
  <c r="I13" i="195"/>
  <c r="J13" i="195"/>
  <c r="K13" i="195"/>
  <c r="L13" i="195"/>
  <c r="M13" i="195"/>
  <c r="I14" i="195"/>
  <c r="J14" i="195"/>
  <c r="K14" i="195"/>
  <c r="L14" i="195"/>
  <c r="M14" i="195"/>
  <c r="I15" i="195"/>
  <c r="J15" i="195"/>
  <c r="K15" i="195"/>
  <c r="L15" i="195"/>
  <c r="M15" i="195"/>
  <c r="I16" i="195"/>
  <c r="J16" i="195"/>
  <c r="K16" i="195"/>
  <c r="L16" i="195"/>
  <c r="M16" i="195"/>
  <c r="I17" i="195"/>
  <c r="J17" i="195"/>
  <c r="K17" i="195"/>
  <c r="L17" i="195"/>
  <c r="M17" i="195"/>
  <c r="I18" i="195"/>
  <c r="J18" i="195"/>
  <c r="K18" i="195"/>
  <c r="L18" i="195"/>
  <c r="M18" i="195"/>
  <c r="I19" i="195"/>
  <c r="J19" i="195"/>
  <c r="K19" i="195"/>
  <c r="L19" i="195"/>
  <c r="M19" i="195"/>
  <c r="I20" i="195"/>
  <c r="J20" i="195"/>
  <c r="K20" i="195"/>
  <c r="L20" i="195"/>
  <c r="M20" i="195"/>
  <c r="I21" i="195"/>
  <c r="J21" i="195"/>
  <c r="K21" i="195"/>
  <c r="L21" i="195"/>
  <c r="M21" i="195"/>
  <c r="I22" i="195"/>
  <c r="J22" i="195"/>
  <c r="K22" i="195"/>
  <c r="L22" i="195"/>
  <c r="M22" i="195"/>
  <c r="I23" i="195"/>
  <c r="J23" i="195"/>
  <c r="K23" i="195"/>
  <c r="L23" i="195"/>
  <c r="M23" i="195"/>
  <c r="I24" i="195"/>
  <c r="J24" i="195"/>
  <c r="K24" i="195"/>
  <c r="L24" i="195"/>
  <c r="M24" i="195"/>
  <c r="I25" i="195"/>
  <c r="J25" i="195"/>
  <c r="K25" i="195"/>
  <c r="L25" i="195"/>
  <c r="M25" i="195"/>
  <c r="I26" i="195"/>
  <c r="J26" i="195"/>
  <c r="K26" i="195"/>
  <c r="L26" i="195"/>
  <c r="M26" i="195"/>
  <c r="I27" i="195"/>
  <c r="J27" i="195"/>
  <c r="K27" i="195"/>
  <c r="L27" i="195"/>
  <c r="M27" i="195"/>
  <c r="I28" i="195"/>
  <c r="J28" i="195"/>
  <c r="K28" i="195"/>
  <c r="L28" i="195"/>
  <c r="M28" i="195"/>
  <c r="I29" i="195"/>
  <c r="J29" i="195"/>
  <c r="K29" i="195"/>
  <c r="L29" i="195"/>
  <c r="M29" i="195"/>
  <c r="I30" i="195"/>
  <c r="J30" i="195"/>
  <c r="K30" i="195"/>
  <c r="L30" i="195"/>
  <c r="M30" i="195"/>
  <c r="I31" i="195"/>
  <c r="J31" i="195"/>
  <c r="K31" i="195"/>
  <c r="L31" i="195"/>
  <c r="M31" i="195"/>
  <c r="I32" i="195"/>
  <c r="J32" i="195"/>
  <c r="K32" i="195"/>
  <c r="L32" i="195"/>
  <c r="M32" i="195"/>
  <c r="I33" i="195"/>
  <c r="J33" i="195"/>
  <c r="K33" i="195"/>
  <c r="L33" i="195"/>
  <c r="M33" i="195"/>
  <c r="I34" i="195"/>
  <c r="J34" i="195"/>
  <c r="K34" i="195"/>
  <c r="L34" i="195"/>
  <c r="M34" i="195"/>
  <c r="I35" i="195"/>
  <c r="J35" i="195"/>
  <c r="K35" i="195"/>
  <c r="L35" i="195"/>
  <c r="M35" i="195"/>
  <c r="I36" i="195"/>
  <c r="J36" i="195"/>
  <c r="K36" i="195"/>
  <c r="L36" i="195"/>
  <c r="M36" i="195"/>
  <c r="I37" i="195"/>
  <c r="J37" i="195"/>
  <c r="K37" i="195"/>
  <c r="L37" i="195"/>
  <c r="M37" i="195"/>
  <c r="I38" i="195"/>
  <c r="J38" i="195"/>
  <c r="K38" i="195"/>
  <c r="L38" i="195"/>
  <c r="M38" i="195"/>
  <c r="I39" i="195"/>
  <c r="J39" i="195"/>
  <c r="K39" i="195"/>
  <c r="L39" i="195"/>
  <c r="M39" i="195"/>
  <c r="I40" i="195"/>
  <c r="J40" i="195"/>
  <c r="K40" i="195"/>
  <c r="L40" i="195"/>
  <c r="M40" i="195"/>
  <c r="I41" i="195"/>
  <c r="J41" i="195"/>
  <c r="K41" i="195"/>
  <c r="L41" i="195"/>
  <c r="M41" i="195"/>
  <c r="I42" i="195"/>
  <c r="J42" i="195"/>
  <c r="K42" i="195"/>
  <c r="L42" i="195"/>
  <c r="M42" i="195"/>
  <c r="I43" i="195"/>
  <c r="J43" i="195"/>
  <c r="K43" i="195"/>
  <c r="L43" i="195"/>
  <c r="M43" i="195"/>
  <c r="I44" i="195"/>
  <c r="J44" i="195"/>
  <c r="K44" i="195"/>
  <c r="L44" i="195"/>
  <c r="M44" i="195"/>
  <c r="I45" i="195"/>
  <c r="J45" i="195"/>
  <c r="K45" i="195"/>
  <c r="L45" i="195"/>
  <c r="M45" i="195"/>
  <c r="I46" i="195"/>
  <c r="J46" i="195"/>
  <c r="K46" i="195"/>
  <c r="L46" i="195"/>
  <c r="M46" i="195"/>
  <c r="J11" i="195"/>
  <c r="K11" i="195"/>
  <c r="L11" i="195"/>
  <c r="M11" i="195"/>
  <c r="I11" i="195"/>
  <c r="AF63" i="65"/>
  <c r="AG63" i="65"/>
  <c r="AH63" i="65"/>
  <c r="AI63" i="65"/>
  <c r="AF64" i="65"/>
  <c r="AG64" i="65"/>
  <c r="AH64" i="65"/>
  <c r="AI64" i="65"/>
  <c r="AE64" i="65"/>
  <c r="AE63" i="65"/>
  <c r="AE14" i="177"/>
  <c r="AK7" i="177"/>
  <c r="AF49" i="155"/>
  <c r="AG49" i="155"/>
  <c r="AH49" i="155"/>
  <c r="AI49" i="155"/>
  <c r="AF50" i="155"/>
  <c r="AG50" i="155"/>
  <c r="AH50" i="155"/>
  <c r="AI50" i="155"/>
  <c r="AF51" i="155"/>
  <c r="AG51" i="155"/>
  <c r="AH51" i="155"/>
  <c r="AI51" i="155"/>
  <c r="AF48" i="155"/>
  <c r="AG48" i="155"/>
  <c r="AH48" i="155"/>
  <c r="AI48" i="155"/>
  <c r="AF15" i="155"/>
  <c r="AG15" i="155"/>
  <c r="AH15" i="155"/>
  <c r="AI15" i="155"/>
  <c r="AF16" i="155"/>
  <c r="AG16" i="155"/>
  <c r="AH16" i="155"/>
  <c r="AI16" i="155"/>
  <c r="AF17" i="155"/>
  <c r="AG17" i="155"/>
  <c r="AH17" i="155"/>
  <c r="AI17" i="155"/>
  <c r="AF18" i="155"/>
  <c r="AG18" i="155"/>
  <c r="AH18" i="155"/>
  <c r="AI18" i="155"/>
  <c r="AF19" i="155"/>
  <c r="AG19" i="155"/>
  <c r="AH19" i="155"/>
  <c r="AI19" i="155"/>
  <c r="AF20" i="155"/>
  <c r="AG20" i="155"/>
  <c r="AH20" i="155"/>
  <c r="AI20" i="155"/>
  <c r="AF13" i="155"/>
  <c r="AG13" i="155"/>
  <c r="AH13" i="155"/>
  <c r="AI13" i="155"/>
  <c r="AF49" i="65"/>
  <c r="AG49" i="65"/>
  <c r="AH49" i="65"/>
  <c r="AI49" i="65"/>
  <c r="AE49" i="65"/>
  <c r="AF55" i="65"/>
  <c r="AG55" i="65"/>
  <c r="AH55" i="65"/>
  <c r="AI55" i="65"/>
  <c r="AF56" i="65"/>
  <c r="AG56" i="65"/>
  <c r="AH56" i="65"/>
  <c r="AI56" i="65"/>
  <c r="AF57" i="65"/>
  <c r="AG57" i="65"/>
  <c r="AH57" i="65"/>
  <c r="AI57" i="65"/>
  <c r="AE56" i="65"/>
  <c r="AE57" i="65"/>
  <c r="AE55" i="65"/>
  <c r="AF48" i="65" a="1"/>
  <c r="AF48" i="65" s="1"/>
  <c r="AG48" i="65" a="1"/>
  <c r="AG48" i="65" s="1"/>
  <c r="AH48" i="65" a="1"/>
  <c r="AH48" i="65" s="1"/>
  <c r="AI48" i="65" a="1"/>
  <c r="AI48" i="65" s="1"/>
  <c r="AE48" i="65" a="1"/>
  <c r="AE48" i="65" s="1"/>
  <c r="AF50" i="65"/>
  <c r="AG50" i="65"/>
  <c r="AH50" i="65"/>
  <c r="AI50" i="65"/>
  <c r="AE50" i="65"/>
  <c r="AF54" i="65"/>
  <c r="AG54" i="65"/>
  <c r="AH54" i="65"/>
  <c r="AI54" i="65"/>
  <c r="AE54" i="65"/>
  <c r="AE52" i="65"/>
  <c r="AF52" i="65"/>
  <c r="AG52" i="65"/>
  <c r="AH52" i="65"/>
  <c r="AI52" i="65"/>
  <c r="AF53" i="65"/>
  <c r="AG53" i="65"/>
  <c r="AH53" i="65"/>
  <c r="AI53" i="65"/>
  <c r="AE53" i="65"/>
  <c r="AF58" i="65"/>
  <c r="AG58" i="65"/>
  <c r="AH58" i="65"/>
  <c r="AI58" i="65"/>
  <c r="AE58" i="65"/>
  <c r="AE28" i="155"/>
  <c r="K16" i="81"/>
  <c r="AE18" i="155" l="1"/>
  <c r="AE20" i="155"/>
  <c r="AE25" i="155" l="1"/>
  <c r="AF25" i="155"/>
  <c r="AG25" i="155"/>
  <c r="AH25" i="155"/>
  <c r="AI25" i="155"/>
  <c r="AE26" i="155"/>
  <c r="AF26" i="155"/>
  <c r="AG26" i="155"/>
  <c r="AH26" i="155"/>
  <c r="AI26" i="155"/>
  <c r="AE27" i="155"/>
  <c r="AF27" i="155"/>
  <c r="AG27" i="155"/>
  <c r="AH27" i="155"/>
  <c r="AI27" i="155"/>
  <c r="AF28" i="155"/>
  <c r="AG28" i="155"/>
  <c r="AH28" i="155"/>
  <c r="AI28" i="155"/>
  <c r="AE29" i="155"/>
  <c r="AF29" i="155"/>
  <c r="AG29" i="155"/>
  <c r="AH29" i="155"/>
  <c r="AI29" i="155"/>
  <c r="AE30" i="155"/>
  <c r="AF30" i="155"/>
  <c r="AG30" i="155"/>
  <c r="AH30" i="155"/>
  <c r="AI30" i="155"/>
  <c r="AE31" i="155"/>
  <c r="AF31" i="155"/>
  <c r="AG31" i="155"/>
  <c r="AH31" i="155"/>
  <c r="AI31" i="155"/>
  <c r="AF24" i="155"/>
  <c r="AG24" i="155"/>
  <c r="AH24" i="155"/>
  <c r="AI24" i="155"/>
  <c r="AE24" i="155"/>
  <c r="AE55" i="155"/>
  <c r="AE56" i="155"/>
  <c r="AF56" i="155"/>
  <c r="AG56" i="155"/>
  <c r="AH56" i="155"/>
  <c r="AI56" i="155"/>
  <c r="AE57" i="155"/>
  <c r="AF57" i="155"/>
  <c r="AG57" i="155"/>
  <c r="AH57" i="155"/>
  <c r="AI57" i="155"/>
  <c r="AE58" i="155"/>
  <c r="AF58" i="155"/>
  <c r="AG58" i="155"/>
  <c r="AH58" i="155"/>
  <c r="AI58" i="155"/>
  <c r="AF55" i="155"/>
  <c r="AG55" i="155"/>
  <c r="AH55" i="155"/>
  <c r="AI55" i="155"/>
  <c r="AI47" i="178"/>
  <c r="AJ34" i="178"/>
  <c r="AE6" i="92"/>
  <c r="AE88" i="81" l="1"/>
  <c r="AE13" i="75" s="1"/>
  <c r="AE48" i="155" s="1"/>
  <c r="AF88" i="81"/>
  <c r="AF13" i="75" s="1"/>
  <c r="AG88" i="81"/>
  <c r="AG13" i="75" s="1"/>
  <c r="AH88" i="81"/>
  <c r="AH13" i="75" s="1"/>
  <c r="AI88" i="81"/>
  <c r="AI13" i="75" s="1"/>
  <c r="AE87" i="81"/>
  <c r="AE47" i="65" s="1"/>
  <c r="AE17" i="155" s="1"/>
  <c r="AF87" i="81"/>
  <c r="AF47" i="65" s="1"/>
  <c r="AG87" i="81"/>
  <c r="AG47" i="65" s="1"/>
  <c r="AH87" i="81"/>
  <c r="AH47" i="65" s="1"/>
  <c r="AI87" i="81"/>
  <c r="AI47" i="65" s="1"/>
  <c r="P168" i="176"/>
  <c r="AB168" i="176" s="1"/>
  <c r="AN168" i="176" s="1"/>
  <c r="D12" i="176"/>
  <c r="H62" i="189" a="1"/>
  <c r="H62" i="189" s="1"/>
  <c r="H35" i="189" a="1"/>
  <c r="H35" i="189" s="1"/>
  <c r="H26" i="189" a="1"/>
  <c r="H26" i="189" s="1"/>
  <c r="H24" i="189" a="1"/>
  <c r="H24" i="189" s="1"/>
  <c r="H23" i="189" a="1"/>
  <c r="H23" i="189" s="1"/>
  <c r="H22" i="189" a="1"/>
  <c r="H22" i="189" s="1"/>
  <c r="H17" i="189" a="1"/>
  <c r="H17" i="189" s="1"/>
  <c r="H14" i="189" a="1"/>
  <c r="H14" i="189" s="1"/>
  <c r="H13" i="189" a="1"/>
  <c r="H13" i="189" s="1"/>
  <c r="H11" i="189" a="1"/>
  <c r="H11" i="189" s="1"/>
  <c r="H10" i="189" a="1"/>
  <c r="H10" i="189" s="1"/>
  <c r="H9" i="189" a="1"/>
  <c r="H9" i="189" s="1"/>
  <c r="H21" i="190" a="1"/>
  <c r="H21" i="190" s="1"/>
  <c r="H19" i="190" a="1"/>
  <c r="H19" i="190" s="1"/>
  <c r="H18" i="190" a="1"/>
  <c r="H18" i="190" s="1"/>
  <c r="H17" i="190" a="1"/>
  <c r="H17" i="190" s="1"/>
  <c r="H11" i="190" a="1"/>
  <c r="H11" i="190" s="1"/>
  <c r="H9" i="190" a="1"/>
  <c r="H9" i="190" s="1"/>
  <c r="G130" i="192" a="1"/>
  <c r="G130" i="192" s="1"/>
  <c r="G112" i="192" a="1"/>
  <c r="G112" i="192" s="1"/>
  <c r="G111" i="192" a="1"/>
  <c r="G111" i="192" s="1"/>
  <c r="G97" i="192" a="1"/>
  <c r="G97" i="192" s="1"/>
  <c r="G86" i="192" a="1"/>
  <c r="G86" i="192" s="1"/>
  <c r="G75" i="192" a="1"/>
  <c r="G75" i="192" s="1"/>
  <c r="G74" i="192" a="1"/>
  <c r="G74" i="192" s="1"/>
  <c r="G64" i="192" a="1"/>
  <c r="G64" i="192" s="1"/>
  <c r="G53" i="192" a="1"/>
  <c r="G53" i="192" s="1"/>
  <c r="H34" i="188" a="1"/>
  <c r="H34" i="188" s="1"/>
  <c r="H22" i="188" a="1"/>
  <c r="H22" i="188" s="1"/>
  <c r="H16" i="188" a="1"/>
  <c r="H16" i="188" s="1"/>
  <c r="H10" i="188" a="1"/>
  <c r="H10" i="188" s="1"/>
  <c r="H84" i="187" a="1"/>
  <c r="H84" i="187" s="1"/>
  <c r="H73" i="187" a="1"/>
  <c r="H73" i="187" s="1"/>
  <c r="H67" i="187" a="1"/>
  <c r="H67" i="187" s="1"/>
  <c r="H61" i="187" a="1"/>
  <c r="H61" i="187" s="1"/>
  <c r="H55" i="187" a="1"/>
  <c r="H55" i="187" s="1"/>
  <c r="H35" i="187" a="1"/>
  <c r="H35" i="187" s="1"/>
  <c r="H29" i="187" a="1"/>
  <c r="H29" i="187" s="1"/>
  <c r="H23" i="187" a="1"/>
  <c r="H23" i="187" s="1"/>
  <c r="H17" i="187" a="1"/>
  <c r="H17" i="187" s="1"/>
  <c r="H10" i="187" a="1"/>
  <c r="H10" i="187" s="1"/>
  <c r="J25" i="186" a="1"/>
  <c r="J25" i="186" s="1"/>
  <c r="J17" i="186" a="1"/>
  <c r="J17" i="186" s="1"/>
  <c r="J10" i="186" a="1"/>
  <c r="J10" i="186" s="1"/>
  <c r="J22" i="185" a="1"/>
  <c r="J22" i="185" s="1"/>
  <c r="J16" i="185" a="1"/>
  <c r="J16" i="185" s="1"/>
  <c r="J58" i="185" a="1"/>
  <c r="J58" i="185" s="1"/>
  <c r="J70" i="185" a="1"/>
  <c r="J70" i="185" s="1"/>
  <c r="J64" i="185" a="1"/>
  <c r="J64" i="185" s="1"/>
  <c r="J52" i="185" a="1"/>
  <c r="J52" i="185" s="1"/>
  <c r="J46" i="185" a="1"/>
  <c r="J46" i="185" s="1"/>
  <c r="J40" i="185" a="1"/>
  <c r="J40" i="185" s="1"/>
  <c r="J34" i="185" a="1"/>
  <c r="J34" i="185" s="1"/>
  <c r="J28" i="185" a="1"/>
  <c r="J28" i="185" s="1"/>
  <c r="J10" i="185" a="1"/>
  <c r="J10" i="185" s="1"/>
  <c r="H103" i="183" a="1"/>
  <c r="H103" i="183" s="1"/>
  <c r="H102" i="183" a="1"/>
  <c r="H102" i="183" s="1"/>
  <c r="H101" i="183" a="1"/>
  <c r="H101" i="183" s="1"/>
  <c r="H100" i="183" a="1"/>
  <c r="H100" i="183" s="1"/>
  <c r="C6" i="13" l="1"/>
  <c r="AC155" i="182"/>
  <c r="AD155" i="182"/>
  <c r="AE155" i="182"/>
  <c r="AF155" i="182"/>
  <c r="AB155" i="182"/>
  <c r="AF23" i="182"/>
  <c r="AE23" i="182"/>
  <c r="AD23" i="182"/>
  <c r="AC23" i="182"/>
  <c r="AB23" i="182"/>
  <c r="AF22" i="182"/>
  <c r="AE22" i="182"/>
  <c r="AD22" i="182"/>
  <c r="AC22" i="182"/>
  <c r="AB22" i="182"/>
  <c r="AF21" i="182"/>
  <c r="AE21" i="182"/>
  <c r="AD21" i="182"/>
  <c r="AC21" i="182"/>
  <c r="AB21" i="182"/>
  <c r="AF20" i="182"/>
  <c r="AE20" i="182"/>
  <c r="AD20" i="182"/>
  <c r="AC20" i="182"/>
  <c r="AB20" i="182"/>
  <c r="AF18" i="182"/>
  <c r="AE18" i="182"/>
  <c r="AD18" i="182"/>
  <c r="AC18" i="182"/>
  <c r="AB18" i="182"/>
  <c r="AF16" i="182"/>
  <c r="AE16" i="182"/>
  <c r="AD16" i="182"/>
  <c r="AC16" i="182"/>
  <c r="AB16" i="182"/>
  <c r="AF14" i="182"/>
  <c r="AE14" i="182"/>
  <c r="AD14" i="182"/>
  <c r="AC14" i="182"/>
  <c r="AB14" i="182"/>
  <c r="AF13" i="182"/>
  <c r="AE13" i="182"/>
  <c r="AD13" i="182"/>
  <c r="AC13" i="182"/>
  <c r="AB13" i="182"/>
  <c r="AC69" i="182"/>
  <c r="AD69" i="182"/>
  <c r="AE69" i="182"/>
  <c r="AF69" i="182"/>
  <c r="AB69" i="182"/>
  <c r="AC72" i="182"/>
  <c r="AD72" i="182"/>
  <c r="AE72" i="182"/>
  <c r="AF72" i="182"/>
  <c r="AB72" i="182"/>
  <c r="AC75" i="182"/>
  <c r="AD75" i="182"/>
  <c r="AE75" i="182"/>
  <c r="AF75" i="182"/>
  <c r="AB75" i="182"/>
  <c r="AC78" i="182"/>
  <c r="AD78" i="182"/>
  <c r="AE78" i="182"/>
  <c r="AF78" i="182"/>
  <c r="AB78" i="182"/>
  <c r="AC81" i="182"/>
  <c r="AD81" i="182"/>
  <c r="AE81" i="182"/>
  <c r="AF81" i="182"/>
  <c r="AB81" i="182"/>
  <c r="AC84" i="182"/>
  <c r="AD84" i="182"/>
  <c r="AE84" i="182"/>
  <c r="AF84" i="182"/>
  <c r="AB84" i="182"/>
  <c r="AC86" i="182"/>
  <c r="AD86" i="182"/>
  <c r="AE86" i="182"/>
  <c r="AF86" i="182"/>
  <c r="AB86" i="182"/>
  <c r="AC88" i="182"/>
  <c r="AD88" i="182"/>
  <c r="AE88" i="182"/>
  <c r="AF88" i="182"/>
  <c r="AB88" i="182"/>
  <c r="AC90" i="182"/>
  <c r="AD90" i="182"/>
  <c r="AE90" i="182"/>
  <c r="AF90" i="182"/>
  <c r="AB90" i="182"/>
  <c r="AC93" i="182"/>
  <c r="AD93" i="182"/>
  <c r="AE93" i="182"/>
  <c r="AF93" i="182"/>
  <c r="AB93" i="182"/>
  <c r="AC96" i="182"/>
  <c r="AD96" i="182"/>
  <c r="AE96" i="182"/>
  <c r="AF96" i="182"/>
  <c r="AB96" i="182"/>
  <c r="AC99" i="182"/>
  <c r="AD99" i="182"/>
  <c r="AE99" i="182"/>
  <c r="AF99" i="182"/>
  <c r="AB99" i="182"/>
  <c r="AC102" i="182"/>
  <c r="AD102" i="182"/>
  <c r="AE102" i="182"/>
  <c r="AF102" i="182"/>
  <c r="AB102" i="182"/>
  <c r="AC104" i="182"/>
  <c r="AD104" i="182"/>
  <c r="AE104" i="182"/>
  <c r="AF104" i="182"/>
  <c r="AB104" i="182"/>
  <c r="AC107" i="182"/>
  <c r="AD107" i="182"/>
  <c r="AE107" i="182"/>
  <c r="AF107" i="182"/>
  <c r="AB107" i="182"/>
  <c r="AC111" i="182"/>
  <c r="AD111" i="182"/>
  <c r="AE111" i="182"/>
  <c r="AF111" i="182"/>
  <c r="AB111" i="182"/>
  <c r="AC114" i="182"/>
  <c r="AD114" i="182"/>
  <c r="AE114" i="182"/>
  <c r="AF114" i="182"/>
  <c r="AB114" i="182"/>
  <c r="AC117" i="182"/>
  <c r="AD117" i="182"/>
  <c r="AE117" i="182"/>
  <c r="AF117" i="182"/>
  <c r="AB117" i="182"/>
  <c r="AC120" i="182"/>
  <c r="AD120" i="182"/>
  <c r="AE120" i="182"/>
  <c r="AF120" i="182"/>
  <c r="AB120" i="182"/>
  <c r="AC122" i="182"/>
  <c r="AD122" i="182"/>
  <c r="AE122" i="182"/>
  <c r="AF122" i="182"/>
  <c r="AB122" i="182"/>
  <c r="R95" i="138"/>
  <c r="R94" i="138"/>
  <c r="R93" i="138"/>
  <c r="R92" i="138"/>
  <c r="R91" i="138"/>
  <c r="R89" i="138"/>
  <c r="R88" i="138"/>
  <c r="R87" i="138"/>
  <c r="R86" i="138"/>
  <c r="R85" i="138"/>
  <c r="R83" i="138"/>
  <c r="R82" i="138"/>
  <c r="R81" i="138"/>
  <c r="R80" i="138"/>
  <c r="R79" i="138"/>
  <c r="R78" i="138"/>
  <c r="R28" i="138"/>
  <c r="R29" i="138"/>
  <c r="R30" i="138"/>
  <c r="K278" i="194"/>
  <c r="K108" i="194" s="1"/>
  <c r="L43" i="184" s="1"/>
  <c r="J278" i="194"/>
  <c r="J108" i="194" s="1"/>
  <c r="K43" i="184" s="1"/>
  <c r="I278" i="194"/>
  <c r="I108" i="194" s="1"/>
  <c r="J43" i="184" s="1"/>
  <c r="H278" i="194"/>
  <c r="H108" i="194" s="1"/>
  <c r="I43" i="184" s="1"/>
  <c r="G278" i="194"/>
  <c r="K267" i="194"/>
  <c r="J267" i="194"/>
  <c r="J215" i="194" s="1"/>
  <c r="I267" i="194"/>
  <c r="I215" i="194" s="1"/>
  <c r="H267" i="194"/>
  <c r="H215" i="194" s="1"/>
  <c r="G267" i="194"/>
  <c r="G215" i="194" s="1"/>
  <c r="K265" i="194"/>
  <c r="J265" i="194"/>
  <c r="I265" i="194"/>
  <c r="H265" i="194"/>
  <c r="G265" i="194"/>
  <c r="J252" i="194"/>
  <c r="J214" i="194" s="1"/>
  <c r="H250" i="194"/>
  <c r="H252" i="194" s="1"/>
  <c r="H214" i="194" s="1"/>
  <c r="H112" i="194" s="1"/>
  <c r="I47" i="184" s="1"/>
  <c r="K248" i="194"/>
  <c r="K250" i="194" s="1"/>
  <c r="K252" i="194" s="1"/>
  <c r="K214" i="194" s="1"/>
  <c r="J248" i="194"/>
  <c r="J250" i="194" s="1"/>
  <c r="I248" i="194"/>
  <c r="I250" i="194" s="1"/>
  <c r="I252" i="194" s="1"/>
  <c r="I214" i="194" s="1"/>
  <c r="H248" i="194"/>
  <c r="G248" i="194"/>
  <c r="G250" i="194" s="1"/>
  <c r="G252" i="194" s="1"/>
  <c r="G214" i="194" s="1"/>
  <c r="J235" i="194"/>
  <c r="J213" i="194" s="1"/>
  <c r="J112" i="194" s="1"/>
  <c r="K47" i="184" s="1"/>
  <c r="K231" i="194"/>
  <c r="J231" i="194"/>
  <c r="J233" i="194" s="1"/>
  <c r="I231" i="194"/>
  <c r="I233" i="194" s="1"/>
  <c r="H231" i="194"/>
  <c r="H233" i="194" s="1"/>
  <c r="G231" i="194"/>
  <c r="G235" i="194" s="1"/>
  <c r="G213" i="194" s="1"/>
  <c r="G112" i="194" s="1"/>
  <c r="H47" i="184" s="1"/>
  <c r="K215" i="194"/>
  <c r="K207" i="194"/>
  <c r="K198" i="194" s="1"/>
  <c r="K199" i="194" s="1"/>
  <c r="K191" i="194" s="1"/>
  <c r="J207" i="194"/>
  <c r="J198" i="194" s="1"/>
  <c r="J199" i="194" s="1"/>
  <c r="J191" i="194" s="1"/>
  <c r="J182" i="194" s="1"/>
  <c r="J183" i="194" s="1"/>
  <c r="J111" i="194" s="1"/>
  <c r="K46" i="184" s="1"/>
  <c r="I207" i="194"/>
  <c r="I198" i="194" s="1"/>
  <c r="I199" i="194" s="1"/>
  <c r="I191" i="194" s="1"/>
  <c r="I182" i="194" s="1"/>
  <c r="I183" i="194" s="1"/>
  <c r="I111" i="194" s="1"/>
  <c r="J46" i="184" s="1"/>
  <c r="H207" i="194"/>
  <c r="H198" i="194" s="1"/>
  <c r="H199" i="194" s="1"/>
  <c r="G207" i="194"/>
  <c r="G198" i="194" s="1"/>
  <c r="G199" i="194" s="1"/>
  <c r="G191" i="194" s="1"/>
  <c r="G182" i="194" s="1"/>
  <c r="G183" i="194" s="1"/>
  <c r="G111" i="194" s="1"/>
  <c r="H46" i="184" s="1"/>
  <c r="K182" i="194"/>
  <c r="K183" i="194" s="1"/>
  <c r="K111" i="194" s="1"/>
  <c r="L46" i="184" s="1"/>
  <c r="H191" i="194"/>
  <c r="H182" i="194" s="1"/>
  <c r="H183" i="194" s="1"/>
  <c r="H111" i="194" s="1"/>
  <c r="I46" i="184" s="1"/>
  <c r="K176" i="194"/>
  <c r="K167" i="194" s="1"/>
  <c r="J176" i="194"/>
  <c r="J167" i="194" s="1"/>
  <c r="I176" i="194"/>
  <c r="H176" i="194"/>
  <c r="G176" i="194"/>
  <c r="F176" i="194"/>
  <c r="F167" i="194" s="1"/>
  <c r="I167" i="194"/>
  <c r="K162" i="194"/>
  <c r="K149" i="194" s="1"/>
  <c r="J162" i="194"/>
  <c r="J149" i="194" s="1"/>
  <c r="I162" i="194"/>
  <c r="I149" i="194" s="1"/>
  <c r="H162" i="194"/>
  <c r="H149" i="194" s="1"/>
  <c r="G162" i="194"/>
  <c r="G149" i="194" s="1"/>
  <c r="K141" i="194"/>
  <c r="K130" i="194" s="1"/>
  <c r="K109" i="194" s="1"/>
  <c r="L44" i="184" s="1"/>
  <c r="J141" i="194"/>
  <c r="J130" i="194" s="1"/>
  <c r="J109" i="194" s="1"/>
  <c r="K44" i="184" s="1"/>
  <c r="I141" i="194"/>
  <c r="I130" i="194" s="1"/>
  <c r="H141" i="194"/>
  <c r="H130" i="194" s="1"/>
  <c r="H109" i="194" s="1"/>
  <c r="I44" i="184" s="1"/>
  <c r="G141" i="194"/>
  <c r="G130" i="194" s="1"/>
  <c r="G109" i="194" s="1"/>
  <c r="H44" i="184" s="1"/>
  <c r="I109" i="194"/>
  <c r="J44" i="184" s="1"/>
  <c r="K106" i="194"/>
  <c r="L41" i="184" s="1"/>
  <c r="J106" i="194"/>
  <c r="K41" i="184" s="1"/>
  <c r="G108" i="194"/>
  <c r="H43" i="184" s="1"/>
  <c r="I106" i="194"/>
  <c r="J41" i="184" s="1"/>
  <c r="H106" i="194"/>
  <c r="I41" i="184" s="1"/>
  <c r="G106" i="194"/>
  <c r="H41" i="184" s="1"/>
  <c r="K87" i="194"/>
  <c r="K25" i="194" s="1"/>
  <c r="J87" i="194"/>
  <c r="J25" i="194" s="1"/>
  <c r="I87" i="194"/>
  <c r="I25" i="194" s="1"/>
  <c r="H87" i="194"/>
  <c r="H25" i="194" s="1"/>
  <c r="G87" i="194"/>
  <c r="G25" i="194" s="1"/>
  <c r="K80" i="194"/>
  <c r="J80" i="194"/>
  <c r="I80" i="194"/>
  <c r="H80" i="194"/>
  <c r="G80" i="194"/>
  <c r="K73" i="194"/>
  <c r="K37" i="194" s="1"/>
  <c r="J73" i="194"/>
  <c r="J37" i="194" s="1"/>
  <c r="I73" i="194"/>
  <c r="I37" i="194" s="1"/>
  <c r="H73" i="194"/>
  <c r="H37" i="194" s="1"/>
  <c r="G73" i="194"/>
  <c r="K63" i="194"/>
  <c r="K66" i="194" s="1"/>
  <c r="K46" i="194" s="1"/>
  <c r="J63" i="194"/>
  <c r="J66" i="194" s="1"/>
  <c r="J46" i="194" s="1"/>
  <c r="I63" i="194"/>
  <c r="I66" i="194" s="1"/>
  <c r="I46" i="194" s="1"/>
  <c r="H63" i="194"/>
  <c r="H66" i="194" s="1"/>
  <c r="H46" i="194" s="1"/>
  <c r="G63" i="194"/>
  <c r="G66" i="194" s="1"/>
  <c r="G46" i="194" s="1"/>
  <c r="K55" i="194"/>
  <c r="K58" i="194" s="1"/>
  <c r="K41" i="194" s="1"/>
  <c r="J55" i="194"/>
  <c r="J58" i="194" s="1"/>
  <c r="J41" i="194" s="1"/>
  <c r="I55" i="194"/>
  <c r="I58" i="194" s="1"/>
  <c r="I41" i="194" s="1"/>
  <c r="H55" i="194"/>
  <c r="H58" i="194" s="1"/>
  <c r="H41" i="194" s="1"/>
  <c r="G55" i="194"/>
  <c r="G58" i="194" s="1"/>
  <c r="G41" i="194" s="1"/>
  <c r="G37" i="194"/>
  <c r="I42" i="193"/>
  <c r="I47" i="193" s="1"/>
  <c r="I9" i="193" s="1"/>
  <c r="H82" i="183" s="1"/>
  <c r="M23" i="193"/>
  <c r="M8" i="193" s="1"/>
  <c r="L81" i="183" s="1"/>
  <c r="L23" i="193"/>
  <c r="L8" i="193" s="1"/>
  <c r="K81" i="183" s="1"/>
  <c r="K23" i="193"/>
  <c r="K8" i="193" s="1"/>
  <c r="J81" i="183" s="1"/>
  <c r="J23" i="193"/>
  <c r="J8" i="193" s="1"/>
  <c r="I81" i="183" s="1"/>
  <c r="M9" i="193"/>
  <c r="L9" i="193"/>
  <c r="K9" i="193"/>
  <c r="J82" i="183" s="1"/>
  <c r="J9" i="193"/>
  <c r="G146" i="192"/>
  <c r="G121" i="192" s="1"/>
  <c r="I131" i="192"/>
  <c r="I135" i="192" s="1"/>
  <c r="I120" i="192" s="1"/>
  <c r="H131" i="192"/>
  <c r="H135" i="192" s="1"/>
  <c r="H120" i="192" s="1"/>
  <c r="G131" i="192"/>
  <c r="K129" i="192"/>
  <c r="K131" i="192" s="1"/>
  <c r="J129" i="192"/>
  <c r="J131" i="192" s="1"/>
  <c r="I129" i="192"/>
  <c r="H129" i="192"/>
  <c r="G129" i="192"/>
  <c r="K128" i="192"/>
  <c r="J128" i="192"/>
  <c r="I128" i="192"/>
  <c r="H128" i="192"/>
  <c r="G128" i="192"/>
  <c r="K115" i="192"/>
  <c r="K106" i="192" s="1"/>
  <c r="J115" i="192"/>
  <c r="J106" i="192" s="1"/>
  <c r="I115" i="192"/>
  <c r="I106" i="192" s="1"/>
  <c r="H115" i="192"/>
  <c r="H106" i="192" s="1"/>
  <c r="G115" i="192"/>
  <c r="G106" i="192" s="1"/>
  <c r="K114" i="192"/>
  <c r="K105" i="192" s="1"/>
  <c r="J114" i="192"/>
  <c r="J105" i="192" s="1"/>
  <c r="I114" i="192"/>
  <c r="I105" i="192" s="1"/>
  <c r="H114" i="192"/>
  <c r="H105" i="192" s="1"/>
  <c r="G114" i="192"/>
  <c r="G105" i="192" s="1"/>
  <c r="K98" i="192"/>
  <c r="K101" i="192" s="1"/>
  <c r="K44" i="192" s="1"/>
  <c r="J98" i="192"/>
  <c r="J101" i="192" s="1"/>
  <c r="J44" i="192" s="1"/>
  <c r="I98" i="192"/>
  <c r="I101" i="192" s="1"/>
  <c r="I44" i="192" s="1"/>
  <c r="H98" i="192"/>
  <c r="H101" i="192" s="1"/>
  <c r="H44" i="192" s="1"/>
  <c r="G98" i="192"/>
  <c r="G101" i="192" s="1"/>
  <c r="G44" i="192" s="1"/>
  <c r="K87" i="192"/>
  <c r="K90" i="192" s="1"/>
  <c r="K43" i="192" s="1"/>
  <c r="J87" i="192"/>
  <c r="J90" i="192" s="1"/>
  <c r="J43" i="192" s="1"/>
  <c r="I87" i="192"/>
  <c r="I90" i="192" s="1"/>
  <c r="I43" i="192" s="1"/>
  <c r="H87" i="192"/>
  <c r="H90" i="192" s="1"/>
  <c r="H43" i="192" s="1"/>
  <c r="G87" i="192"/>
  <c r="G90" i="192" s="1"/>
  <c r="G43" i="192" s="1"/>
  <c r="K76" i="192"/>
  <c r="K79" i="192" s="1"/>
  <c r="K42" i="192" s="1"/>
  <c r="J76" i="192"/>
  <c r="J79" i="192" s="1"/>
  <c r="J42" i="192" s="1"/>
  <c r="I76" i="192"/>
  <c r="I79" i="192" s="1"/>
  <c r="I42" i="192" s="1"/>
  <c r="H76" i="192"/>
  <c r="H79" i="192" s="1"/>
  <c r="H42" i="192" s="1"/>
  <c r="G76" i="192"/>
  <c r="G79" i="192" s="1"/>
  <c r="G42" i="192" s="1"/>
  <c r="K65" i="192"/>
  <c r="K68" i="192" s="1"/>
  <c r="K41" i="192" s="1"/>
  <c r="J65" i="192"/>
  <c r="J68" i="192" s="1"/>
  <c r="J41" i="192" s="1"/>
  <c r="I65" i="192"/>
  <c r="I68" i="192" s="1"/>
  <c r="I41" i="192" s="1"/>
  <c r="H65" i="192"/>
  <c r="H68" i="192" s="1"/>
  <c r="H41" i="192" s="1"/>
  <c r="G65" i="192"/>
  <c r="G68" i="192" s="1"/>
  <c r="G41" i="192" s="1"/>
  <c r="K54" i="192"/>
  <c r="K57" i="192" s="1"/>
  <c r="K40" i="192" s="1"/>
  <c r="J54" i="192"/>
  <c r="J57" i="192" s="1"/>
  <c r="J40" i="192" s="1"/>
  <c r="I54" i="192"/>
  <c r="I57" i="192" s="1"/>
  <c r="I40" i="192" s="1"/>
  <c r="H54" i="192"/>
  <c r="H57" i="192" s="1"/>
  <c r="H40" i="192" s="1"/>
  <c r="G54" i="192"/>
  <c r="G57" i="192" s="1"/>
  <c r="G40" i="192" s="1"/>
  <c r="K10" i="190"/>
  <c r="K33" i="184" s="1"/>
  <c r="J10" i="190"/>
  <c r="J33" i="184" s="1"/>
  <c r="H10" i="190"/>
  <c r="H33" i="184" s="1"/>
  <c r="L20" i="190"/>
  <c r="L10" i="190" s="1"/>
  <c r="L33" i="184" s="1"/>
  <c r="K20" i="190"/>
  <c r="J20" i="190"/>
  <c r="I20" i="190"/>
  <c r="I10" i="190" s="1"/>
  <c r="I33" i="184" s="1"/>
  <c r="H20" i="190"/>
  <c r="L63" i="189"/>
  <c r="L16" i="189" s="1"/>
  <c r="L71" i="183" s="1"/>
  <c r="K63" i="189"/>
  <c r="K16" i="189" s="1"/>
  <c r="K71" i="183" s="1"/>
  <c r="J63" i="189"/>
  <c r="J16" i="189" s="1"/>
  <c r="J71" i="183" s="1"/>
  <c r="I63" i="189"/>
  <c r="I16" i="189" s="1"/>
  <c r="I71" i="183" s="1"/>
  <c r="H63" i="189"/>
  <c r="H16" i="189" s="1"/>
  <c r="H71" i="183" s="1"/>
  <c r="H54" i="189"/>
  <c r="H37" i="189" s="1"/>
  <c r="L54" i="189"/>
  <c r="L37" i="189" s="1"/>
  <c r="K54" i="189"/>
  <c r="K37" i="189" s="1"/>
  <c r="J54" i="189"/>
  <c r="J37" i="189" s="1"/>
  <c r="I54" i="189"/>
  <c r="I37" i="189" s="1"/>
  <c r="L46" i="189"/>
  <c r="L36" i="189" s="1"/>
  <c r="K46" i="189"/>
  <c r="K36" i="189" s="1"/>
  <c r="J46" i="189"/>
  <c r="J36" i="189" s="1"/>
  <c r="H46" i="189"/>
  <c r="H36" i="189" s="1"/>
  <c r="K12" i="189"/>
  <c r="K67" i="183" s="1"/>
  <c r="I12" i="189"/>
  <c r="I67" i="183" s="1"/>
  <c r="H12" i="189"/>
  <c r="H67" i="183" s="1"/>
  <c r="L25" i="189"/>
  <c r="L12" i="189" s="1"/>
  <c r="L67" i="183" s="1"/>
  <c r="K25" i="189"/>
  <c r="J25" i="189"/>
  <c r="J12" i="189" s="1"/>
  <c r="J67" i="183" s="1"/>
  <c r="I25" i="189"/>
  <c r="H25" i="189"/>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s="1"/>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s="1"/>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L41" i="185"/>
  <c r="J11" i="183" s="1"/>
  <c r="K41" i="185"/>
  <c r="I11" i="183" s="1"/>
  <c r="J41" i="185"/>
  <c r="H11" i="183" s="1"/>
  <c r="N35" i="185"/>
  <c r="L19" i="183" s="1"/>
  <c r="M35" i="185"/>
  <c r="K19" i="183" s="1"/>
  <c r="L35" i="185"/>
  <c r="J19" i="183" s="1"/>
  <c r="K35" i="185"/>
  <c r="J35" i="185"/>
  <c r="H19" i="183" s="1"/>
  <c r="N29" i="185"/>
  <c r="L10" i="183" s="1"/>
  <c r="M29" i="185"/>
  <c r="K10" i="183" s="1"/>
  <c r="L29" i="185"/>
  <c r="J10" i="183" s="1"/>
  <c r="K29" i="185"/>
  <c r="I10" i="183" s="1"/>
  <c r="J29" i="185"/>
  <c r="H10" i="183" s="1"/>
  <c r="N23" i="185"/>
  <c r="L18" i="183" s="1"/>
  <c r="M23" i="185"/>
  <c r="L23" i="185"/>
  <c r="J18" i="183" s="1"/>
  <c r="K23" i="185"/>
  <c r="I18" i="183" s="1"/>
  <c r="J23" i="185"/>
  <c r="H18" i="183" s="1"/>
  <c r="N17" i="185"/>
  <c r="L17" i="183" s="1"/>
  <c r="M17" i="185"/>
  <c r="K17" i="183" s="1"/>
  <c r="L17" i="185"/>
  <c r="J17" i="183" s="1"/>
  <c r="K17" i="185"/>
  <c r="I17" i="183" s="1"/>
  <c r="J17" i="185"/>
  <c r="H17" i="183" s="1"/>
  <c r="N11" i="185"/>
  <c r="L9" i="183" s="1"/>
  <c r="M11" i="185"/>
  <c r="K9" i="183" s="1"/>
  <c r="L11" i="185"/>
  <c r="J9" i="183" s="1"/>
  <c r="K11" i="185"/>
  <c r="I9" i="183" s="1"/>
  <c r="J11" i="185"/>
  <c r="H9" i="183" s="1"/>
  <c r="L83" i="183"/>
  <c r="K83" i="183"/>
  <c r="J83" i="183"/>
  <c r="I83" i="183"/>
  <c r="H83" i="183"/>
  <c r="L82" i="183"/>
  <c r="K82" i="183"/>
  <c r="I82" i="183"/>
  <c r="I19" i="183"/>
  <c r="K18" i="183"/>
  <c r="K11" i="183"/>
  <c r="G50" i="194" l="1"/>
  <c r="H235" i="194"/>
  <c r="H213" i="194" s="1"/>
  <c r="H28" i="188" a="1"/>
  <c r="H28" i="188" s="1"/>
  <c r="H19" i="184" s="1"/>
  <c r="I50" i="194"/>
  <c r="G233" i="194"/>
  <c r="L24" i="193"/>
  <c r="I24" i="193"/>
  <c r="I19" i="184"/>
  <c r="H66" i="187" a="1"/>
  <c r="H66" i="187" s="1"/>
  <c r="H68" i="187" s="1"/>
  <c r="G28" i="191" s="1"/>
  <c r="K107" i="192"/>
  <c r="K45" i="192" s="1"/>
  <c r="J135" i="192"/>
  <c r="J19" i="184"/>
  <c r="K19" i="184"/>
  <c r="L19" i="184"/>
  <c r="H21" i="188" a="1"/>
  <c r="H21" i="188" s="1"/>
  <c r="H23" i="188" s="1"/>
  <c r="H17" i="184" s="1"/>
  <c r="H60" i="187" a="1"/>
  <c r="H60" i="187" s="1"/>
  <c r="H62" i="187" s="1"/>
  <c r="H33" i="183" s="1"/>
  <c r="H16" i="187" a="1"/>
  <c r="H16" i="187" s="1"/>
  <c r="H18" i="187" s="1"/>
  <c r="H34" i="183" s="1"/>
  <c r="H22" i="187" a="1"/>
  <c r="H48" i="183" a="1"/>
  <c r="H48" i="183" s="1"/>
  <c r="G29" i="192" a="1"/>
  <c r="J107" i="192"/>
  <c r="J45" i="192" s="1"/>
  <c r="H49" i="183" a="1"/>
  <c r="H49" i="183" s="1"/>
  <c r="H59" i="183" a="1"/>
  <c r="H59" i="183" s="1"/>
  <c r="J68" i="187"/>
  <c r="I28" i="191" s="1"/>
  <c r="H78" i="187" a="1"/>
  <c r="H34" i="187" a="1"/>
  <c r="H56" i="183" a="1"/>
  <c r="H9" i="188" a="1"/>
  <c r="H50" i="187" a="1"/>
  <c r="H51" i="183" a="1"/>
  <c r="H58" i="183" a="1"/>
  <c r="H58" i="183" s="1"/>
  <c r="H83" i="187" a="1"/>
  <c r="H41" i="187" a="1"/>
  <c r="H15" i="188" a="1"/>
  <c r="H54" i="187" a="1"/>
  <c r="H9" i="187" a="1"/>
  <c r="H33" i="188" a="1"/>
  <c r="H72" i="187" a="1"/>
  <c r="H28" i="187" a="1"/>
  <c r="H57" i="183" a="1"/>
  <c r="H57" i="183" s="1"/>
  <c r="H90" i="187" a="1"/>
  <c r="H45" i="187" a="1"/>
  <c r="H54" i="183" a="1"/>
  <c r="H54" i="183" s="1"/>
  <c r="I107" i="192"/>
  <c r="I45" i="192" s="1"/>
  <c r="K15" i="189"/>
  <c r="K70" i="183" s="1"/>
  <c r="I46" i="189"/>
  <c r="I36" i="189" s="1"/>
  <c r="I15" i="189" s="1"/>
  <c r="I70" i="183" s="1"/>
  <c r="L15" i="189"/>
  <c r="L70" i="183" s="1"/>
  <c r="J144" i="192"/>
  <c r="J120" i="192"/>
  <c r="G28" i="194"/>
  <c r="G31" i="194" s="1"/>
  <c r="G11" i="194" s="1"/>
  <c r="H38" i="184" s="1"/>
  <c r="H15" i="189"/>
  <c r="H70" i="183" s="1"/>
  <c r="J15" i="189"/>
  <c r="J70" i="183" s="1"/>
  <c r="J50" i="194"/>
  <c r="J28" i="194" s="1"/>
  <c r="J31" i="194" s="1"/>
  <c r="J11" i="194" s="1"/>
  <c r="K38" i="184" s="1"/>
  <c r="K50" i="194"/>
  <c r="I144" i="192"/>
  <c r="H107" i="192"/>
  <c r="H45" i="192" s="1"/>
  <c r="K24" i="193"/>
  <c r="J24" i="193"/>
  <c r="I8" i="193"/>
  <c r="H81" i="183" s="1"/>
  <c r="M24" i="193"/>
  <c r="K233" i="194"/>
  <c r="K235" i="194"/>
  <c r="K213" i="194" s="1"/>
  <c r="K112" i="194" s="1"/>
  <c r="L47" i="184" s="1"/>
  <c r="K152" i="192"/>
  <c r="I235" i="194"/>
  <c r="I213" i="194" s="1"/>
  <c r="I112" i="194" s="1"/>
  <c r="J47" i="184" s="1"/>
  <c r="G167" i="194"/>
  <c r="G169" i="194"/>
  <c r="G150" i="194" s="1"/>
  <c r="G151" i="194" s="1"/>
  <c r="G110" i="194" s="1"/>
  <c r="H45" i="184" s="1"/>
  <c r="G107" i="192"/>
  <c r="G45" i="192" s="1"/>
  <c r="H50" i="194"/>
  <c r="H28" i="194" s="1"/>
  <c r="H31" i="194" s="1"/>
  <c r="H11" i="194" s="1"/>
  <c r="I38" i="184" s="1"/>
  <c r="K28" i="194"/>
  <c r="K31" i="194" s="1"/>
  <c r="K11" i="194" s="1"/>
  <c r="L38" i="184" s="1"/>
  <c r="H169" i="194"/>
  <c r="H150" i="194" s="1"/>
  <c r="H151" i="194" s="1"/>
  <c r="H110" i="194" s="1"/>
  <c r="I28" i="194"/>
  <c r="I31" i="194" s="1"/>
  <c r="I11" i="194" s="1"/>
  <c r="J38" i="184" s="1"/>
  <c r="G135" i="192"/>
  <c r="H144" i="192"/>
  <c r="H167" i="194"/>
  <c r="I68" i="187" l="1"/>
  <c r="H28" i="191" s="1"/>
  <c r="K68" i="187"/>
  <c r="K36" i="183" s="1"/>
  <c r="J36" i="183"/>
  <c r="H36" i="183"/>
  <c r="L68" i="187"/>
  <c r="K28" i="191" s="1"/>
  <c r="K62" i="187"/>
  <c r="J27" i="191" s="1"/>
  <c r="I62" i="187"/>
  <c r="H27" i="191" s="1"/>
  <c r="L62" i="187"/>
  <c r="I36" i="183"/>
  <c r="G27" i="191"/>
  <c r="J28" i="191"/>
  <c r="K23" i="188"/>
  <c r="K17" i="184" s="1"/>
  <c r="I18" i="187"/>
  <c r="I34" i="183" s="1"/>
  <c r="J18" i="187"/>
  <c r="J34" i="183" s="1"/>
  <c r="I23" i="188"/>
  <c r="I17" i="184" s="1"/>
  <c r="L18" i="187"/>
  <c r="L34" i="183" s="1"/>
  <c r="K18" i="187"/>
  <c r="K34" i="183" s="1"/>
  <c r="J62" i="187"/>
  <c r="I27" i="191" s="1"/>
  <c r="L23" i="188"/>
  <c r="L17" i="184" s="1"/>
  <c r="J23" i="188"/>
  <c r="J17" i="184" s="1"/>
  <c r="I53" i="195"/>
  <c r="J53" i="195"/>
  <c r="J69" i="195" s="1"/>
  <c r="G29" i="192"/>
  <c r="G30" i="192" s="1"/>
  <c r="G16" i="192" s="1"/>
  <c r="G17" i="192" s="1"/>
  <c r="G8" i="192" s="1"/>
  <c r="H76" i="183" s="1"/>
  <c r="K30" i="192"/>
  <c r="K16" i="192" s="1"/>
  <c r="K17" i="192" s="1"/>
  <c r="K8" i="192" s="1"/>
  <c r="L76" i="183" s="1"/>
  <c r="J30" i="192"/>
  <c r="J16" i="192" s="1"/>
  <c r="J17" i="192" s="1"/>
  <c r="J8" i="192" s="1"/>
  <c r="K76" i="183" s="1"/>
  <c r="I30" i="192"/>
  <c r="I16" i="192" s="1"/>
  <c r="I17" i="192" s="1"/>
  <c r="I8" i="192" s="1"/>
  <c r="J76" i="183" s="1"/>
  <c r="H30" i="192"/>
  <c r="H16" i="192" s="1"/>
  <c r="H17" i="192" s="1"/>
  <c r="H8" i="192" s="1"/>
  <c r="I76" i="183" s="1"/>
  <c r="H22" i="187"/>
  <c r="H24" i="187" s="1"/>
  <c r="H35" i="183" s="1"/>
  <c r="L24" i="187"/>
  <c r="L35" i="183" s="1"/>
  <c r="K24" i="187"/>
  <c r="K35" i="183" s="1"/>
  <c r="J24" i="187"/>
  <c r="J35" i="183" s="1"/>
  <c r="I24" i="187"/>
  <c r="I35" i="183" s="1"/>
  <c r="L53" i="195"/>
  <c r="K53" i="195"/>
  <c r="M53" i="195"/>
  <c r="H83" i="187"/>
  <c r="H85" i="187" s="1"/>
  <c r="H28" i="183" s="1"/>
  <c r="L85" i="187"/>
  <c r="L28" i="183" s="1"/>
  <c r="K85" i="187"/>
  <c r="K28" i="183" s="1"/>
  <c r="J85" i="187"/>
  <c r="J28" i="183" s="1"/>
  <c r="I85" i="187"/>
  <c r="I28" i="183" s="1"/>
  <c r="H56" i="183"/>
  <c r="I52" i="195" s="1"/>
  <c r="M52" i="195"/>
  <c r="L52" i="195"/>
  <c r="K52" i="195"/>
  <c r="J52" i="195"/>
  <c r="H28" i="187"/>
  <c r="H30" i="187" s="1"/>
  <c r="L30" i="187"/>
  <c r="I30" i="187"/>
  <c r="K30" i="187"/>
  <c r="J30" i="187"/>
  <c r="H9" i="187"/>
  <c r="H11" i="187" s="1"/>
  <c r="H23" i="183" s="1"/>
  <c r="K11" i="187"/>
  <c r="K23" i="183" s="1"/>
  <c r="J11" i="187"/>
  <c r="J23" i="183" s="1"/>
  <c r="I11" i="187"/>
  <c r="I23" i="183" s="1"/>
  <c r="L11" i="187"/>
  <c r="L23" i="183" s="1"/>
  <c r="H51" i="183"/>
  <c r="I55" i="195" s="1"/>
  <c r="M55" i="195"/>
  <c r="L55" i="195"/>
  <c r="K55" i="195"/>
  <c r="J55" i="195"/>
  <c r="H34" i="187"/>
  <c r="H36" i="187" s="1"/>
  <c r="L36" i="187"/>
  <c r="K36" i="187"/>
  <c r="J36" i="187"/>
  <c r="I36" i="187"/>
  <c r="H54" i="187"/>
  <c r="H56" i="187" s="1"/>
  <c r="J56" i="187"/>
  <c r="K56" i="187"/>
  <c r="I56" i="187"/>
  <c r="L56" i="187"/>
  <c r="H45" i="187"/>
  <c r="H25" i="183" s="1"/>
  <c r="J25" i="183"/>
  <c r="K25" i="183"/>
  <c r="I25" i="183"/>
  <c r="L25" i="183"/>
  <c r="H50" i="187"/>
  <c r="H30" i="183" s="1"/>
  <c r="J30" i="183"/>
  <c r="I30" i="183"/>
  <c r="K30" i="183"/>
  <c r="L30" i="183"/>
  <c r="H9" i="188"/>
  <c r="H11" i="188" s="1"/>
  <c r="H15" i="184" s="1"/>
  <c r="I11" i="188"/>
  <c r="I15" i="184" s="1"/>
  <c r="J11" i="188"/>
  <c r="J15" i="184" s="1"/>
  <c r="L11" i="188"/>
  <c r="L15" i="184" s="1"/>
  <c r="K11" i="188"/>
  <c r="K15" i="184" s="1"/>
  <c r="H90" i="187"/>
  <c r="H29" i="183" s="1"/>
  <c r="L29" i="183"/>
  <c r="K29" i="183"/>
  <c r="J29" i="183"/>
  <c r="I29" i="183"/>
  <c r="H33" i="188"/>
  <c r="H35" i="188" s="1"/>
  <c r="H18" i="184" s="1"/>
  <c r="J35" i="188"/>
  <c r="J18" i="184" s="1"/>
  <c r="I35" i="188"/>
  <c r="I18" i="184" s="1"/>
  <c r="K35" i="188"/>
  <c r="K18" i="184" s="1"/>
  <c r="L35" i="188"/>
  <c r="L18" i="184" s="1"/>
  <c r="H72" i="187"/>
  <c r="H74" i="187" s="1"/>
  <c r="K74" i="187"/>
  <c r="J74" i="187"/>
  <c r="I74" i="187"/>
  <c r="L74" i="187"/>
  <c r="H15" i="188"/>
  <c r="H17" i="188" s="1"/>
  <c r="H16" i="184" s="1"/>
  <c r="L17" i="188"/>
  <c r="L16" i="184" s="1"/>
  <c r="K17" i="188"/>
  <c r="K16" i="184" s="1"/>
  <c r="J17" i="188"/>
  <c r="J16" i="184" s="1"/>
  <c r="I17" i="188"/>
  <c r="I16" i="184" s="1"/>
  <c r="J33" i="183"/>
  <c r="I33" i="183"/>
  <c r="H78" i="187"/>
  <c r="I27" i="183"/>
  <c r="J27" i="183"/>
  <c r="K30" i="191"/>
  <c r="J30" i="191"/>
  <c r="L27" i="183"/>
  <c r="H30" i="191"/>
  <c r="I30" i="191"/>
  <c r="K27" i="183"/>
  <c r="H41" i="187"/>
  <c r="K25" i="191"/>
  <c r="L24" i="183"/>
  <c r="J25" i="191"/>
  <c r="K24" i="183"/>
  <c r="I25" i="191"/>
  <c r="H25" i="191"/>
  <c r="J24" i="183"/>
  <c r="I24" i="183"/>
  <c r="G113" i="194"/>
  <c r="J14" i="194"/>
  <c r="G144" i="192"/>
  <c r="G145" i="192" s="1"/>
  <c r="G120" i="192"/>
  <c r="G122" i="192" s="1"/>
  <c r="M153" i="192"/>
  <c r="I14" i="194"/>
  <c r="I169" i="194"/>
  <c r="K14" i="194"/>
  <c r="H14" i="194"/>
  <c r="G14" i="194"/>
  <c r="H113" i="194"/>
  <c r="L36" i="183" l="1"/>
  <c r="K33" i="183"/>
  <c r="K27" i="191"/>
  <c r="L33" i="183"/>
  <c r="J81" i="195"/>
  <c r="J87" i="195"/>
  <c r="J75" i="195"/>
  <c r="J93" i="195"/>
  <c r="J63" i="195"/>
  <c r="I81" i="195"/>
  <c r="I63" i="195"/>
  <c r="I87" i="195"/>
  <c r="I69" i="195"/>
  <c r="I75" i="195"/>
  <c r="I93" i="195"/>
  <c r="M93" i="195"/>
  <c r="M81" i="195"/>
  <c r="M69" i="195"/>
  <c r="M87" i="195"/>
  <c r="M63" i="195"/>
  <c r="M75" i="195"/>
  <c r="K75" i="195"/>
  <c r="K87" i="195"/>
  <c r="K63" i="195"/>
  <c r="K93" i="195"/>
  <c r="K81" i="195"/>
  <c r="K69" i="195"/>
  <c r="L87" i="195"/>
  <c r="L75" i="195"/>
  <c r="L69" i="195"/>
  <c r="L63" i="195"/>
  <c r="L81" i="195"/>
  <c r="L93" i="195"/>
  <c r="G29" i="191"/>
  <c r="H37" i="183"/>
  <c r="G26" i="191"/>
  <c r="H31" i="183"/>
  <c r="L95" i="195"/>
  <c r="L77" i="195"/>
  <c r="L71" i="195"/>
  <c r="L65" i="195"/>
  <c r="L83" i="195"/>
  <c r="L89" i="195"/>
  <c r="I23" i="191"/>
  <c r="J32" i="183"/>
  <c r="L74" i="195"/>
  <c r="L68" i="195"/>
  <c r="L62" i="195"/>
  <c r="L86" i="195"/>
  <c r="L92" i="195"/>
  <c r="L80" i="195"/>
  <c r="I26" i="191"/>
  <c r="J31" i="183"/>
  <c r="K95" i="195"/>
  <c r="K71" i="195"/>
  <c r="K77" i="195"/>
  <c r="K83" i="195"/>
  <c r="K65" i="195"/>
  <c r="K89" i="195"/>
  <c r="H24" i="191"/>
  <c r="I26" i="183"/>
  <c r="M77" i="195"/>
  <c r="M95" i="195"/>
  <c r="M65" i="195"/>
  <c r="M83" i="195"/>
  <c r="M89" i="195"/>
  <c r="M71" i="195"/>
  <c r="J23" i="191"/>
  <c r="K32" i="183"/>
  <c r="M92" i="195"/>
  <c r="M68" i="195"/>
  <c r="M74" i="195"/>
  <c r="M86" i="195"/>
  <c r="M80" i="195"/>
  <c r="M62" i="195"/>
  <c r="K92" i="195"/>
  <c r="K62" i="195"/>
  <c r="K68" i="195"/>
  <c r="K74" i="195"/>
  <c r="K80" i="195"/>
  <c r="K86" i="195"/>
  <c r="I24" i="191"/>
  <c r="J26" i="183"/>
  <c r="I83" i="195"/>
  <c r="I77" i="195"/>
  <c r="I65" i="195"/>
  <c r="I95" i="195"/>
  <c r="I89" i="195"/>
  <c r="I71" i="195"/>
  <c r="H23" i="191"/>
  <c r="I32" i="183"/>
  <c r="I92" i="195"/>
  <c r="I74" i="195"/>
  <c r="I86" i="195"/>
  <c r="I62" i="195"/>
  <c r="I68" i="195"/>
  <c r="I80" i="195"/>
  <c r="J24" i="191"/>
  <c r="K26" i="183"/>
  <c r="K23" i="191"/>
  <c r="L32" i="183"/>
  <c r="G25" i="191"/>
  <c r="H24" i="183"/>
  <c r="G30" i="191"/>
  <c r="H27" i="183"/>
  <c r="K29" i="191"/>
  <c r="L37" i="183"/>
  <c r="K26" i="191"/>
  <c r="L31" i="183"/>
  <c r="K24" i="191"/>
  <c r="L26" i="183"/>
  <c r="G23" i="191"/>
  <c r="H32" i="183"/>
  <c r="J29" i="191"/>
  <c r="K37" i="183"/>
  <c r="H29" i="191"/>
  <c r="I37" i="183"/>
  <c r="H26" i="191"/>
  <c r="I31" i="183"/>
  <c r="G24" i="191"/>
  <c r="H26" i="183"/>
  <c r="I29" i="191"/>
  <c r="J37" i="183"/>
  <c r="J26" i="191"/>
  <c r="K31" i="183"/>
  <c r="J89" i="195"/>
  <c r="J71" i="195"/>
  <c r="J77" i="195"/>
  <c r="J65" i="195"/>
  <c r="J83" i="195"/>
  <c r="J95" i="195"/>
  <c r="J92" i="195"/>
  <c r="J86" i="195"/>
  <c r="J80" i="195"/>
  <c r="J62" i="195"/>
  <c r="J68" i="195"/>
  <c r="J74" i="195"/>
  <c r="G142" i="192"/>
  <c r="H143" i="192" s="1"/>
  <c r="G46" i="192"/>
  <c r="G47" i="192" s="1"/>
  <c r="G9" i="192" s="1"/>
  <c r="H77" i="183" s="1"/>
  <c r="J169" i="194"/>
  <c r="I150" i="194"/>
  <c r="I151" i="194" s="1"/>
  <c r="I110" i="194" s="1"/>
  <c r="K31" i="191" l="1"/>
  <c r="K13" i="191" s="1"/>
  <c r="K16" i="191" s="1"/>
  <c r="L38" i="183" s="1"/>
  <c r="I31" i="191"/>
  <c r="I13" i="191" s="1"/>
  <c r="I16" i="191" s="1"/>
  <c r="J38" i="183" s="1"/>
  <c r="H31" i="191"/>
  <c r="H13" i="191" s="1"/>
  <c r="H16" i="191" s="1"/>
  <c r="I38" i="183" s="1"/>
  <c r="G31" i="191"/>
  <c r="G13" i="191" s="1"/>
  <c r="G16" i="191" s="1"/>
  <c r="H38" i="183" s="1"/>
  <c r="J31" i="191"/>
  <c r="J13" i="191" s="1"/>
  <c r="J16" i="191" s="1"/>
  <c r="K38" i="183" s="1"/>
  <c r="H145" i="192"/>
  <c r="H146" i="192" s="1"/>
  <c r="H121" i="192" s="1"/>
  <c r="H122" i="192" s="1"/>
  <c r="I113" i="194"/>
  <c r="J150" i="194"/>
  <c r="J151" i="194" s="1"/>
  <c r="J110" i="194" s="1"/>
  <c r="K169" i="194"/>
  <c r="K150" i="194" s="1"/>
  <c r="K151" i="194" s="1"/>
  <c r="K110" i="194" s="1"/>
  <c r="K113" i="194" l="1"/>
  <c r="J113" i="194"/>
  <c r="H46" i="192"/>
  <c r="H47" i="192" s="1"/>
  <c r="H9" i="192" s="1"/>
  <c r="I77" i="183" s="1"/>
  <c r="H142" i="192"/>
  <c r="I143" i="192" s="1"/>
  <c r="I145" i="192" l="1"/>
  <c r="I146" i="192" s="1"/>
  <c r="I121" i="192" s="1"/>
  <c r="I122" i="192" s="1"/>
  <c r="I46" i="192" l="1"/>
  <c r="I47" i="192" s="1"/>
  <c r="I9" i="192" s="1"/>
  <c r="J77" i="183" s="1"/>
  <c r="I142" i="192"/>
  <c r="J143" i="192" s="1"/>
  <c r="J145" i="192" l="1"/>
  <c r="J146" i="192" s="1"/>
  <c r="J121" i="192" s="1"/>
  <c r="J122" i="192" s="1"/>
  <c r="J46" i="192" l="1"/>
  <c r="J47" i="192" s="1"/>
  <c r="J9" i="192" s="1"/>
  <c r="K77" i="183" s="1"/>
  <c r="J142" i="192"/>
  <c r="K153" i="192" s="1"/>
  <c r="K154" i="192" l="1"/>
  <c r="K46" i="192" s="1"/>
  <c r="K47" i="192" s="1"/>
  <c r="K9" i="192" s="1"/>
  <c r="L77" i="183" s="1"/>
  <c r="M154" i="192" l="1"/>
  <c r="AE14" i="63" l="1"/>
  <c r="AF14" i="63"/>
  <c r="AG14" i="63"/>
  <c r="AH14" i="63"/>
  <c r="AI14" i="63"/>
  <c r="AE15" i="63"/>
  <c r="AF15" i="63"/>
  <c r="AG15" i="63"/>
  <c r="AH15" i="63"/>
  <c r="AI15" i="63"/>
  <c r="AE16" i="63"/>
  <c r="AF16" i="63"/>
  <c r="AG16" i="63"/>
  <c r="AH16" i="63"/>
  <c r="AI16" i="63"/>
  <c r="AE17" i="63"/>
  <c r="AF17" i="63"/>
  <c r="AG17" i="63"/>
  <c r="AH17" i="63"/>
  <c r="AI17" i="63"/>
  <c r="AE18" i="63"/>
  <c r="AF18" i="63"/>
  <c r="AG18" i="63"/>
  <c r="AH18" i="63"/>
  <c r="AI18" i="63"/>
  <c r="AE19" i="63"/>
  <c r="AF19" i="63"/>
  <c r="AG19" i="63"/>
  <c r="AH19" i="63"/>
  <c r="AI19" i="63"/>
  <c r="AF13" i="63"/>
  <c r="AF51" i="65" s="1"/>
  <c r="AC15" i="182" s="1"/>
  <c r="AG13" i="63"/>
  <c r="AG51" i="65" s="1"/>
  <c r="AD15" i="182" s="1"/>
  <c r="AH13" i="63"/>
  <c r="AI13" i="63"/>
  <c r="AE13" i="63"/>
  <c r="AE14" i="72"/>
  <c r="AF14" i="72"/>
  <c r="AG14" i="72"/>
  <c r="AH14" i="72"/>
  <c r="AI14" i="72"/>
  <c r="AE15" i="72"/>
  <c r="AF15" i="72"/>
  <c r="AG15" i="72"/>
  <c r="AH15" i="72"/>
  <c r="AI15" i="72"/>
  <c r="AE16" i="72"/>
  <c r="AF16" i="72"/>
  <c r="AG16" i="72"/>
  <c r="AH16" i="72"/>
  <c r="AI16" i="72"/>
  <c r="AE17" i="72"/>
  <c r="AF17" i="72"/>
  <c r="AG17" i="72"/>
  <c r="AH17" i="72"/>
  <c r="AI17" i="72"/>
  <c r="AE18" i="72"/>
  <c r="AF18" i="72"/>
  <c r="AG18" i="72"/>
  <c r="AH18" i="72"/>
  <c r="AI18" i="72"/>
  <c r="AE19" i="72"/>
  <c r="AF19" i="72"/>
  <c r="AG19" i="72"/>
  <c r="AH19" i="72"/>
  <c r="AI19" i="72"/>
  <c r="AF13" i="72"/>
  <c r="AG13" i="72"/>
  <c r="AH13" i="72"/>
  <c r="AI13" i="72"/>
  <c r="AE13" i="72"/>
  <c r="AF23" i="75"/>
  <c r="AG23" i="75"/>
  <c r="AH23" i="75"/>
  <c r="AI23" i="75"/>
  <c r="AE23" i="75"/>
  <c r="AF22" i="75"/>
  <c r="AG22" i="75"/>
  <c r="AH22" i="75"/>
  <c r="AI22" i="75"/>
  <c r="AE22" i="75"/>
  <c r="AF18" i="75"/>
  <c r="AG18" i="75"/>
  <c r="AH18" i="75"/>
  <c r="AI18" i="75"/>
  <c r="AE18" i="75"/>
  <c r="AE51" i="155" s="1"/>
  <c r="AF17" i="75"/>
  <c r="AG17" i="75"/>
  <c r="AH17" i="75"/>
  <c r="AI17" i="75"/>
  <c r="AE17" i="75"/>
  <c r="AF16" i="75"/>
  <c r="AG16" i="75"/>
  <c r="AH16" i="75"/>
  <c r="AI16" i="75"/>
  <c r="AE16" i="75"/>
  <c r="AF14" i="75"/>
  <c r="AG14" i="75"/>
  <c r="AH14" i="75"/>
  <c r="AI14" i="75"/>
  <c r="AE14" i="75"/>
  <c r="AE49" i="155" s="1"/>
  <c r="AE77" i="81"/>
  <c r="AF77" i="81"/>
  <c r="AG77" i="81"/>
  <c r="AH77" i="81"/>
  <c r="AI77" i="81"/>
  <c r="AJ77" i="81"/>
  <c r="AD77" i="81"/>
  <c r="AE15" i="75" l="1" a="1"/>
  <c r="AE15" i="75" s="1"/>
  <c r="AE50" i="155" s="1"/>
  <c r="AE51" i="65"/>
  <c r="AI51" i="65"/>
  <c r="AF15" i="182" s="1"/>
  <c r="AH51" i="65"/>
  <c r="AE15" i="182" s="1"/>
  <c r="AC32" i="182"/>
  <c r="AD32" i="182"/>
  <c r="AB32" i="182"/>
  <c r="AE32" i="182"/>
  <c r="AF32" i="182"/>
  <c r="AI15" i="75" a="1"/>
  <c r="AI15" i="75" s="1"/>
  <c r="AF15" i="75" a="1"/>
  <c r="AF15" i="75" s="1"/>
  <c r="AH15" i="75" a="1"/>
  <c r="AH15" i="75" s="1"/>
  <c r="AG15" i="75" a="1"/>
  <c r="AG15" i="75" s="1"/>
  <c r="AE19" i="155" l="1"/>
  <c r="AB15" i="182"/>
  <c r="H50" i="183" s="1" a="1"/>
  <c r="AB33" i="182"/>
  <c r="AF33" i="182"/>
  <c r="H26" i="184" a="1"/>
  <c r="AC33" i="182"/>
  <c r="AD33" i="182"/>
  <c r="AE33" i="182"/>
  <c r="AE54" i="81"/>
  <c r="AF54" i="81"/>
  <c r="AG54" i="81"/>
  <c r="AH54" i="81"/>
  <c r="AI54" i="81"/>
  <c r="AE55" i="81"/>
  <c r="AF55" i="81"/>
  <c r="AG55" i="81"/>
  <c r="AH55" i="81"/>
  <c r="AI55" i="81"/>
  <c r="AE56" i="81"/>
  <c r="AE28" i="65" s="1"/>
  <c r="AF56" i="81"/>
  <c r="AG56" i="81"/>
  <c r="AH56" i="81"/>
  <c r="AI56" i="81"/>
  <c r="AE57" i="81"/>
  <c r="AF57" i="81"/>
  <c r="AG57" i="81"/>
  <c r="AH57" i="81"/>
  <c r="AI57" i="81"/>
  <c r="AE58" i="81"/>
  <c r="AF58" i="81"/>
  <c r="AG58" i="81"/>
  <c r="AH58" i="81"/>
  <c r="AI58" i="81"/>
  <c r="AE59" i="81"/>
  <c r="AF59" i="81"/>
  <c r="AG59" i="81"/>
  <c r="AH59" i="81"/>
  <c r="AI59" i="81"/>
  <c r="AE60" i="81"/>
  <c r="AF60" i="81"/>
  <c r="AG60" i="81"/>
  <c r="AH60" i="81"/>
  <c r="AI60" i="81"/>
  <c r="AE61" i="81"/>
  <c r="AF61" i="81"/>
  <c r="AG61" i="81"/>
  <c r="AH61" i="81"/>
  <c r="AI61" i="81"/>
  <c r="AE62" i="81"/>
  <c r="AF62" i="81"/>
  <c r="AG62" i="81"/>
  <c r="AH62" i="81"/>
  <c r="AI62" i="81"/>
  <c r="AE63" i="81"/>
  <c r="AF63" i="81"/>
  <c r="AG63" i="81"/>
  <c r="AH63" i="81"/>
  <c r="AI63" i="81"/>
  <c r="AE64" i="81"/>
  <c r="AF64" i="81"/>
  <c r="AG64" i="81"/>
  <c r="AH64" i="81"/>
  <c r="AI64" i="81"/>
  <c r="AE65" i="81"/>
  <c r="AF65" i="81"/>
  <c r="AG65" i="81"/>
  <c r="AH65" i="81"/>
  <c r="AI65" i="81"/>
  <c r="AE66" i="81"/>
  <c r="AF66" i="81"/>
  <c r="AG66" i="81"/>
  <c r="AH66" i="81"/>
  <c r="AI66" i="81"/>
  <c r="AE67" i="81"/>
  <c r="AF67" i="81"/>
  <c r="AG67" i="81"/>
  <c r="AH67" i="81"/>
  <c r="AI67" i="81"/>
  <c r="AE68" i="81"/>
  <c r="AF68" i="81"/>
  <c r="AG68" i="81"/>
  <c r="AH68" i="81"/>
  <c r="AI68" i="81"/>
  <c r="AE69" i="81"/>
  <c r="AF69" i="81"/>
  <c r="AG69" i="81"/>
  <c r="AH69" i="81"/>
  <c r="AI69" i="81"/>
  <c r="AE70" i="81"/>
  <c r="AF70" i="81"/>
  <c r="AG70" i="81"/>
  <c r="AH70" i="81"/>
  <c r="AI70" i="81"/>
  <c r="AE71" i="81"/>
  <c r="AF71" i="81"/>
  <c r="AG71" i="81"/>
  <c r="AH71" i="81"/>
  <c r="AI71" i="81"/>
  <c r="AE72" i="81"/>
  <c r="AF72" i="81"/>
  <c r="AG72" i="81"/>
  <c r="AH72" i="81"/>
  <c r="AI72" i="81"/>
  <c r="AE73" i="81"/>
  <c r="AF73" i="81"/>
  <c r="AG73" i="81"/>
  <c r="AH73" i="81"/>
  <c r="AI73" i="81"/>
  <c r="AE53" i="81"/>
  <c r="AF53" i="81"/>
  <c r="AG53" i="81"/>
  <c r="AH53" i="81"/>
  <c r="AI53" i="81"/>
  <c r="K83" i="81"/>
  <c r="K165" i="81"/>
  <c r="K164" i="81"/>
  <c r="K163" i="81"/>
  <c r="K162" i="81"/>
  <c r="K153" i="81"/>
  <c r="K152" i="81"/>
  <c r="K151" i="81"/>
  <c r="K150" i="81"/>
  <c r="K149" i="81"/>
  <c r="K135" i="81"/>
  <c r="K134" i="81"/>
  <c r="K133" i="81"/>
  <c r="K132" i="81"/>
  <c r="K131" i="81"/>
  <c r="K130" i="81"/>
  <c r="K129" i="81"/>
  <c r="K125" i="81"/>
  <c r="K124" i="81"/>
  <c r="K123" i="81"/>
  <c r="K122" i="81"/>
  <c r="K118" i="81"/>
  <c r="K117" i="81"/>
  <c r="K116" i="81"/>
  <c r="K115" i="81"/>
  <c r="K111" i="81"/>
  <c r="K110" i="81"/>
  <c r="K109" i="81"/>
  <c r="K108" i="81"/>
  <c r="K104" i="81"/>
  <c r="K103" i="81"/>
  <c r="K102" i="81"/>
  <c r="K101" i="81"/>
  <c r="K95" i="81"/>
  <c r="K94" i="81"/>
  <c r="K93" i="81"/>
  <c r="K92" i="81"/>
  <c r="K82" i="81"/>
  <c r="K81" i="81"/>
  <c r="K80" i="81"/>
  <c r="K49" i="81"/>
  <c r="K48" i="81"/>
  <c r="K47" i="81"/>
  <c r="K46" i="81"/>
  <c r="K45" i="81"/>
  <c r="K44" i="81"/>
  <c r="K43" i="81"/>
  <c r="K42" i="81"/>
  <c r="K41" i="81"/>
  <c r="K37" i="81"/>
  <c r="K36" i="81"/>
  <c r="K35" i="81"/>
  <c r="K34" i="81"/>
  <c r="K30" i="81"/>
  <c r="K29" i="81"/>
  <c r="K28" i="81"/>
  <c r="K27" i="81"/>
  <c r="K23" i="81"/>
  <c r="K22" i="81"/>
  <c r="K21" i="81"/>
  <c r="K20" i="81"/>
  <c r="K14" i="81"/>
  <c r="K15" i="81"/>
  <c r="K13" i="81"/>
  <c r="A2" i="182"/>
  <c r="A1" i="182"/>
  <c r="A2" i="11"/>
  <c r="A2" i="10"/>
  <c r="M54" i="195" l="1"/>
  <c r="H50" i="183"/>
  <c r="I54" i="195" s="1"/>
  <c r="K54" i="195"/>
  <c r="J54" i="195"/>
  <c r="L54" i="195"/>
  <c r="AI15" i="65"/>
  <c r="AE15" i="65"/>
  <c r="AH15" i="65"/>
  <c r="AF15" i="65"/>
  <c r="AG15" i="65"/>
  <c r="AE13" i="65"/>
  <c r="AF13" i="65"/>
  <c r="AG13" i="65"/>
  <c r="AH13" i="65"/>
  <c r="AI13" i="65"/>
  <c r="AE42" i="65"/>
  <c r="AF14" i="65"/>
  <c r="AG14" i="65"/>
  <c r="AH14" i="65"/>
  <c r="AI14" i="65"/>
  <c r="AE14" i="65"/>
  <c r="AH17" i="65"/>
  <c r="AF16" i="65"/>
  <c r="AI17" i="65"/>
  <c r="AE16" i="65"/>
  <c r="AH16" i="65"/>
  <c r="AG16" i="65"/>
  <c r="AE17" i="65"/>
  <c r="AI16" i="65"/>
  <c r="AF17" i="65"/>
  <c r="AG17" i="65"/>
  <c r="M26" i="196"/>
  <c r="K26" i="196"/>
  <c r="J26" i="196"/>
  <c r="H26" i="184"/>
  <c r="I26" i="196" s="1"/>
  <c r="L26" i="196"/>
  <c r="H27" i="184" a="1"/>
  <c r="J27" i="196" s="1"/>
  <c r="AI25" i="65"/>
  <c r="AG30" i="65"/>
  <c r="AI36" i="65"/>
  <c r="AE32" i="65"/>
  <c r="AI28" i="65"/>
  <c r="AF27" i="65"/>
  <c r="AH41" i="65"/>
  <c r="AH25" i="65"/>
  <c r="AE40" i="65"/>
  <c r="AG42" i="65"/>
  <c r="AG38" i="65"/>
  <c r="AG45" i="65"/>
  <c r="AI20" i="65"/>
  <c r="AH42" i="65"/>
  <c r="AF35" i="65"/>
  <c r="AH33" i="65"/>
  <c r="AF42" i="65"/>
  <c r="AI46" i="65"/>
  <c r="AF45" i="65"/>
  <c r="AG41" i="65"/>
  <c r="AI39" i="65"/>
  <c r="AF38" i="65"/>
  <c r="AH36" i="65"/>
  <c r="AE35" i="65"/>
  <c r="AG33" i="65"/>
  <c r="AI31" i="65"/>
  <c r="AF30" i="65"/>
  <c r="AH28" i="65"/>
  <c r="AE27" i="65"/>
  <c r="AG25" i="65"/>
  <c r="AI23" i="65"/>
  <c r="AH20" i="65"/>
  <c r="AE24" i="65"/>
  <c r="AH46" i="65"/>
  <c r="AE45" i="65"/>
  <c r="AF41" i="65"/>
  <c r="AH39" i="65"/>
  <c r="AE38" i="65"/>
  <c r="AG36" i="65"/>
  <c r="AI34" i="65"/>
  <c r="AF33" i="65"/>
  <c r="AH31" i="65"/>
  <c r="AE30" i="65"/>
  <c r="AG28" i="65"/>
  <c r="AF25" i="65"/>
  <c r="AH23" i="65"/>
  <c r="AG20" i="65"/>
  <c r="AI37" i="65"/>
  <c r="AE33" i="65"/>
  <c r="AF28" i="65"/>
  <c r="AG23" i="65"/>
  <c r="AF39" i="65"/>
  <c r="AH37" i="65"/>
  <c r="AE36" i="65"/>
  <c r="AG34" i="65"/>
  <c r="AI32" i="65"/>
  <c r="AF31" i="65"/>
  <c r="AH29" i="65"/>
  <c r="AI24" i="65"/>
  <c r="AF23" i="65"/>
  <c r="AE20" i="65"/>
  <c r="AE46" i="65"/>
  <c r="AG37" i="65"/>
  <c r="AH32" i="65"/>
  <c r="AE31" i="65"/>
  <c r="AG29" i="65"/>
  <c r="AI27" i="65"/>
  <c r="AH24" i="65"/>
  <c r="AE23" i="65"/>
  <c r="AG39" i="65"/>
  <c r="AH34" i="65"/>
  <c r="AI29" i="65"/>
  <c r="AE25" i="65"/>
  <c r="AF20" i="65"/>
  <c r="AI40" i="65"/>
  <c r="AH40" i="65"/>
  <c r="AI35" i="65"/>
  <c r="AF37" i="65"/>
  <c r="AE34" i="65"/>
  <c r="AI30" i="65"/>
  <c r="AH27" i="65"/>
  <c r="AG24" i="65"/>
  <c r="AG46" i="65"/>
  <c r="AE41" i="65"/>
  <c r="AF36" i="65"/>
  <c r="AG31" i="65"/>
  <c r="AF46" i="65"/>
  <c r="AI42" i="65"/>
  <c r="AE39" i="65"/>
  <c r="AF34" i="65"/>
  <c r="AI45" i="65"/>
  <c r="AG40" i="65"/>
  <c r="AI38" i="65"/>
  <c r="AH35" i="65"/>
  <c r="AG32" i="65"/>
  <c r="AF29" i="65"/>
  <c r="AH45" i="65"/>
  <c r="AI41" i="65"/>
  <c r="AF40" i="65"/>
  <c r="AH38" i="65"/>
  <c r="AE37" i="65"/>
  <c r="AG35" i="65"/>
  <c r="AI33" i="65"/>
  <c r="AF32" i="65"/>
  <c r="AH30" i="65"/>
  <c r="AE29" i="65"/>
  <c r="AG27" i="65"/>
  <c r="AF24" i="65"/>
  <c r="G11" i="115"/>
  <c r="G18" i="115"/>
  <c r="F39" i="115" s="1"/>
  <c r="F38" i="115"/>
  <c r="A2" i="181"/>
  <c r="A1" i="181"/>
  <c r="A2" i="180"/>
  <c r="A1" i="180"/>
  <c r="A2" i="179"/>
  <c r="A1" i="179"/>
  <c r="A2" i="178"/>
  <c r="A1" i="178"/>
  <c r="AI37" i="180"/>
  <c r="AI21" i="180"/>
  <c r="AI46" i="180" s="1"/>
  <c r="AM42" i="178"/>
  <c r="AL42" i="178"/>
  <c r="AK42" i="178"/>
  <c r="AJ42" i="178"/>
  <c r="AI42" i="178"/>
  <c r="AM34" i="178"/>
  <c r="AL34" i="178"/>
  <c r="AK34" i="178"/>
  <c r="AM54" i="178"/>
  <c r="L70" i="195" l="1"/>
  <c r="L82" i="195"/>
  <c r="L64" i="195"/>
  <c r="L76" i="195"/>
  <c r="L88" i="195"/>
  <c r="L94" i="195"/>
  <c r="J64" i="195"/>
  <c r="J94" i="195"/>
  <c r="J82" i="195"/>
  <c r="J88" i="195"/>
  <c r="J70" i="195"/>
  <c r="J76" i="195"/>
  <c r="K88" i="195"/>
  <c r="K94" i="195"/>
  <c r="K82" i="195"/>
  <c r="K64" i="195"/>
  <c r="K76" i="195"/>
  <c r="K70" i="195"/>
  <c r="I94" i="195"/>
  <c r="I88" i="195"/>
  <c r="I70" i="195"/>
  <c r="I64" i="195"/>
  <c r="I76" i="195"/>
  <c r="I82" i="195"/>
  <c r="M94" i="195"/>
  <c r="M76" i="195"/>
  <c r="M82" i="195"/>
  <c r="M70" i="195"/>
  <c r="M64" i="195"/>
  <c r="M88" i="195"/>
  <c r="AB11" i="182"/>
  <c r="AE13" i="155"/>
  <c r="AE35" i="155" s="1"/>
  <c r="L32" i="196"/>
  <c r="L34" i="196"/>
  <c r="L40" i="196"/>
  <c r="L38" i="196"/>
  <c r="L42" i="196"/>
  <c r="L36" i="196"/>
  <c r="I32" i="196"/>
  <c r="I42" i="196"/>
  <c r="I36" i="196"/>
  <c r="I40" i="196"/>
  <c r="I38" i="196"/>
  <c r="I34" i="196"/>
  <c r="J40" i="196"/>
  <c r="J32" i="196"/>
  <c r="J42" i="196"/>
  <c r="J34" i="196"/>
  <c r="J36" i="196"/>
  <c r="J38" i="196"/>
  <c r="K34" i="196"/>
  <c r="K32" i="196"/>
  <c r="K38" i="196"/>
  <c r="K36" i="196"/>
  <c r="K42" i="196"/>
  <c r="K40" i="196"/>
  <c r="M38" i="196"/>
  <c r="M36" i="196"/>
  <c r="M42" i="196"/>
  <c r="M34" i="196"/>
  <c r="M40" i="196"/>
  <c r="M32" i="196"/>
  <c r="M27" i="196"/>
  <c r="M33" i="196" s="1"/>
  <c r="K27" i="196"/>
  <c r="L27" i="196"/>
  <c r="L28" i="196" s="1"/>
  <c r="H27" i="184"/>
  <c r="I27" i="196" s="1"/>
  <c r="I41" i="196" s="1"/>
  <c r="J35" i="196"/>
  <c r="J33" i="196"/>
  <c r="J37" i="196"/>
  <c r="J28" i="196"/>
  <c r="J39" i="196"/>
  <c r="J41" i="196"/>
  <c r="J43" i="196"/>
  <c r="L41" i="196"/>
  <c r="AF11" i="182"/>
  <c r="AD11" i="182"/>
  <c r="AE11" i="182"/>
  <c r="AC11" i="182"/>
  <c r="AI54" i="178"/>
  <c r="AI53" i="178" s="1"/>
  <c r="AJ54" i="178"/>
  <c r="AK54" i="178"/>
  <c r="AL54" i="178"/>
  <c r="L37" i="196" l="1"/>
  <c r="M41" i="196"/>
  <c r="M39" i="196"/>
  <c r="M35" i="196"/>
  <c r="AJ53" i="178"/>
  <c r="M43" i="196"/>
  <c r="M28" i="196"/>
  <c r="M37" i="196"/>
  <c r="L43" i="196"/>
  <c r="L35" i="196"/>
  <c r="L33" i="196"/>
  <c r="L39" i="196"/>
  <c r="K37" i="196"/>
  <c r="K39" i="196"/>
  <c r="K41" i="196"/>
  <c r="K43" i="196"/>
  <c r="K33" i="196"/>
  <c r="K28" i="196"/>
  <c r="K35" i="196"/>
  <c r="J50" i="196" a="1"/>
  <c r="J50" i="196" s="1"/>
  <c r="I58" i="184" s="1"/>
  <c r="J48" i="196" a="1"/>
  <c r="J48" i="196" s="1"/>
  <c r="I56" i="184" s="1"/>
  <c r="I39" i="196"/>
  <c r="I33" i="196"/>
  <c r="I35" i="196"/>
  <c r="I28" i="196"/>
  <c r="I43" i="196"/>
  <c r="I37" i="196"/>
  <c r="J47" i="196" a="1"/>
  <c r="J47" i="196" s="1"/>
  <c r="I55" i="184" s="1"/>
  <c r="J52" i="196" a="1"/>
  <c r="J52" i="196" s="1"/>
  <c r="I60" i="184" s="1"/>
  <c r="J51" i="196" a="1"/>
  <c r="J51" i="196" s="1"/>
  <c r="I59" i="184" s="1"/>
  <c r="J49" i="196" a="1"/>
  <c r="J49" i="196" s="1"/>
  <c r="I57" i="184" s="1"/>
  <c r="H46" i="183" a="1"/>
  <c r="K50" i="195" s="1"/>
  <c r="AI121" i="96"/>
  <c r="AI120" i="96"/>
  <c r="AI119" i="96"/>
  <c r="AI118" i="96"/>
  <c r="AI117" i="96"/>
  <c r="AI116" i="96"/>
  <c r="AI115" i="96"/>
  <c r="AI114" i="96"/>
  <c r="AI113" i="96"/>
  <c r="AI112" i="96"/>
  <c r="AI111" i="96"/>
  <c r="AI110" i="96"/>
  <c r="AI109" i="96"/>
  <c r="AI108" i="96"/>
  <c r="AI107" i="96"/>
  <c r="AI106" i="96"/>
  <c r="AI105" i="96"/>
  <c r="AI104" i="96"/>
  <c r="AI103" i="96"/>
  <c r="AI102" i="96"/>
  <c r="AI101" i="96"/>
  <c r="AI100" i="96"/>
  <c r="AI99" i="96"/>
  <c r="AI98" i="96"/>
  <c r="AI97" i="96"/>
  <c r="AI96"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AI13" i="96"/>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P158" i="92"/>
  <c r="Q158" i="92"/>
  <c r="P159" i="92"/>
  <c r="Q159" i="92"/>
  <c r="P160" i="92"/>
  <c r="Q160" i="92"/>
  <c r="P161" i="92"/>
  <c r="Q161" i="92"/>
  <c r="P162" i="92"/>
  <c r="Q162" i="92"/>
  <c r="P163" i="92"/>
  <c r="Q163" i="92"/>
  <c r="Q95" i="92"/>
  <c r="P95" i="92"/>
  <c r="P178" i="92"/>
  <c r="Q178" i="92"/>
  <c r="P179" i="92"/>
  <c r="Q179" i="92"/>
  <c r="P180" i="92"/>
  <c r="Q180" i="92"/>
  <c r="P181" i="92"/>
  <c r="Q181" i="92"/>
  <c r="P182" i="92"/>
  <c r="Q182" i="92"/>
  <c r="P183" i="92"/>
  <c r="Q183" i="92"/>
  <c r="P184" i="92"/>
  <c r="Q184" i="92"/>
  <c r="P185" i="92"/>
  <c r="Q185" i="92"/>
  <c r="P186" i="92"/>
  <c r="Q186" i="92"/>
  <c r="P187" i="92"/>
  <c r="Q187" i="92"/>
  <c r="P188" i="92"/>
  <c r="Q188" i="92"/>
  <c r="P189" i="92"/>
  <c r="Q189" i="92"/>
  <c r="P190" i="92"/>
  <c r="Q190" i="92"/>
  <c r="P191" i="92"/>
  <c r="Q191" i="92"/>
  <c r="P192" i="92"/>
  <c r="Q192" i="92"/>
  <c r="P193" i="92"/>
  <c r="Q193" i="92"/>
  <c r="P194" i="92"/>
  <c r="Q194" i="92"/>
  <c r="P195" i="92"/>
  <c r="Q195" i="92"/>
  <c r="P196" i="92"/>
  <c r="Q196" i="92"/>
  <c r="P197" i="92"/>
  <c r="Q197" i="92"/>
  <c r="P198" i="92"/>
  <c r="Q198" i="92"/>
  <c r="P199" i="92"/>
  <c r="Q199" i="92"/>
  <c r="P200" i="92"/>
  <c r="Q200" i="92"/>
  <c r="P201" i="92"/>
  <c r="Q201" i="92"/>
  <c r="P202" i="92"/>
  <c r="Q202" i="92"/>
  <c r="P203" i="92"/>
  <c r="Q203" i="92"/>
  <c r="P204" i="92"/>
  <c r="Q204" i="92"/>
  <c r="P205" i="92"/>
  <c r="Q205" i="92"/>
  <c r="P206" i="92"/>
  <c r="Q206" i="92"/>
  <c r="P207" i="92"/>
  <c r="Q207" i="92"/>
  <c r="P208" i="92"/>
  <c r="Q208" i="92"/>
  <c r="P209" i="92"/>
  <c r="Q209" i="92"/>
  <c r="P210" i="92"/>
  <c r="Q210" i="92"/>
  <c r="P211" i="92"/>
  <c r="Q211" i="92"/>
  <c r="P212" i="92"/>
  <c r="Q212" i="92"/>
  <c r="P213" i="92"/>
  <c r="Q213" i="92"/>
  <c r="P214" i="92"/>
  <c r="Q214" i="92"/>
  <c r="P215" i="92"/>
  <c r="Q215" i="92"/>
  <c r="P216" i="92"/>
  <c r="Q216" i="92"/>
  <c r="P217" i="92"/>
  <c r="Q217" i="92"/>
  <c r="P218" i="92"/>
  <c r="Q218" i="92"/>
  <c r="P219" i="92"/>
  <c r="Q219" i="92"/>
  <c r="P220" i="92"/>
  <c r="Q220" i="92"/>
  <c r="P221" i="92"/>
  <c r="Q221" i="92"/>
  <c r="P222" i="92"/>
  <c r="Q222" i="92"/>
  <c r="P223" i="92"/>
  <c r="Q223" i="92"/>
  <c r="P224" i="92"/>
  <c r="Q224" i="92"/>
  <c r="P225" i="92"/>
  <c r="Q225" i="92"/>
  <c r="P226" i="92"/>
  <c r="Q226" i="92"/>
  <c r="P227" i="92"/>
  <c r="Q227" i="92"/>
  <c r="P228" i="92"/>
  <c r="Q228" i="92"/>
  <c r="P229" i="92"/>
  <c r="Q229" i="92"/>
  <c r="P230" i="92"/>
  <c r="Q230" i="92"/>
  <c r="P231" i="92"/>
  <c r="Q231" i="92"/>
  <c r="P232" i="92"/>
  <c r="Q232" i="92"/>
  <c r="P233" i="92"/>
  <c r="Q233" i="92"/>
  <c r="P234" i="92"/>
  <c r="Q234" i="92"/>
  <c r="P235" i="92"/>
  <c r="Q235" i="92"/>
  <c r="P236" i="92"/>
  <c r="Q236" i="92"/>
  <c r="P237" i="92"/>
  <c r="Q237" i="92"/>
  <c r="P238" i="92"/>
  <c r="Q238" i="92"/>
  <c r="P239" i="92"/>
  <c r="Q239" i="92"/>
  <c r="P240" i="92"/>
  <c r="Q240" i="92"/>
  <c r="P241" i="92"/>
  <c r="Q241" i="92"/>
  <c r="P242" i="92"/>
  <c r="Q242" i="92"/>
  <c r="P243" i="92"/>
  <c r="Q243" i="92"/>
  <c r="P244" i="92"/>
  <c r="Q244" i="92"/>
  <c r="P245" i="92"/>
  <c r="Q245" i="92"/>
  <c r="P246" i="92"/>
  <c r="Q246" i="92"/>
  <c r="P247" i="92"/>
  <c r="Q247" i="92"/>
  <c r="P248" i="92"/>
  <c r="Q248" i="92"/>
  <c r="P249" i="92"/>
  <c r="Q249" i="92"/>
  <c r="P250" i="92"/>
  <c r="Q250" i="92"/>
  <c r="P251" i="92"/>
  <c r="Q251" i="92"/>
  <c r="P252" i="92"/>
  <c r="Q252" i="92"/>
  <c r="P253" i="92"/>
  <c r="Q253" i="92"/>
  <c r="P254" i="92"/>
  <c r="Q254" i="92"/>
  <c r="P255" i="92"/>
  <c r="Q255" i="92"/>
  <c r="Q177" i="92"/>
  <c r="P177" i="92"/>
  <c r="M49" i="196" l="1" a="1"/>
  <c r="M49" i="196" s="1"/>
  <c r="L57" i="184" s="1"/>
  <c r="M51" i="196" a="1"/>
  <c r="M51" i="196" s="1"/>
  <c r="L59" i="184" s="1"/>
  <c r="M50" i="196" a="1"/>
  <c r="M50" i="196" s="1"/>
  <c r="L58" i="184" s="1"/>
  <c r="M52" i="196" a="1"/>
  <c r="M52" i="196" s="1"/>
  <c r="L60" i="184" s="1"/>
  <c r="M47" i="196" a="1"/>
  <c r="M47" i="196" s="1"/>
  <c r="L55" i="184" s="1"/>
  <c r="L48" i="196" a="1"/>
  <c r="L48" i="196" s="1"/>
  <c r="K56" i="184" s="1"/>
  <c r="AK53" i="178"/>
  <c r="AL53" i="178" s="1"/>
  <c r="AM53" i="178" s="1"/>
  <c r="M48" i="196" a="1"/>
  <c r="M48" i="196" s="1"/>
  <c r="L56" i="184" s="1"/>
  <c r="L47" i="196" a="1"/>
  <c r="L47" i="196" s="1"/>
  <c r="L49" i="196" a="1"/>
  <c r="L49" i="196" s="1"/>
  <c r="K57" i="184" s="1"/>
  <c r="L51" i="196" a="1"/>
  <c r="L51" i="196" s="1"/>
  <c r="K59" i="184" s="1"/>
  <c r="L52" i="196" a="1"/>
  <c r="L52" i="196" s="1"/>
  <c r="K60" i="184" s="1"/>
  <c r="K51" i="196" a="1"/>
  <c r="K51" i="196" s="1"/>
  <c r="J59" i="184" s="1"/>
  <c r="K50" i="196" a="1"/>
  <c r="K50" i="196" s="1"/>
  <c r="J58" i="184" s="1"/>
  <c r="K48" i="196" a="1"/>
  <c r="K48" i="196" s="1"/>
  <c r="J56" i="184" s="1"/>
  <c r="K47" i="196" a="1"/>
  <c r="K47" i="196" s="1"/>
  <c r="K49" i="196" a="1"/>
  <c r="K49" i="196" s="1"/>
  <c r="J57" i="184" s="1"/>
  <c r="K52" i="196" a="1"/>
  <c r="K52" i="196" s="1"/>
  <c r="J60" i="184" s="1"/>
  <c r="L50" i="196" a="1"/>
  <c r="L50" i="196" s="1"/>
  <c r="K58" i="184" s="1"/>
  <c r="I52" i="196" a="1"/>
  <c r="I52" i="196" s="1"/>
  <c r="H60" i="184" s="1"/>
  <c r="I47" i="196" a="1"/>
  <c r="I47" i="196" s="1"/>
  <c r="I49" i="196" a="1"/>
  <c r="I49" i="196" s="1"/>
  <c r="H57" i="184" s="1"/>
  <c r="I50" i="196" a="1"/>
  <c r="I50" i="196" s="1"/>
  <c r="H58" i="184" s="1"/>
  <c r="I48" i="196" a="1"/>
  <c r="I48" i="196" s="1"/>
  <c r="H56" i="184" s="1"/>
  <c r="I51" i="196" a="1"/>
  <c r="I51" i="196" s="1"/>
  <c r="H59" i="184" s="1"/>
  <c r="J53" i="196"/>
  <c r="H46" i="183"/>
  <c r="I50" i="195" s="1"/>
  <c r="I84" i="195" s="1"/>
  <c r="L50" i="195"/>
  <c r="L72" i="195" s="1"/>
  <c r="M50" i="195"/>
  <c r="M84" i="195" s="1"/>
  <c r="J50" i="195"/>
  <c r="J66" i="195" s="1"/>
  <c r="K78" i="195"/>
  <c r="K66" i="195"/>
  <c r="K72" i="195"/>
  <c r="K84" i="195"/>
  <c r="K90" i="195"/>
  <c r="K60" i="195"/>
  <c r="A2" i="177"/>
  <c r="A1" i="177"/>
  <c r="M53" i="196" l="1"/>
  <c r="L84" i="195"/>
  <c r="I78" i="195"/>
  <c r="I66" i="195"/>
  <c r="K53" i="196"/>
  <c r="J55" i="184"/>
  <c r="L53" i="196"/>
  <c r="K55" i="184"/>
  <c r="H55" i="184"/>
  <c r="I53" i="196"/>
  <c r="L78" i="195"/>
  <c r="M60" i="195"/>
  <c r="M90" i="195"/>
  <c r="M72" i="195"/>
  <c r="I90" i="195"/>
  <c r="M78" i="195"/>
  <c r="I72" i="195"/>
  <c r="M66" i="195"/>
  <c r="I60" i="195"/>
  <c r="J90" i="195"/>
  <c r="J84" i="195"/>
  <c r="L60" i="195"/>
  <c r="J72" i="195"/>
  <c r="L66" i="195"/>
  <c r="L90" i="195"/>
  <c r="J78" i="195"/>
  <c r="J60" i="195"/>
  <c r="V70" i="83"/>
  <c r="V71" i="83"/>
  <c r="V72" i="83"/>
  <c r="V73" i="83"/>
  <c r="V74" i="83"/>
  <c r="V75" i="83"/>
  <c r="V76" i="83"/>
  <c r="V77" i="83"/>
  <c r="V78" i="83"/>
  <c r="V79" i="83"/>
  <c r="V80" i="83"/>
  <c r="V81" i="83"/>
  <c r="V82" i="83"/>
  <c r="V83" i="83"/>
  <c r="V84" i="83"/>
  <c r="V85" i="83"/>
  <c r="V86" i="83"/>
  <c r="V87" i="83"/>
  <c r="V88" i="83"/>
  <c r="V89" i="83"/>
  <c r="V90" i="83"/>
  <c r="V91" i="83"/>
  <c r="V92" i="83"/>
  <c r="V93" i="83"/>
  <c r="V94" i="83"/>
  <c r="V95" i="83"/>
  <c r="V96" i="83"/>
  <c r="V97" i="83"/>
  <c r="V98" i="83"/>
  <c r="V99" i="83"/>
  <c r="V100" i="83"/>
  <c r="V101" i="83"/>
  <c r="V102" i="83"/>
  <c r="V103" i="83"/>
  <c r="V104" i="83"/>
  <c r="V105" i="83"/>
  <c r="V106" i="83"/>
  <c r="V107" i="83"/>
  <c r="V108" i="83"/>
  <c r="V109" i="83"/>
  <c r="V110" i="83"/>
  <c r="V111" i="83"/>
  <c r="V112" i="83"/>
  <c r="V113" i="83"/>
  <c r="V114" i="83"/>
  <c r="V115" i="83"/>
  <c r="V116" i="83"/>
  <c r="V117" i="83"/>
  <c r="V118" i="83"/>
  <c r="V119" i="83"/>
  <c r="V120" i="83"/>
  <c r="V121" i="83"/>
  <c r="V122" i="83"/>
  <c r="V123" i="83"/>
  <c r="V124" i="83"/>
  <c r="V125" i="83"/>
  <c r="V126" i="83"/>
  <c r="V127" i="83"/>
  <c r="V128" i="83"/>
  <c r="V129" i="83"/>
  <c r="V130" i="83"/>
  <c r="V131" i="83"/>
  <c r="V132" i="83"/>
  <c r="V133" i="83"/>
  <c r="V134" i="83"/>
  <c r="V135" i="83"/>
  <c r="V136" i="83"/>
  <c r="V137" i="83"/>
  <c r="V138" i="83"/>
  <c r="V139" i="83"/>
  <c r="V140" i="83"/>
  <c r="V141" i="83"/>
  <c r="V142" i="83"/>
  <c r="V143" i="83"/>
  <c r="V144" i="83"/>
  <c r="V145" i="83"/>
  <c r="V146" i="83"/>
  <c r="V147" i="83"/>
  <c r="V148" i="83"/>
  <c r="V149" i="83"/>
  <c r="V150" i="83"/>
  <c r="V151" i="83"/>
  <c r="V152" i="83"/>
  <c r="V153" i="83"/>
  <c r="V154" i="83"/>
  <c r="V155" i="83"/>
  <c r="V156" i="83"/>
  <c r="V157" i="83"/>
  <c r="V158" i="83"/>
  <c r="V159" i="83"/>
  <c r="V160" i="83"/>
  <c r="V161" i="83"/>
  <c r="V162" i="83"/>
  <c r="V163" i="83"/>
  <c r="V164" i="83"/>
  <c r="V165" i="83"/>
  <c r="V166" i="83"/>
  <c r="V167" i="83"/>
  <c r="V168" i="83"/>
  <c r="V169" i="83"/>
  <c r="V170" i="83"/>
  <c r="V171" i="83"/>
  <c r="V172" i="83"/>
  <c r="V173" i="83"/>
  <c r="V174" i="83"/>
  <c r="V175" i="83"/>
  <c r="V176" i="83"/>
  <c r="V177" i="83"/>
  <c r="V178" i="83"/>
  <c r="V179" i="83"/>
  <c r="V180" i="83"/>
  <c r="V181" i="83"/>
  <c r="V182" i="83"/>
  <c r="V183" i="83"/>
  <c r="V184" i="83"/>
  <c r="V185" i="83"/>
  <c r="V186" i="83"/>
  <c r="V187" i="83"/>
  <c r="V188" i="83"/>
  <c r="V189" i="83"/>
  <c r="V190" i="83"/>
  <c r="V191" i="83"/>
  <c r="V192" i="83"/>
  <c r="V193" i="83"/>
  <c r="V194" i="83"/>
  <c r="V195" i="83"/>
  <c r="V196" i="83"/>
  <c r="V197" i="83"/>
  <c r="V198" i="83"/>
  <c r="V199" i="83"/>
  <c r="V200" i="83"/>
  <c r="V201" i="83"/>
  <c r="V202" i="83"/>
  <c r="V203" i="83"/>
  <c r="V204" i="83"/>
  <c r="V205" i="83"/>
  <c r="V206" i="83"/>
  <c r="V207" i="83"/>
  <c r="V208" i="83"/>
  <c r="V209" i="83"/>
  <c r="V210" i="83"/>
  <c r="V211" i="83"/>
  <c r="V212" i="83"/>
  <c r="V213" i="83"/>
  <c r="V214" i="83"/>
  <c r="V215" i="83"/>
  <c r="V216" i="83"/>
  <c r="V217" i="83"/>
  <c r="V218" i="83"/>
  <c r="V219" i="83"/>
  <c r="V220" i="83"/>
  <c r="V221" i="83"/>
  <c r="V222" i="83"/>
  <c r="V223" i="83"/>
  <c r="V224" i="83"/>
  <c r="V225" i="83"/>
  <c r="V226" i="83"/>
  <c r="V227" i="83"/>
  <c r="V228" i="83"/>
  <c r="V229" i="83"/>
  <c r="V230" i="83"/>
  <c r="V231" i="83"/>
  <c r="V232" i="83"/>
  <c r="V233" i="83"/>
  <c r="V234" i="83"/>
  <c r="V235" i="83"/>
  <c r="V236" i="83"/>
  <c r="V237" i="83"/>
  <c r="V238" i="83"/>
  <c r="V239" i="83"/>
  <c r="V240" i="83"/>
  <c r="V241" i="83"/>
  <c r="V242" i="83"/>
  <c r="V243" i="83"/>
  <c r="V244" i="83"/>
  <c r="V245" i="83"/>
  <c r="V246" i="83"/>
  <c r="V247" i="83"/>
  <c r="V248" i="83"/>
  <c r="V249" i="83"/>
  <c r="V250" i="83"/>
  <c r="V251" i="83"/>
  <c r="V252" i="83"/>
  <c r="V253" i="83"/>
  <c r="V254" i="83"/>
  <c r="V255" i="83"/>
  <c r="V256" i="83"/>
  <c r="V257" i="83"/>
  <c r="V258" i="83"/>
  <c r="V259" i="83"/>
  <c r="V260" i="83"/>
  <c r="V261" i="83"/>
  <c r="V262" i="83"/>
  <c r="V263" i="83"/>
  <c r="V264" i="83"/>
  <c r="V265" i="83"/>
  <c r="V266" i="83"/>
  <c r="V267" i="83"/>
  <c r="V268" i="83"/>
  <c r="V269" i="83"/>
  <c r="V270" i="83"/>
  <c r="V271" i="83"/>
  <c r="V272" i="83"/>
  <c r="V273" i="83"/>
  <c r="V274" i="83"/>
  <c r="V275" i="83"/>
  <c r="V276" i="83"/>
  <c r="V277" i="83"/>
  <c r="V278" i="83"/>
  <c r="V279" i="83"/>
  <c r="V280" i="83"/>
  <c r="V281" i="83"/>
  <c r="V282" i="83"/>
  <c r="V283" i="83"/>
  <c r="V284" i="83"/>
  <c r="V285" i="83"/>
  <c r="V286" i="83"/>
  <c r="V287" i="83"/>
  <c r="V288" i="83"/>
  <c r="V289" i="83"/>
  <c r="V290" i="83"/>
  <c r="V291" i="83"/>
  <c r="V292" i="83"/>
  <c r="V293" i="83"/>
  <c r="V294" i="83"/>
  <c r="V295" i="83"/>
  <c r="V296" i="83"/>
  <c r="V297" i="83"/>
  <c r="V298" i="83"/>
  <c r="V299" i="83"/>
  <c r="V300" i="83"/>
  <c r="V301" i="83"/>
  <c r="V302" i="83"/>
  <c r="V303" i="83"/>
  <c r="V304" i="83"/>
  <c r="V305" i="83"/>
  <c r="V306" i="83"/>
  <c r="V307" i="83"/>
  <c r="V308" i="83"/>
  <c r="V309" i="83"/>
  <c r="V310" i="83"/>
  <c r="V311" i="83"/>
  <c r="V312" i="83"/>
  <c r="V313" i="83"/>
  <c r="V314" i="83"/>
  <c r="V315" i="83"/>
  <c r="V316" i="83"/>
  <c r="V317" i="83"/>
  <c r="V318" i="83"/>
  <c r="V319" i="83"/>
  <c r="V320" i="83"/>
  <c r="V321" i="83"/>
  <c r="V322" i="83"/>
  <c r="V323" i="83"/>
  <c r="V324" i="83"/>
  <c r="V325" i="83"/>
  <c r="V326" i="83"/>
  <c r="V327" i="83"/>
  <c r="V328" i="83"/>
  <c r="V329" i="83"/>
  <c r="V330" i="83"/>
  <c r="V331" i="83"/>
  <c r="V332" i="83"/>
  <c r="V333" i="83"/>
  <c r="V334" i="83"/>
  <c r="V335" i="83"/>
  <c r="V336" i="83"/>
  <c r="V337" i="83"/>
  <c r="V338" i="83"/>
  <c r="V339" i="83"/>
  <c r="V340" i="83"/>
  <c r="V341" i="83"/>
  <c r="V342" i="83"/>
  <c r="V343" i="83"/>
  <c r="V344" i="83"/>
  <c r="V345" i="83"/>
  <c r="V346" i="83"/>
  <c r="V347" i="83"/>
  <c r="V348" i="83"/>
  <c r="V349" i="83"/>
  <c r="V350" i="83"/>
  <c r="V351" i="83"/>
  <c r="V352" i="83"/>
  <c r="V353" i="83"/>
  <c r="V354" i="83"/>
  <c r="V355" i="83"/>
  <c r="V356" i="83"/>
  <c r="V357" i="83"/>
  <c r="V358" i="83"/>
  <c r="V359" i="83"/>
  <c r="V360" i="83"/>
  <c r="V361" i="83"/>
  <c r="V362" i="83"/>
  <c r="V363" i="83"/>
  <c r="V364" i="83"/>
  <c r="V365" i="83"/>
  <c r="V366" i="83"/>
  <c r="V367" i="83"/>
  <c r="V368" i="83"/>
  <c r="V369" i="83"/>
  <c r="V370" i="83"/>
  <c r="V371" i="83"/>
  <c r="V372" i="83"/>
  <c r="V373" i="83"/>
  <c r="V374" i="83"/>
  <c r="V375" i="83"/>
  <c r="V376" i="83"/>
  <c r="V377" i="83"/>
  <c r="V378" i="83"/>
  <c r="V379" i="83"/>
  <c r="V380" i="83"/>
  <c r="V381" i="83"/>
  <c r="V382" i="83"/>
  <c r="V383" i="83"/>
  <c r="V384" i="83"/>
  <c r="V69" i="83"/>
  <c r="AE79" i="72" l="1"/>
  <c r="AI85" i="72"/>
  <c r="AH85" i="72"/>
  <c r="AG85" i="72"/>
  <c r="AF85" i="72"/>
  <c r="AE85" i="72"/>
  <c r="AI84" i="72"/>
  <c r="AH84" i="72"/>
  <c r="AG84" i="72"/>
  <c r="AF84" i="72"/>
  <c r="AE84" i="72"/>
  <c r="AI83" i="72"/>
  <c r="AH83" i="72"/>
  <c r="AG83" i="72"/>
  <c r="AF83" i="72"/>
  <c r="AE83" i="72"/>
  <c r="AI82" i="72"/>
  <c r="AH82" i="72"/>
  <c r="AG82" i="72"/>
  <c r="AF82" i="72"/>
  <c r="AE82" i="72"/>
  <c r="AI81" i="72"/>
  <c r="AH81" i="72"/>
  <c r="AG81" i="72"/>
  <c r="AF81" i="72"/>
  <c r="AE81" i="72"/>
  <c r="AI80" i="72"/>
  <c r="AH80" i="72"/>
  <c r="AG80" i="72"/>
  <c r="AF80" i="72"/>
  <c r="AE80" i="72"/>
  <c r="AI79" i="72"/>
  <c r="AH79" i="72"/>
  <c r="AG79" i="72"/>
  <c r="AF79" i="72"/>
  <c r="AE80" i="63"/>
  <c r="AF80" i="63"/>
  <c r="AG80" i="63"/>
  <c r="AH80" i="63"/>
  <c r="AI80" i="63"/>
  <c r="AE81" i="63"/>
  <c r="AF81" i="63"/>
  <c r="AG81" i="63"/>
  <c r="AH81" i="63"/>
  <c r="AI81" i="63"/>
  <c r="AE82" i="63"/>
  <c r="AF82" i="63"/>
  <c r="AG82" i="63"/>
  <c r="AH82" i="63"/>
  <c r="AI82" i="63"/>
  <c r="AE83" i="63"/>
  <c r="AF83" i="63"/>
  <c r="AG83" i="63"/>
  <c r="AH83" i="63"/>
  <c r="AI83" i="63"/>
  <c r="AE84" i="63"/>
  <c r="AF84" i="63"/>
  <c r="AG84" i="63"/>
  <c r="AH84" i="63"/>
  <c r="AI84" i="63"/>
  <c r="AE85" i="63"/>
  <c r="AF85" i="63"/>
  <c r="AG85" i="63"/>
  <c r="AH85" i="63"/>
  <c r="AI85" i="63"/>
  <c r="AF79" i="63"/>
  <c r="AG79" i="63"/>
  <c r="AH79" i="63"/>
  <c r="AI79" i="63"/>
  <c r="AE79" i="63"/>
  <c r="G16" i="115" l="1"/>
  <c r="G9" i="115"/>
  <c r="F26" i="115"/>
  <c r="F30" i="115" s="1"/>
  <c r="F29" i="115"/>
  <c r="F35" i="115"/>
  <c r="G14" i="115"/>
  <c r="AI42" i="155"/>
  <c r="AH42" i="155"/>
  <c r="AG42" i="155"/>
  <c r="AF42" i="155"/>
  <c r="AE42" i="155"/>
  <c r="AI41" i="155"/>
  <c r="AH41" i="155"/>
  <c r="AG41" i="155"/>
  <c r="AF41" i="155"/>
  <c r="AE41" i="155"/>
  <c r="AI40" i="155"/>
  <c r="AH40" i="155"/>
  <c r="AG40" i="155"/>
  <c r="AF40" i="155"/>
  <c r="AE40" i="155"/>
  <c r="AI39" i="155"/>
  <c r="AH39" i="155"/>
  <c r="AG39" i="155"/>
  <c r="AF39" i="155"/>
  <c r="AE39" i="155"/>
  <c r="AI38" i="155"/>
  <c r="AH38" i="155"/>
  <c r="AG38" i="155"/>
  <c r="AF38" i="155"/>
  <c r="AI35" i="155"/>
  <c r="AH35" i="155"/>
  <c r="AG35" i="155"/>
  <c r="AF35" i="155"/>
  <c r="A1" i="152"/>
  <c r="A1" i="151"/>
  <c r="A1" i="150"/>
  <c r="A1" i="149"/>
  <c r="A1" i="148"/>
  <c r="A1" i="147"/>
  <c r="A1" i="146"/>
  <c r="A1" i="145"/>
  <c r="A1" i="144"/>
  <c r="A1" i="143"/>
  <c r="A1" i="142"/>
  <c r="A1" i="141"/>
  <c r="A1" i="138"/>
  <c r="A1" i="116"/>
  <c r="A1" i="115"/>
  <c r="A1" i="176"/>
  <c r="A1" i="174"/>
  <c r="A1" i="131"/>
  <c r="A1" i="89"/>
  <c r="A1" i="154"/>
  <c r="A1" i="93"/>
  <c r="A1" i="96"/>
  <c r="A1" i="92"/>
  <c r="A1" i="91"/>
  <c r="A1" i="94"/>
  <c r="A1" i="88"/>
  <c r="A1" i="90"/>
  <c r="A1" i="74"/>
  <c r="A1" i="64"/>
  <c r="A1" i="98"/>
  <c r="A1" i="78"/>
  <c r="A1" i="83"/>
  <c r="A1" i="118"/>
  <c r="A1" i="95"/>
  <c r="A1" i="81"/>
  <c r="A1" i="71"/>
  <c r="A1" i="69"/>
  <c r="A1" i="70"/>
  <c r="A1" i="62"/>
  <c r="A1" i="61"/>
  <c r="A1" i="67"/>
  <c r="A1" i="76"/>
  <c r="A1" i="73"/>
  <c r="A1" i="72"/>
  <c r="A1" i="63"/>
  <c r="A1" i="80"/>
  <c r="A1" i="157"/>
  <c r="A1" i="155"/>
  <c r="A1" i="132"/>
  <c r="A1" i="75"/>
  <c r="A1" i="65"/>
  <c r="A1" i="14"/>
  <c r="A1" i="13"/>
  <c r="A1" i="12"/>
  <c r="A1" i="11"/>
  <c r="A1" i="10"/>
  <c r="A4" i="9" l="1"/>
  <c r="A3" i="182" l="1"/>
  <c r="A3" i="180"/>
  <c r="A3" i="179"/>
  <c r="A3" i="181"/>
  <c r="A3" i="178"/>
  <c r="A3" i="177"/>
  <c r="A3" i="152"/>
  <c r="A3" i="144"/>
  <c r="A3" i="154"/>
  <c r="A3" i="74"/>
  <c r="A3" i="71"/>
  <c r="A3" i="149"/>
  <c r="A3" i="141"/>
  <c r="A3" i="92"/>
  <c r="A3" i="78"/>
  <c r="A3" i="146"/>
  <c r="A3" i="131"/>
  <c r="A3" i="88"/>
  <c r="A3" i="95"/>
  <c r="A3" i="67"/>
  <c r="A3" i="75"/>
  <c r="A3" i="14"/>
  <c r="A3" i="151"/>
  <c r="A3" i="143"/>
  <c r="A3" i="116"/>
  <c r="A3" i="93"/>
  <c r="A3" i="69"/>
  <c r="A3" i="11"/>
  <c r="A3" i="174"/>
  <c r="A3" i="65"/>
  <c r="A3" i="64"/>
  <c r="A3" i="72"/>
  <c r="A3" i="10"/>
  <c r="A3" i="94"/>
  <c r="A3" i="118"/>
  <c r="A3" i="61"/>
  <c r="A3" i="132"/>
  <c r="A3" i="63"/>
  <c r="A3" i="12"/>
  <c r="A3" i="148"/>
  <c r="A3" i="138"/>
  <c r="A3" i="176"/>
  <c r="A3" i="91"/>
  <c r="A3" i="83"/>
  <c r="A3" i="62"/>
  <c r="A3" i="155"/>
  <c r="A3" i="145"/>
  <c r="A3" i="89"/>
  <c r="A3" i="90"/>
  <c r="A3" i="81"/>
  <c r="A3" i="76"/>
  <c r="A3" i="157"/>
  <c r="A3" i="13"/>
  <c r="A3" i="150"/>
  <c r="A3" i="142"/>
  <c r="A3" i="115"/>
  <c r="A3" i="96"/>
  <c r="A3" i="98"/>
  <c r="A3" i="70"/>
  <c r="A3" i="147"/>
  <c r="A3" i="73"/>
  <c r="A3" i="80"/>
  <c r="AE26" i="65" l="1"/>
  <c r="AE15" i="155" s="1"/>
  <c r="AF26" i="65"/>
  <c r="AG26" i="65"/>
  <c r="AH26" i="65"/>
  <c r="AI26" i="65"/>
  <c r="AM150" i="81"/>
  <c r="AM149" i="81"/>
  <c r="AM132" i="81"/>
  <c r="AM131" i="81"/>
  <c r="AM130" i="81"/>
  <c r="AM129" i="81"/>
  <c r="AM79" i="81"/>
  <c r="AM78" i="81"/>
  <c r="AM42" i="81"/>
  <c r="AM43" i="81"/>
  <c r="AM44" i="81"/>
  <c r="AM45" i="81"/>
  <c r="AM41" i="81"/>
  <c r="AL150" i="81"/>
  <c r="AJ150" i="81"/>
  <c r="AI150" i="81"/>
  <c r="AI77" i="65" s="1"/>
  <c r="AH150" i="81"/>
  <c r="AH77" i="65" s="1"/>
  <c r="AG150" i="81"/>
  <c r="AG77" i="65" s="1"/>
  <c r="AF150" i="81"/>
  <c r="AF77" i="65" s="1"/>
  <c r="AE150" i="81"/>
  <c r="AE77" i="65" s="1"/>
  <c r="AD150" i="81"/>
  <c r="AL149" i="81"/>
  <c r="AJ149" i="81"/>
  <c r="AI149" i="81"/>
  <c r="AI76" i="65" s="1"/>
  <c r="AH149" i="81"/>
  <c r="AH76" i="65" s="1"/>
  <c r="AG149" i="81"/>
  <c r="AG76" i="65" s="1"/>
  <c r="AF149" i="81"/>
  <c r="AF76" i="65" s="1"/>
  <c r="AE149" i="81"/>
  <c r="AE76" i="65" s="1"/>
  <c r="AD149" i="81"/>
  <c r="AL132" i="81"/>
  <c r="AJ132" i="81"/>
  <c r="AI132" i="81"/>
  <c r="AI68" i="65" s="1"/>
  <c r="AH132" i="81"/>
  <c r="AH68" i="65" s="1"/>
  <c r="AG132" i="81"/>
  <c r="AG68" i="65" s="1"/>
  <c r="AF132" i="81"/>
  <c r="AF68" i="65" s="1"/>
  <c r="AE132" i="81"/>
  <c r="AE68" i="65" s="1"/>
  <c r="AD132" i="81"/>
  <c r="AL131" i="81"/>
  <c r="AJ131" i="81"/>
  <c r="AI131" i="81"/>
  <c r="AI67" i="65" s="1"/>
  <c r="AH131" i="81"/>
  <c r="AH67" i="65" s="1"/>
  <c r="AG131" i="81"/>
  <c r="AG67" i="65" s="1"/>
  <c r="AF131" i="81"/>
  <c r="AF67" i="65" s="1"/>
  <c r="AE131" i="81"/>
  <c r="AE67" i="65" s="1"/>
  <c r="AD131" i="81"/>
  <c r="AL130" i="81"/>
  <c r="AJ130" i="81"/>
  <c r="AI130" i="81"/>
  <c r="AI66" i="65" s="1"/>
  <c r="AH130" i="81"/>
  <c r="AH66" i="65" s="1"/>
  <c r="AG130" i="81"/>
  <c r="AG66" i="65" s="1"/>
  <c r="AF130" i="81"/>
  <c r="AF66" i="65" s="1"/>
  <c r="AE130" i="81"/>
  <c r="AE66" i="65" s="1"/>
  <c r="AD130" i="81"/>
  <c r="AL129" i="81"/>
  <c r="AJ129" i="81"/>
  <c r="AI129" i="81"/>
  <c r="AI65" i="65" s="1"/>
  <c r="AF19" i="182" s="1"/>
  <c r="AH129" i="81"/>
  <c r="AH65" i="65" s="1"/>
  <c r="AE19" i="182" s="1"/>
  <c r="AG129" i="81"/>
  <c r="AG65" i="65" s="1"/>
  <c r="AD19" i="182" s="1"/>
  <c r="AF129" i="81"/>
  <c r="AF65" i="65" s="1"/>
  <c r="AC19" i="182" s="1"/>
  <c r="AE129" i="81"/>
  <c r="AE65" i="65" s="1"/>
  <c r="AB19" i="182" s="1"/>
  <c r="AD129" i="81"/>
  <c r="AL79" i="81"/>
  <c r="AJ79" i="81"/>
  <c r="AI79" i="81"/>
  <c r="AI44" i="65" s="1"/>
  <c r="AH79" i="81"/>
  <c r="AH44" i="65" s="1"/>
  <c r="AG79" i="81"/>
  <c r="AG44" i="65" s="1"/>
  <c r="AF79" i="81"/>
  <c r="AF44" i="65" s="1"/>
  <c r="AE79" i="81"/>
  <c r="AE44" i="65" s="1"/>
  <c r="AD79" i="81"/>
  <c r="AL78" i="81"/>
  <c r="AJ78" i="81"/>
  <c r="AI78" i="81"/>
  <c r="AI43" i="65" s="1"/>
  <c r="AH78" i="81"/>
  <c r="AH43" i="65" s="1"/>
  <c r="AG78" i="81"/>
  <c r="AG43" i="65" s="1"/>
  <c r="AF78" i="81"/>
  <c r="AF43" i="65" s="1"/>
  <c r="AE78" i="81"/>
  <c r="AE43" i="65" s="1"/>
  <c r="AE16" i="155" s="1"/>
  <c r="AE38" i="155" s="1"/>
  <c r="AD78" i="81"/>
  <c r="AL42" i="81"/>
  <c r="AL43" i="81"/>
  <c r="AL44" i="81"/>
  <c r="AL45" i="81"/>
  <c r="AL41" i="81"/>
  <c r="AD41" i="81"/>
  <c r="AD42" i="81"/>
  <c r="AE42" i="81"/>
  <c r="AE19" i="65" s="1"/>
  <c r="AF42" i="81"/>
  <c r="AF19" i="65" s="1"/>
  <c r="AG42" i="81"/>
  <c r="AG19" i="65" s="1"/>
  <c r="AH42" i="81"/>
  <c r="AH19" i="65" s="1"/>
  <c r="AI42" i="81"/>
  <c r="AI19" i="65" s="1"/>
  <c r="AJ42" i="81"/>
  <c r="AD43" i="81"/>
  <c r="AE43" i="81"/>
  <c r="AE22" i="65" s="1"/>
  <c r="AF43" i="81"/>
  <c r="AF22" i="65" s="1"/>
  <c r="AG43" i="81"/>
  <c r="AG22" i="65" s="1"/>
  <c r="AH43" i="81"/>
  <c r="AH22" i="65" s="1"/>
  <c r="AI43" i="81"/>
  <c r="AI22" i="65" s="1"/>
  <c r="AJ43" i="81"/>
  <c r="AD44" i="81"/>
  <c r="AE44" i="81"/>
  <c r="AF44" i="81"/>
  <c r="AG44" i="81"/>
  <c r="AH44" i="81"/>
  <c r="AI44" i="81"/>
  <c r="AJ44" i="81"/>
  <c r="AD45" i="81"/>
  <c r="AE45" i="81"/>
  <c r="AE21" i="65" s="1"/>
  <c r="AF45" i="81"/>
  <c r="AF21" i="65" s="1"/>
  <c r="AG45" i="81"/>
  <c r="AG21" i="65" s="1"/>
  <c r="AH45" i="81"/>
  <c r="AH21" i="65" s="1"/>
  <c r="AI45" i="81"/>
  <c r="AI21" i="65" s="1"/>
  <c r="AJ45" i="81"/>
  <c r="AE41" i="81"/>
  <c r="AE18" i="65" s="1"/>
  <c r="AF41" i="81"/>
  <c r="AG41" i="81"/>
  <c r="AH41" i="81"/>
  <c r="AI41" i="81"/>
  <c r="AJ41" i="81"/>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BM181" i="176"/>
  <c r="AZ181" i="176"/>
  <c r="AM181" i="176"/>
  <c r="Z181" i="176"/>
  <c r="M181" i="176"/>
  <c r="BM180" i="176"/>
  <c r="AZ180" i="176"/>
  <c r="AM180" i="176"/>
  <c r="Z180" i="176"/>
  <c r="M180" i="176"/>
  <c r="BM179" i="176"/>
  <c r="AZ179" i="176"/>
  <c r="AM179" i="176"/>
  <c r="Z179" i="176"/>
  <c r="M179" i="176"/>
  <c r="BM178" i="176"/>
  <c r="AZ178" i="176"/>
  <c r="AM178" i="176"/>
  <c r="Z178" i="176"/>
  <c r="M178" i="176"/>
  <c r="E205" i="176" s="1"/>
  <c r="D19" i="176" s="1"/>
  <c r="BM177" i="176"/>
  <c r="AZ177" i="176"/>
  <c r="AM177" i="176"/>
  <c r="Z177" i="176"/>
  <c r="M177" i="176"/>
  <c r="BM176" i="176"/>
  <c r="AZ176" i="176"/>
  <c r="AM176" i="176"/>
  <c r="Z176" i="176"/>
  <c r="M176" i="176"/>
  <c r="E169" i="176"/>
  <c r="BH166" i="176"/>
  <c r="BI166" i="176" s="1"/>
  <c r="BF166" i="176"/>
  <c r="AV166" i="176"/>
  <c r="AT166" i="176"/>
  <c r="AJ166" i="176"/>
  <c r="AH166" i="176"/>
  <c r="X166" i="176"/>
  <c r="V166" i="176"/>
  <c r="L166" i="176"/>
  <c r="J166" i="176"/>
  <c r="BI165" i="176"/>
  <c r="AW165" i="176"/>
  <c r="AK165" i="176"/>
  <c r="Y165" i="176"/>
  <c r="M165" i="176"/>
  <c r="BI164" i="176"/>
  <c r="AW164" i="176"/>
  <c r="AK164" i="176"/>
  <c r="Y164" i="176"/>
  <c r="M164" i="176"/>
  <c r="BI163" i="176"/>
  <c r="AW163" i="176"/>
  <c r="AK163" i="176"/>
  <c r="Y163" i="176"/>
  <c r="M163" i="176"/>
  <c r="BI162" i="176"/>
  <c r="AW162" i="176"/>
  <c r="AK162" i="176"/>
  <c r="Y162" i="176"/>
  <c r="M162" i="176"/>
  <c r="BI161" i="176"/>
  <c r="AW161" i="176"/>
  <c r="AK161" i="176"/>
  <c r="Y161" i="176"/>
  <c r="M161" i="176"/>
  <c r="BI160" i="176"/>
  <c r="AW160" i="176"/>
  <c r="AK160" i="176"/>
  <c r="Y160" i="176"/>
  <c r="M160" i="176"/>
  <c r="BI159" i="176"/>
  <c r="AW159" i="176"/>
  <c r="AK159" i="176"/>
  <c r="Y159" i="176"/>
  <c r="M159" i="176"/>
  <c r="BI158" i="176"/>
  <c r="AW158" i="176"/>
  <c r="AK158" i="176"/>
  <c r="Y158" i="176"/>
  <c r="M158" i="176"/>
  <c r="BI157" i="176"/>
  <c r="AW157" i="176"/>
  <c r="AK157" i="176"/>
  <c r="Y157" i="176"/>
  <c r="M157" i="176"/>
  <c r="BI156" i="176"/>
  <c r="AW156" i="176"/>
  <c r="AK156" i="176"/>
  <c r="Y156" i="176"/>
  <c r="M156" i="176"/>
  <c r="BI155" i="176"/>
  <c r="AW155" i="176"/>
  <c r="AK155" i="176"/>
  <c r="Y155" i="176"/>
  <c r="M155" i="176"/>
  <c r="BI154" i="176"/>
  <c r="AW154" i="176"/>
  <c r="AK154" i="176"/>
  <c r="Y154" i="176"/>
  <c r="M154" i="176"/>
  <c r="BI153" i="176"/>
  <c r="AW153" i="176"/>
  <c r="AK153" i="176"/>
  <c r="Y153" i="176"/>
  <c r="M153" i="176"/>
  <c r="BI152" i="176"/>
  <c r="AW152" i="176"/>
  <c r="AK152" i="176"/>
  <c r="Y152" i="176"/>
  <c r="M152" i="176"/>
  <c r="BI151" i="176"/>
  <c r="AW151" i="176"/>
  <c r="AK151" i="176"/>
  <c r="Y151" i="176"/>
  <c r="M151" i="176"/>
  <c r="BI150" i="176"/>
  <c r="AW150" i="176"/>
  <c r="AK150" i="176"/>
  <c r="Y150" i="176"/>
  <c r="M150" i="176"/>
  <c r="BI149" i="176"/>
  <c r="AW149" i="176"/>
  <c r="AK149" i="176"/>
  <c r="Y149" i="176"/>
  <c r="M149" i="176"/>
  <c r="BI148" i="176"/>
  <c r="AW148" i="176"/>
  <c r="AK148" i="176"/>
  <c r="Y148" i="176"/>
  <c r="M148" i="176"/>
  <c r="BI147" i="176"/>
  <c r="AW147" i="176"/>
  <c r="AK147" i="176"/>
  <c r="Y147" i="176"/>
  <c r="M147" i="176"/>
  <c r="BI146" i="176"/>
  <c r="AW146" i="176"/>
  <c r="AK146" i="176"/>
  <c r="Y146" i="176"/>
  <c r="M146" i="176"/>
  <c r="BI145" i="176"/>
  <c r="AW145" i="176"/>
  <c r="AK145" i="176"/>
  <c r="Y145" i="176"/>
  <c r="M145" i="176"/>
  <c r="BI144" i="176"/>
  <c r="AW144" i="176"/>
  <c r="AK144" i="176"/>
  <c r="Y144" i="176"/>
  <c r="M144" i="176"/>
  <c r="BI143" i="176"/>
  <c r="AW143" i="176"/>
  <c r="AK143" i="176"/>
  <c r="Y143" i="176"/>
  <c r="M143" i="176"/>
  <c r="BI142" i="176"/>
  <c r="AW142" i="176"/>
  <c r="AK142" i="176"/>
  <c r="Y142" i="176"/>
  <c r="P167" i="176" s="1"/>
  <c r="M142" i="176"/>
  <c r="BI141" i="176"/>
  <c r="AW141" i="176"/>
  <c r="AK141" i="176"/>
  <c r="Y141" i="176"/>
  <c r="M141" i="176"/>
  <c r="BI140" i="176"/>
  <c r="AW140" i="176"/>
  <c r="AW166" i="176" s="1"/>
  <c r="AK140" i="176"/>
  <c r="Y140" i="176"/>
  <c r="M140" i="176"/>
  <c r="AG132" i="176"/>
  <c r="H16" i="176" s="1"/>
  <c r="E132" i="176"/>
  <c r="D16" i="176" s="1"/>
  <c r="AG130" i="176"/>
  <c r="Z130" i="176"/>
  <c r="Z132" i="176" s="1"/>
  <c r="G16" i="176" s="1"/>
  <c r="S130" i="176"/>
  <c r="S132" i="176" s="1"/>
  <c r="F16" i="176" s="1"/>
  <c r="L130" i="176"/>
  <c r="L132" i="176" s="1"/>
  <c r="E16" i="176" s="1"/>
  <c r="E130" i="176"/>
  <c r="AJ129" i="176"/>
  <c r="AC129" i="176"/>
  <c r="V129" i="176"/>
  <c r="O129" i="176"/>
  <c r="AJ128" i="176"/>
  <c r="AC128" i="176"/>
  <c r="V128" i="176"/>
  <c r="O128" i="176"/>
  <c r="AJ127" i="176"/>
  <c r="AC127" i="176"/>
  <c r="V127" i="176"/>
  <c r="O127" i="176"/>
  <c r="AJ126" i="176"/>
  <c r="AC126" i="176"/>
  <c r="V126" i="176"/>
  <c r="O126" i="176"/>
  <c r="AJ125" i="176"/>
  <c r="AC125" i="176"/>
  <c r="V125" i="176"/>
  <c r="O125" i="176"/>
  <c r="AJ124" i="176"/>
  <c r="AJ130" i="176" s="1"/>
  <c r="AC124" i="176"/>
  <c r="V124" i="176"/>
  <c r="O124" i="176"/>
  <c r="AI115" i="176"/>
  <c r="AG116" i="176" s="1"/>
  <c r="AG115" i="176"/>
  <c r="AG118" i="176" s="1"/>
  <c r="H15" i="176" s="1"/>
  <c r="AB115" i="176"/>
  <c r="Z115" i="176"/>
  <c r="Z118" i="176" s="1"/>
  <c r="G15" i="176" s="1"/>
  <c r="U115" i="176"/>
  <c r="S116" i="176" s="1"/>
  <c r="S115" i="176"/>
  <c r="S118" i="176" s="1"/>
  <c r="F15" i="176" s="1"/>
  <c r="N115" i="176"/>
  <c r="L116" i="176" s="1"/>
  <c r="L115" i="176"/>
  <c r="L118" i="176" s="1"/>
  <c r="E15" i="176" s="1"/>
  <c r="G115" i="176"/>
  <c r="E116" i="176" s="1"/>
  <c r="E115" i="176"/>
  <c r="E118" i="176" s="1"/>
  <c r="D15" i="176" s="1"/>
  <c r="AK114" i="176"/>
  <c r="AD114" i="176"/>
  <c r="W114" i="176"/>
  <c r="P114" i="176"/>
  <c r="AK113" i="176"/>
  <c r="AD113" i="176"/>
  <c r="W113" i="176"/>
  <c r="P113" i="176"/>
  <c r="AK112" i="176"/>
  <c r="AD112" i="176"/>
  <c r="W112" i="176"/>
  <c r="P112" i="176"/>
  <c r="AK111" i="176"/>
  <c r="AD111" i="176"/>
  <c r="W111" i="176"/>
  <c r="P111" i="176"/>
  <c r="AK110" i="176"/>
  <c r="AD110" i="176"/>
  <c r="W110" i="176"/>
  <c r="P110" i="176"/>
  <c r="AK109" i="176"/>
  <c r="AK115" i="176" s="1"/>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K89" i="176"/>
  <c r="AD89" i="176"/>
  <c r="W89" i="176"/>
  <c r="P89" i="176"/>
  <c r="AK88" i="176"/>
  <c r="AD88" i="176"/>
  <c r="W88" i="176"/>
  <c r="P88" i="176"/>
  <c r="L80" i="176"/>
  <c r="L81" i="176" s="1"/>
  <c r="AI78" i="176"/>
  <c r="AG79" i="176" s="1"/>
  <c r="AG78" i="176"/>
  <c r="AG80" i="176" s="1"/>
  <c r="AB78" i="176"/>
  <c r="Z79" i="176" s="1"/>
  <c r="Z78" i="176"/>
  <c r="U78" i="176"/>
  <c r="S78" i="176"/>
  <c r="N78" i="176"/>
  <c r="L79" i="176" s="1"/>
  <c r="L78" i="176"/>
  <c r="G78" i="176"/>
  <c r="E78" i="176"/>
  <c r="E80" i="176" s="1"/>
  <c r="AJ43" i="176"/>
  <c r="AC43" i="176"/>
  <c r="V43" i="176"/>
  <c r="O43" i="176"/>
  <c r="H43" i="176"/>
  <c r="AJ42" i="176"/>
  <c r="AC42" i="176"/>
  <c r="V42" i="176"/>
  <c r="O42" i="176"/>
  <c r="H42" i="176"/>
  <c r="AJ41" i="176"/>
  <c r="AC41" i="176"/>
  <c r="V41" i="176"/>
  <c r="O41" i="176"/>
  <c r="H41" i="176"/>
  <c r="AJ40" i="176"/>
  <c r="AC40" i="176"/>
  <c r="V40" i="176"/>
  <c r="O40" i="176"/>
  <c r="H40" i="176"/>
  <c r="AJ39" i="176"/>
  <c r="AC39" i="176"/>
  <c r="V39" i="176"/>
  <c r="V44" i="176" s="1"/>
  <c r="V46" i="176" s="1"/>
  <c r="F13" i="176" s="1"/>
  <c r="O39" i="176"/>
  <c r="H39" i="176"/>
  <c r="AJ38" i="176"/>
  <c r="AC38" i="176"/>
  <c r="V38" i="176"/>
  <c r="O38" i="176"/>
  <c r="H38" i="176"/>
  <c r="H44" i="176" s="1"/>
  <c r="H46" i="176" s="1"/>
  <c r="D13" i="176" s="1"/>
  <c r="O32" i="176"/>
  <c r="V32" i="176" s="1"/>
  <c r="AC32" i="176" s="1"/>
  <c r="AJ32" i="176" s="1"/>
  <c r="AJ30" i="176"/>
  <c r="AC30" i="176"/>
  <c r="V30" i="176"/>
  <c r="O30" i="176"/>
  <c r="H30" i="176"/>
  <c r="AJ29" i="176"/>
  <c r="AC29" i="176"/>
  <c r="V29" i="176"/>
  <c r="O29" i="176"/>
  <c r="H29" i="176"/>
  <c r="AJ28" i="176"/>
  <c r="AC28" i="176"/>
  <c r="V28" i="176"/>
  <c r="O28" i="176"/>
  <c r="H28" i="176"/>
  <c r="AJ27" i="176"/>
  <c r="AJ31" i="176" s="1"/>
  <c r="AC27" i="176"/>
  <c r="V27" i="176"/>
  <c r="O27" i="176"/>
  <c r="H27" i="176"/>
  <c r="AJ26" i="176"/>
  <c r="AC26" i="176"/>
  <c r="V26" i="176"/>
  <c r="O26" i="176"/>
  <c r="H26" i="176"/>
  <c r="AJ25" i="176"/>
  <c r="AC25" i="176"/>
  <c r="V25" i="176"/>
  <c r="O25" i="176"/>
  <c r="H25" i="176"/>
  <c r="D17" i="176"/>
  <c r="H55" i="183" l="1" a="1"/>
  <c r="H55" i="183" s="1"/>
  <c r="AI18" i="65"/>
  <c r="AF12" i="182" s="1"/>
  <c r="AI14" i="177"/>
  <c r="AI14" i="155" s="1"/>
  <c r="AI36" i="155" s="1"/>
  <c r="AH18" i="65"/>
  <c r="AE12" i="182" s="1"/>
  <c r="AH14" i="177"/>
  <c r="AH14" i="155" s="1"/>
  <c r="AH36" i="155" s="1"/>
  <c r="AF18" i="65"/>
  <c r="AC12" i="182" s="1"/>
  <c r="AF14" i="177"/>
  <c r="AF14" i="155" s="1"/>
  <c r="AF36" i="155" s="1"/>
  <c r="AG18" i="65"/>
  <c r="AD12" i="182" s="1"/>
  <c r="AG14" i="177"/>
  <c r="AG14" i="155" s="1"/>
  <c r="AG36" i="155" s="1"/>
  <c r="AE14" i="155"/>
  <c r="AE36" i="155" s="1"/>
  <c r="AB12" i="182"/>
  <c r="AI37" i="155"/>
  <c r="AH37" i="155"/>
  <c r="AG37" i="155"/>
  <c r="AF37" i="155"/>
  <c r="AE37" i="155"/>
  <c r="AC31" i="176"/>
  <c r="AC33" i="176" s="1"/>
  <c r="G12" i="176" s="1"/>
  <c r="AC44" i="176"/>
  <c r="AC46" i="176" s="1"/>
  <c r="G13" i="176" s="1"/>
  <c r="S80" i="176"/>
  <c r="S81" i="176" s="1"/>
  <c r="S82" i="176" s="1"/>
  <c r="F14" i="176" s="1"/>
  <c r="W115" i="176"/>
  <c r="S79" i="176"/>
  <c r="AD115" i="176"/>
  <c r="O130" i="176"/>
  <c r="AG81" i="176"/>
  <c r="AG82" i="176" s="1"/>
  <c r="H14" i="176" s="1"/>
  <c r="H31" i="176"/>
  <c r="H33" i="176" s="1"/>
  <c r="V130" i="176"/>
  <c r="Y166" i="176"/>
  <c r="O31" i="176"/>
  <c r="O33" i="176" s="1"/>
  <c r="E12" i="176" s="1"/>
  <c r="O44" i="176"/>
  <c r="O46" i="176" s="1"/>
  <c r="E13" i="176" s="1"/>
  <c r="P115" i="176"/>
  <c r="AC130" i="176"/>
  <c r="AK166" i="176"/>
  <c r="AB167" i="176"/>
  <c r="AZ167" i="176"/>
  <c r="AJ44" i="176"/>
  <c r="AJ46" i="176" s="1"/>
  <c r="H13" i="176" s="1"/>
  <c r="Z116" i="176"/>
  <c r="M166" i="176"/>
  <c r="BE205" i="176"/>
  <c r="H19" i="176" s="1"/>
  <c r="E79" i="176"/>
  <c r="V31" i="176"/>
  <c r="V33" i="176" s="1"/>
  <c r="F12" i="176" s="1"/>
  <c r="L82" i="176"/>
  <c r="E14" i="176" s="1"/>
  <c r="AJ33" i="176"/>
  <c r="H12" i="176" s="1"/>
  <c r="AE204" i="176"/>
  <c r="F18" i="176" s="1"/>
  <c r="E167" i="176"/>
  <c r="P169" i="176" s="1"/>
  <c r="E17" i="176" s="1"/>
  <c r="AR204" i="176"/>
  <c r="G18" i="176" s="1"/>
  <c r="Z80" i="176"/>
  <c r="Z81" i="176" s="1"/>
  <c r="Z82" i="176" s="1"/>
  <c r="G14" i="176" s="1"/>
  <c r="BE204" i="176"/>
  <c r="H18" i="176" s="1"/>
  <c r="E81" i="176"/>
  <c r="AN167" i="176"/>
  <c r="R205" i="176"/>
  <c r="E19" i="176" s="1"/>
  <c r="AE205" i="176"/>
  <c r="F19" i="176" s="1"/>
  <c r="E204" i="176"/>
  <c r="D18" i="176" s="1"/>
  <c r="AR205" i="176"/>
  <c r="G19" i="176" s="1"/>
  <c r="R204" i="176"/>
  <c r="E18" i="176" s="1"/>
  <c r="H47" i="183" l="1" a="1"/>
  <c r="E82" i="176"/>
  <c r="D14" i="176" s="1"/>
  <c r="J51" i="195" l="1"/>
  <c r="M51" i="195"/>
  <c r="L51" i="195"/>
  <c r="K51" i="195"/>
  <c r="H47" i="183"/>
  <c r="I51" i="195" s="1"/>
  <c r="AA169" i="176"/>
  <c r="F17" i="176" s="1"/>
  <c r="I73" i="195" l="1"/>
  <c r="I91" i="195"/>
  <c r="I67" i="195"/>
  <c r="I85" i="195"/>
  <c r="I79" i="195"/>
  <c r="I61" i="195"/>
  <c r="I56" i="195"/>
  <c r="K91" i="195"/>
  <c r="K73" i="195"/>
  <c r="K61" i="195"/>
  <c r="K85" i="195"/>
  <c r="K79" i="195"/>
  <c r="K67" i="195"/>
  <c r="K56" i="195"/>
  <c r="L91" i="195"/>
  <c r="L61" i="195"/>
  <c r="L67" i="195"/>
  <c r="L73" i="195"/>
  <c r="L85" i="195"/>
  <c r="L79" i="195"/>
  <c r="L56" i="195"/>
  <c r="M85" i="195"/>
  <c r="M79" i="195"/>
  <c r="M91" i="195"/>
  <c r="M61" i="195"/>
  <c r="M67" i="195"/>
  <c r="M73" i="195"/>
  <c r="M56" i="195"/>
  <c r="J73" i="195"/>
  <c r="J61" i="195"/>
  <c r="J85" i="195"/>
  <c r="J79" i="195"/>
  <c r="J91" i="195"/>
  <c r="J67" i="195"/>
  <c r="J56" i="195"/>
  <c r="AM169" i="176"/>
  <c r="G17" i="176" s="1"/>
  <c r="AZ168" i="176"/>
  <c r="AY169" i="176" s="1"/>
  <c r="H17" i="176" s="1"/>
  <c r="L101" i="195" l="1" a="1"/>
  <c r="L101" i="195" s="1"/>
  <c r="K92" i="183" s="1"/>
  <c r="L102" i="195" a="1"/>
  <c r="L102" i="195" s="1"/>
  <c r="K93" i="183" s="1"/>
  <c r="L99" i="195" a="1"/>
  <c r="L99" i="195" s="1"/>
  <c r="L104" i="195" a="1"/>
  <c r="L104" i="195" s="1"/>
  <c r="K95" i="183" s="1"/>
  <c r="L103" i="195" a="1"/>
  <c r="L103" i="195" s="1"/>
  <c r="K94" i="183" s="1"/>
  <c r="L100" i="195" a="1"/>
  <c r="L100" i="195" s="1"/>
  <c r="K91" i="183" s="1"/>
  <c r="I102" i="195" a="1"/>
  <c r="I102" i="195" s="1"/>
  <c r="H93" i="183" s="1"/>
  <c r="I103" i="195" a="1"/>
  <c r="I103" i="195" s="1"/>
  <c r="H94" i="183" s="1"/>
  <c r="I101" i="195" a="1"/>
  <c r="I101" i="195" s="1"/>
  <c r="H92" i="183" s="1"/>
  <c r="I104" i="195" a="1"/>
  <c r="I104" i="195" s="1"/>
  <c r="H95" i="183" s="1"/>
  <c r="I99" i="195" a="1"/>
  <c r="I99" i="195" s="1"/>
  <c r="I100" i="195" a="1"/>
  <c r="I100" i="195" s="1"/>
  <c r="H91" i="183" s="1"/>
  <c r="K99" i="195" a="1"/>
  <c r="K99" i="195" s="1"/>
  <c r="K100" i="195" a="1"/>
  <c r="K100" i="195" s="1"/>
  <c r="J91" i="183" s="1"/>
  <c r="K102" i="195" a="1"/>
  <c r="K102" i="195" s="1"/>
  <c r="J93" i="183" s="1"/>
  <c r="K101" i="195" a="1"/>
  <c r="K101" i="195" s="1"/>
  <c r="J92" i="183" s="1"/>
  <c r="K104" i="195" a="1"/>
  <c r="K104" i="195" s="1"/>
  <c r="J95" i="183" s="1"/>
  <c r="K103" i="195" a="1"/>
  <c r="K103" i="195" s="1"/>
  <c r="J94" i="183" s="1"/>
  <c r="J102" i="195" a="1"/>
  <c r="J102" i="195" s="1"/>
  <c r="I93" i="183" s="1"/>
  <c r="J100" i="195" a="1"/>
  <c r="J100" i="195" s="1"/>
  <c r="I91" i="183" s="1"/>
  <c r="J103" i="195" a="1"/>
  <c r="J103" i="195" s="1"/>
  <c r="I94" i="183" s="1"/>
  <c r="J99" i="195" a="1"/>
  <c r="J99" i="195" s="1"/>
  <c r="J104" i="195" a="1"/>
  <c r="J104" i="195" s="1"/>
  <c r="I95" i="183" s="1"/>
  <c r="J101" i="195" a="1"/>
  <c r="J101" i="195" s="1"/>
  <c r="I92" i="183" s="1"/>
  <c r="M101" i="195" a="1"/>
  <c r="M101" i="195" s="1"/>
  <c r="L92" i="183" s="1"/>
  <c r="M103" i="195" a="1"/>
  <c r="M103" i="195" s="1"/>
  <c r="L94" i="183" s="1"/>
  <c r="M102" i="195" a="1"/>
  <c r="M102" i="195" s="1"/>
  <c r="L93" i="183" s="1"/>
  <c r="M99" i="195" a="1"/>
  <c r="M99" i="195" s="1"/>
  <c r="M100" i="195" a="1"/>
  <c r="M100" i="195" s="1"/>
  <c r="L91" i="183" s="1"/>
  <c r="M104" i="195" a="1"/>
  <c r="M104" i="195" s="1"/>
  <c r="L95" i="183" s="1"/>
  <c r="K68" i="174"/>
  <c r="J68" i="174"/>
  <c r="I68" i="174"/>
  <c r="H68" i="174"/>
  <c r="G68" i="174"/>
  <c r="K64" i="174"/>
  <c r="J64" i="174"/>
  <c r="I64" i="174"/>
  <c r="H64" i="174"/>
  <c r="G64" i="174"/>
  <c r="K60" i="174"/>
  <c r="J60" i="174"/>
  <c r="I60" i="174"/>
  <c r="H60" i="174"/>
  <c r="G60" i="174"/>
  <c r="K53" i="174"/>
  <c r="J53" i="174"/>
  <c r="I53" i="174"/>
  <c r="H53" i="174"/>
  <c r="G53" i="174"/>
  <c r="K49" i="174"/>
  <c r="J49" i="174"/>
  <c r="I49" i="174"/>
  <c r="H49" i="174"/>
  <c r="G49" i="174"/>
  <c r="K45" i="174"/>
  <c r="J45" i="174"/>
  <c r="I45" i="174"/>
  <c r="H45" i="174"/>
  <c r="G45" i="174"/>
  <c r="K41" i="174"/>
  <c r="J41" i="174"/>
  <c r="I41" i="174"/>
  <c r="H41" i="174"/>
  <c r="G41" i="174"/>
  <c r="K37" i="174"/>
  <c r="J37" i="174"/>
  <c r="I37" i="174"/>
  <c r="H37" i="174"/>
  <c r="G37" i="174"/>
  <c r="K28" i="174"/>
  <c r="K29" i="174" s="1"/>
  <c r="J28" i="174"/>
  <c r="J29" i="174" s="1"/>
  <c r="I28" i="174"/>
  <c r="I29" i="174" s="1"/>
  <c r="H28" i="174"/>
  <c r="H29" i="174" s="1"/>
  <c r="G28" i="174"/>
  <c r="G29" i="174" s="1"/>
  <c r="K24" i="174"/>
  <c r="J24" i="174"/>
  <c r="I24" i="174"/>
  <c r="H24" i="174"/>
  <c r="G24" i="174"/>
  <c r="K20" i="174"/>
  <c r="J20" i="174"/>
  <c r="I20" i="174"/>
  <c r="H20" i="174"/>
  <c r="G20" i="174"/>
  <c r="K16" i="174"/>
  <c r="J16" i="174"/>
  <c r="I16" i="174"/>
  <c r="H16" i="174"/>
  <c r="G16" i="174"/>
  <c r="K12" i="174"/>
  <c r="J12" i="174"/>
  <c r="I12" i="174"/>
  <c r="H12" i="174"/>
  <c r="G12" i="174"/>
  <c r="K105" i="195" l="1"/>
  <c r="J90" i="183"/>
  <c r="M105" i="195"/>
  <c r="L90" i="183"/>
  <c r="H90" i="183"/>
  <c r="I105" i="195"/>
  <c r="K90" i="183"/>
  <c r="L105" i="195"/>
  <c r="I90" i="183"/>
  <c r="J105" i="195"/>
  <c r="G25" i="174"/>
  <c r="G30" i="174" s="1"/>
  <c r="H25" i="174"/>
  <c r="H30" i="174" s="1"/>
  <c r="I25" i="174"/>
  <c r="I30" i="174" s="1"/>
  <c r="J25" i="174"/>
  <c r="J30" i="174" s="1"/>
  <c r="G69" i="174"/>
  <c r="I69" i="174"/>
  <c r="J69" i="174"/>
  <c r="K25" i="174"/>
  <c r="K30" i="174" s="1"/>
  <c r="H69" i="174"/>
  <c r="K69" i="174"/>
  <c r="W14" i="152" l="1"/>
  <c r="P14" i="152"/>
  <c r="W13" i="152"/>
  <c r="T11" i="152"/>
  <c r="P11" i="152"/>
  <c r="O11" i="152"/>
  <c r="I11" i="152"/>
  <c r="K11" i="152" s="1"/>
  <c r="F11" i="152"/>
  <c r="J11" i="152" s="1"/>
  <c r="Q118" i="151"/>
  <c r="Q117" i="151"/>
  <c r="Q116" i="151"/>
  <c r="Q115" i="151"/>
  <c r="Q114" i="151"/>
  <c r="Q113" i="151"/>
  <c r="Q112" i="151"/>
  <c r="Q111" i="151"/>
  <c r="Q110" i="151"/>
  <c r="Q109" i="151"/>
  <c r="Q108" i="151"/>
  <c r="Q107" i="151"/>
  <c r="Q106" i="151"/>
  <c r="Q105" i="151"/>
  <c r="Q104" i="151"/>
  <c r="Q103" i="151"/>
  <c r="Q102" i="151"/>
  <c r="Q101" i="151"/>
  <c r="Q100" i="151"/>
  <c r="Q99" i="151"/>
  <c r="Q98"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3"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N11"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23" i="148"/>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B12" i="148"/>
  <c r="B13" i="148" s="1"/>
  <c r="B14" i="148" s="1"/>
  <c r="B15" i="148" s="1"/>
  <c r="B16" i="148" s="1"/>
  <c r="B17" i="148" s="1"/>
  <c r="B18" i="148" s="1"/>
  <c r="B19" i="148" s="1"/>
  <c r="B20" i="148" s="1"/>
  <c r="B21" i="148" s="1"/>
  <c r="B22" i="148" s="1"/>
  <c r="C24" i="147"/>
  <c r="H17" i="147"/>
  <c r="H18" i="147" s="1"/>
  <c r="H19" i="147" s="1"/>
  <c r="H20" i="147" s="1"/>
  <c r="H21" i="147" s="1"/>
  <c r="H22" i="147" s="1"/>
  <c r="H23" i="147" s="1"/>
  <c r="H24" i="147" s="1"/>
  <c r="H25" i="147" s="1"/>
  <c r="H26" i="147" s="1"/>
  <c r="H27" i="147" s="1"/>
  <c r="H28" i="147" s="1"/>
  <c r="H29" i="147" s="1"/>
  <c r="H30" i="147" s="1"/>
  <c r="H31" i="147" s="1"/>
  <c r="H32" i="147" s="1"/>
  <c r="H33" i="147" s="1"/>
  <c r="H34" i="147" s="1"/>
  <c r="H35" i="147" s="1"/>
  <c r="H36" i="147" s="1"/>
  <c r="H37" i="147" s="1"/>
  <c r="H38" i="147" s="1"/>
  <c r="H39" i="147" s="1"/>
  <c r="H40" i="147" s="1"/>
  <c r="H41" i="147" s="1"/>
  <c r="H42" i="147" s="1"/>
  <c r="H43" i="147" s="1"/>
  <c r="H44" i="147" s="1"/>
  <c r="H45" i="147" s="1"/>
  <c r="H46" i="147" s="1"/>
  <c r="H47" i="147" s="1"/>
  <c r="H48" i="147" s="1"/>
  <c r="H49" i="147" s="1"/>
  <c r="H50" i="147" s="1"/>
  <c r="H51" i="147" s="1"/>
  <c r="H52" i="147" s="1"/>
  <c r="H53" i="147" s="1"/>
  <c r="H54" i="147" s="1"/>
  <c r="H55" i="147" s="1"/>
  <c r="H56" i="147" s="1"/>
  <c r="H57" i="147" s="1"/>
  <c r="H58" i="147" s="1"/>
  <c r="H59" i="147" s="1"/>
  <c r="H60" i="147" s="1"/>
  <c r="H61" i="147" s="1"/>
  <c r="H62" i="147" s="1"/>
  <c r="H63" i="147" s="1"/>
  <c r="H64" i="147" s="1"/>
  <c r="H65" i="147" s="1"/>
  <c r="H66" i="147" s="1"/>
  <c r="H67" i="147" s="1"/>
  <c r="H68" i="147" s="1"/>
  <c r="H69" i="147" s="1"/>
  <c r="H70" i="147" s="1"/>
  <c r="H71" i="147" s="1"/>
  <c r="H72" i="147" s="1"/>
  <c r="H73" i="147" s="1"/>
  <c r="H74" i="147" s="1"/>
  <c r="H75" i="147" s="1"/>
  <c r="H76" i="147" s="1"/>
  <c r="H77" i="147" s="1"/>
  <c r="H78" i="147" s="1"/>
  <c r="H79" i="147" s="1"/>
  <c r="H80" i="147" s="1"/>
  <c r="H81" i="147" s="1"/>
  <c r="H82" i="147" s="1"/>
  <c r="H83" i="147" s="1"/>
  <c r="H84" i="147" s="1"/>
  <c r="H85" i="147" s="1"/>
  <c r="H86" i="147" s="1"/>
  <c r="H87" i="147" s="1"/>
  <c r="H88" i="147" s="1"/>
  <c r="H89" i="147" s="1"/>
  <c r="H90" i="147" s="1"/>
  <c r="H91" i="147" s="1"/>
  <c r="H92" i="147" s="1"/>
  <c r="H93" i="147" s="1"/>
  <c r="H94" i="147" s="1"/>
  <c r="H95" i="147" s="1"/>
  <c r="H96" i="147" s="1"/>
  <c r="H97" i="147" s="1"/>
  <c r="H98" i="147" s="1"/>
  <c r="H99" i="147" s="1"/>
  <c r="H100" i="147" s="1"/>
  <c r="H101" i="147" s="1"/>
  <c r="H102" i="147" s="1"/>
  <c r="H103" i="147" s="1"/>
  <c r="H104" i="147" s="1"/>
  <c r="H105" i="147" s="1"/>
  <c r="H106" i="147" s="1"/>
  <c r="H107" i="147" s="1"/>
  <c r="H108" i="147" s="1"/>
  <c r="H109" i="147" s="1"/>
  <c r="H110" i="147" s="1"/>
  <c r="H111" i="147" s="1"/>
  <c r="H112" i="147" s="1"/>
  <c r="H113" i="147" s="1"/>
  <c r="H114" i="147" s="1"/>
  <c r="H115" i="147" s="1"/>
  <c r="H116" i="147" s="1"/>
  <c r="H117" i="147" s="1"/>
  <c r="H118" i="147" s="1"/>
  <c r="H119" i="147" s="1"/>
  <c r="H120" i="147" s="1"/>
  <c r="H121" i="147" s="1"/>
  <c r="H122" i="147" s="1"/>
  <c r="H123" i="147" s="1"/>
  <c r="H124" i="147" s="1"/>
  <c r="H125" i="147" s="1"/>
  <c r="H126" i="147" s="1"/>
  <c r="H127" i="147" s="1"/>
  <c r="H128" i="147" s="1"/>
  <c r="H129" i="147" s="1"/>
  <c r="H130" i="147" s="1"/>
  <c r="H131" i="147" s="1"/>
  <c r="H132" i="147" s="1"/>
  <c r="H133" i="147" s="1"/>
  <c r="H134" i="147" s="1"/>
  <c r="H135" i="147" s="1"/>
  <c r="H136" i="147" s="1"/>
  <c r="H137" i="147" s="1"/>
  <c r="H138" i="147" s="1"/>
  <c r="H139" i="147" s="1"/>
  <c r="H140" i="147" s="1"/>
  <c r="H141" i="147" s="1"/>
  <c r="H142" i="147" s="1"/>
  <c r="H143" i="147" s="1"/>
  <c r="H144" i="147" s="1"/>
  <c r="H145" i="147" s="1"/>
  <c r="H146" i="147" s="1"/>
  <c r="H147" i="147" s="1"/>
  <c r="H148" i="147" s="1"/>
  <c r="H149" i="147" s="1"/>
  <c r="H150" i="147" s="1"/>
  <c r="H151" i="147" s="1"/>
  <c r="H152" i="147" s="1"/>
  <c r="H153" i="147" s="1"/>
  <c r="H154" i="147" s="1"/>
  <c r="H155" i="147" s="1"/>
  <c r="H156" i="147" s="1"/>
  <c r="H157" i="147" s="1"/>
  <c r="H158" i="147" s="1"/>
  <c r="H159" i="147" s="1"/>
  <c r="H160" i="147" s="1"/>
  <c r="H161" i="147" s="1"/>
  <c r="H162" i="147" s="1"/>
  <c r="H163" i="147" s="1"/>
  <c r="H164" i="147" s="1"/>
  <c r="H165" i="147" s="1"/>
  <c r="H166" i="147" s="1"/>
  <c r="H167" i="147" s="1"/>
  <c r="H168" i="147" s="1"/>
  <c r="H169" i="147" s="1"/>
  <c r="H170" i="147" s="1"/>
  <c r="H171" i="147" s="1"/>
  <c r="H172" i="147" s="1"/>
  <c r="H173" i="147" s="1"/>
  <c r="H174" i="147" s="1"/>
  <c r="H175" i="147" s="1"/>
  <c r="H176" i="147" s="1"/>
  <c r="H177" i="147" s="1"/>
  <c r="H178" i="147" s="1"/>
  <c r="H179" i="147" s="1"/>
  <c r="H180" i="147" s="1"/>
  <c r="H181" i="147" s="1"/>
  <c r="H182" i="147" s="1"/>
  <c r="H183" i="147" s="1"/>
  <c r="H184" i="147" s="1"/>
  <c r="H185" i="147" s="1"/>
  <c r="H186" i="147" s="1"/>
  <c r="H187" i="147" s="1"/>
  <c r="H188" i="147" s="1"/>
  <c r="H189" i="147" s="1"/>
  <c r="H190" i="147" s="1"/>
  <c r="H191" i="147" s="1"/>
  <c r="H192" i="147" s="1"/>
  <c r="H193" i="147" s="1"/>
  <c r="H194" i="147" s="1"/>
  <c r="H195" i="147" s="1"/>
  <c r="H196" i="147" s="1"/>
  <c r="H197" i="147" s="1"/>
  <c r="H198" i="147" s="1"/>
  <c r="H199" i="147" s="1"/>
  <c r="H200" i="147" s="1"/>
  <c r="H201" i="147" s="1"/>
  <c r="H202" i="147" s="1"/>
  <c r="H203" i="147" s="1"/>
  <c r="H204" i="147" s="1"/>
  <c r="H205" i="147" s="1"/>
  <c r="H206" i="147" s="1"/>
  <c r="H207" i="147" s="1"/>
  <c r="H208" i="147" s="1"/>
  <c r="H209" i="147" s="1"/>
  <c r="H210" i="147" s="1"/>
  <c r="H211" i="147" s="1"/>
  <c r="H212" i="147" s="1"/>
  <c r="H213" i="147" s="1"/>
  <c r="H214" i="147" s="1"/>
  <c r="H215" i="147" s="1"/>
  <c r="H216" i="147" s="1"/>
  <c r="H217" i="147" s="1"/>
  <c r="H218" i="147" s="1"/>
  <c r="H219" i="147" s="1"/>
  <c r="H220" i="147" s="1"/>
  <c r="H221" i="147" s="1"/>
  <c r="H222" i="147" s="1"/>
  <c r="H223" i="147" s="1"/>
  <c r="H224" i="147" s="1"/>
  <c r="H225" i="147" s="1"/>
  <c r="H226" i="147" s="1"/>
  <c r="H227" i="147" s="1"/>
  <c r="H228" i="147" s="1"/>
  <c r="H229" i="147" s="1"/>
  <c r="H230" i="147" s="1"/>
  <c r="H231" i="147" s="1"/>
  <c r="H232" i="147" s="1"/>
  <c r="H233" i="147" s="1"/>
  <c r="H234" i="147" s="1"/>
  <c r="H235" i="147" s="1"/>
  <c r="H236" i="147" s="1"/>
  <c r="H237" i="147" s="1"/>
  <c r="H238" i="147" s="1"/>
  <c r="H239" i="147" s="1"/>
  <c r="H240" i="147" s="1"/>
  <c r="H241" i="147" s="1"/>
  <c r="H242" i="147" s="1"/>
  <c r="H243" i="147" s="1"/>
  <c r="H244" i="147" s="1"/>
  <c r="H245" i="147" s="1"/>
  <c r="H246" i="147" s="1"/>
  <c r="H247" i="147" s="1"/>
  <c r="H248" i="147" s="1"/>
  <c r="H249" i="147" s="1"/>
  <c r="H250" i="147" s="1"/>
  <c r="H251" i="147" s="1"/>
  <c r="H252" i="147" s="1"/>
  <c r="H253" i="147" s="1"/>
  <c r="H254" i="147" s="1"/>
  <c r="H255" i="147" s="1"/>
  <c r="H256" i="147" s="1"/>
  <c r="H257" i="147" s="1"/>
  <c r="H258" i="147" s="1"/>
  <c r="H259" i="147" s="1"/>
  <c r="H260" i="147" s="1"/>
  <c r="H261" i="147" s="1"/>
  <c r="H262" i="147" s="1"/>
  <c r="H263" i="147" s="1"/>
  <c r="H264" i="147" s="1"/>
  <c r="H265" i="147" s="1"/>
  <c r="H266" i="147" s="1"/>
  <c r="H267" i="147" s="1"/>
  <c r="H268" i="147" s="1"/>
  <c r="H269" i="147" s="1"/>
  <c r="H270" i="147" s="1"/>
  <c r="H271" i="147" s="1"/>
  <c r="H272" i="147" s="1"/>
  <c r="H273" i="147" s="1"/>
  <c r="H274" i="147" s="1"/>
  <c r="H275" i="147" s="1"/>
  <c r="H276" i="147" s="1"/>
  <c r="H277" i="147" s="1"/>
  <c r="H278" i="147" s="1"/>
  <c r="H279" i="147" s="1"/>
  <c r="H280" i="147" s="1"/>
  <c r="H281" i="147" s="1"/>
  <c r="H282" i="147" s="1"/>
  <c r="H283" i="147" s="1"/>
  <c r="H284" i="147" s="1"/>
  <c r="H285" i="147" s="1"/>
  <c r="H286" i="147" s="1"/>
  <c r="H287" i="147" s="1"/>
  <c r="H288" i="147" s="1"/>
  <c r="H289" i="147" s="1"/>
  <c r="H290" i="147" s="1"/>
  <c r="H291" i="147" s="1"/>
  <c r="H292" i="147" s="1"/>
  <c r="H293" i="147" s="1"/>
  <c r="H294" i="147" s="1"/>
  <c r="H295" i="147" s="1"/>
  <c r="H296" i="147" s="1"/>
  <c r="H297" i="147" s="1"/>
  <c r="H298" i="147" s="1"/>
  <c r="H299" i="147" s="1"/>
  <c r="H300" i="147" s="1"/>
  <c r="H301" i="147" s="1"/>
  <c r="H302" i="147" s="1"/>
  <c r="H303" i="147" s="1"/>
  <c r="H304" i="147" s="1"/>
  <c r="H305" i="147" s="1"/>
  <c r="H306" i="147" s="1"/>
  <c r="H307" i="147" s="1"/>
  <c r="H308" i="147" s="1"/>
  <c r="H309" i="147" s="1"/>
  <c r="H310" i="147" s="1"/>
  <c r="H311" i="147" s="1"/>
  <c r="H312" i="147" s="1"/>
  <c r="H313" i="147" s="1"/>
  <c r="H314" i="147" s="1"/>
  <c r="H315" i="147" s="1"/>
  <c r="H316" i="147" s="1"/>
  <c r="H317" i="147" s="1"/>
  <c r="H318" i="147" s="1"/>
  <c r="H319" i="147" s="1"/>
  <c r="H320" i="147" s="1"/>
  <c r="H321" i="147" s="1"/>
  <c r="H322" i="147" s="1"/>
  <c r="H323" i="147" s="1"/>
  <c r="H324" i="147" s="1"/>
  <c r="H325" i="147" s="1"/>
  <c r="H326" i="147" s="1"/>
  <c r="H327" i="147" s="1"/>
  <c r="H328" i="147" s="1"/>
  <c r="H329" i="147" s="1"/>
  <c r="H330" i="147" s="1"/>
  <c r="H331" i="147" s="1"/>
  <c r="H332" i="147" s="1"/>
  <c r="H333" i="147" s="1"/>
  <c r="H334" i="147" s="1"/>
  <c r="H335" i="147" s="1"/>
  <c r="H336" i="147" s="1"/>
  <c r="H337" i="147" s="1"/>
  <c r="H338" i="147" s="1"/>
  <c r="H339" i="147" s="1"/>
  <c r="H340" i="147" s="1"/>
  <c r="H341" i="147" s="1"/>
  <c r="H342" i="147" s="1"/>
  <c r="H343" i="147" s="1"/>
  <c r="H344" i="147" s="1"/>
  <c r="H345" i="147" s="1"/>
  <c r="H346" i="147" s="1"/>
  <c r="H347" i="147" s="1"/>
  <c r="H348" i="147" s="1"/>
  <c r="H349" i="147" s="1"/>
  <c r="H350" i="147" s="1"/>
  <c r="H351" i="147" s="1"/>
  <c r="H352" i="147" s="1"/>
  <c r="H353" i="147" s="1"/>
  <c r="H354" i="147" s="1"/>
  <c r="H355" i="147" s="1"/>
  <c r="H356" i="147" s="1"/>
  <c r="H357" i="147" s="1"/>
  <c r="H358" i="147" s="1"/>
  <c r="H359" i="147" s="1"/>
  <c r="H360" i="147" s="1"/>
  <c r="H361" i="147" s="1"/>
  <c r="H362" i="147" s="1"/>
  <c r="H363" i="147" s="1"/>
  <c r="H364" i="147" s="1"/>
  <c r="H365" i="147" s="1"/>
  <c r="H366" i="147" s="1"/>
  <c r="H367" i="147" s="1"/>
  <c r="H368" i="147" s="1"/>
  <c r="H369" i="147" s="1"/>
  <c r="H370" i="147" s="1"/>
  <c r="H371" i="147" s="1"/>
  <c r="H372" i="147" s="1"/>
  <c r="H373" i="147" s="1"/>
  <c r="H374" i="147" s="1"/>
  <c r="H375" i="147" s="1"/>
  <c r="H376" i="147" s="1"/>
  <c r="H14" i="147"/>
  <c r="H15" i="147" s="1"/>
  <c r="H16" i="147" s="1"/>
  <c r="H13" i="147"/>
  <c r="K379" i="146"/>
  <c r="L379" i="146" s="1"/>
  <c r="M379" i="146" s="1"/>
  <c r="G379" i="146"/>
  <c r="H379" i="146" s="1"/>
  <c r="O379" i="146" s="1"/>
  <c r="K378" i="146"/>
  <c r="L378" i="146" s="1"/>
  <c r="M378" i="146" s="1"/>
  <c r="H378" i="146"/>
  <c r="G378" i="146"/>
  <c r="L377" i="146"/>
  <c r="M377" i="146" s="1"/>
  <c r="K377" i="146"/>
  <c r="H377" i="146"/>
  <c r="O377" i="146" s="1"/>
  <c r="G377" i="146"/>
  <c r="L376" i="146"/>
  <c r="M376" i="146" s="1"/>
  <c r="K376" i="146"/>
  <c r="H376" i="146"/>
  <c r="O376" i="146" s="1"/>
  <c r="G376" i="146"/>
  <c r="L375" i="146"/>
  <c r="M375" i="146" s="1"/>
  <c r="O375" i="146" s="1"/>
  <c r="K375" i="146"/>
  <c r="H375" i="146"/>
  <c r="G375" i="146"/>
  <c r="L374" i="146"/>
  <c r="M374" i="146" s="1"/>
  <c r="O374" i="146" s="1"/>
  <c r="K374" i="146"/>
  <c r="H374" i="146"/>
  <c r="G374" i="146"/>
  <c r="L373" i="146"/>
  <c r="M373" i="146" s="1"/>
  <c r="K373" i="146"/>
  <c r="G373" i="146"/>
  <c r="H373" i="146" s="1"/>
  <c r="O373" i="146" s="1"/>
  <c r="L372" i="146"/>
  <c r="M372" i="146" s="1"/>
  <c r="K372" i="146"/>
  <c r="G372" i="146"/>
  <c r="H372" i="146" s="1"/>
  <c r="O372" i="146" s="1"/>
  <c r="K371" i="146"/>
  <c r="L371" i="146" s="1"/>
  <c r="M371" i="146" s="1"/>
  <c r="G371" i="146"/>
  <c r="H371" i="146" s="1"/>
  <c r="O371" i="146" s="1"/>
  <c r="M370" i="146"/>
  <c r="O370" i="146" s="1"/>
  <c r="K370" i="146"/>
  <c r="L370" i="146" s="1"/>
  <c r="H370" i="146"/>
  <c r="G370" i="146"/>
  <c r="L369" i="146"/>
  <c r="M369" i="146" s="1"/>
  <c r="K369" i="146"/>
  <c r="H369" i="146"/>
  <c r="O369" i="146" s="1"/>
  <c r="G369" i="146"/>
  <c r="K368" i="146"/>
  <c r="L368" i="146" s="1"/>
  <c r="M368" i="146" s="1"/>
  <c r="O368" i="146" s="1"/>
  <c r="H368" i="146"/>
  <c r="G368" i="146"/>
  <c r="L367" i="146"/>
  <c r="M367" i="146" s="1"/>
  <c r="O367" i="146" s="1"/>
  <c r="K367" i="146"/>
  <c r="G367" i="146"/>
  <c r="H367" i="146" s="1"/>
  <c r="K366" i="146"/>
  <c r="L366" i="146" s="1"/>
  <c r="M366" i="146" s="1"/>
  <c r="H366" i="146"/>
  <c r="O366" i="146" s="1"/>
  <c r="G366" i="146"/>
  <c r="L365" i="146"/>
  <c r="M365" i="146" s="1"/>
  <c r="K365" i="146"/>
  <c r="G365" i="146"/>
  <c r="H365" i="146" s="1"/>
  <c r="K364" i="146"/>
  <c r="L364" i="146" s="1"/>
  <c r="M364" i="146" s="1"/>
  <c r="G364" i="146"/>
  <c r="H364" i="146" s="1"/>
  <c r="O364" i="146" s="1"/>
  <c r="K363" i="146"/>
  <c r="L363" i="146" s="1"/>
  <c r="M363" i="146" s="1"/>
  <c r="G363" i="146"/>
  <c r="H363" i="146" s="1"/>
  <c r="M362" i="146"/>
  <c r="O362" i="146" s="1"/>
  <c r="K362" i="146"/>
  <c r="L362" i="146" s="1"/>
  <c r="H362" i="146"/>
  <c r="G362" i="146"/>
  <c r="L361" i="146"/>
  <c r="M361" i="146" s="1"/>
  <c r="K361" i="146"/>
  <c r="H361" i="146"/>
  <c r="O361" i="146" s="1"/>
  <c r="G361" i="146"/>
  <c r="L360" i="146"/>
  <c r="M360" i="146" s="1"/>
  <c r="O360" i="146" s="1"/>
  <c r="K360" i="146"/>
  <c r="H360" i="146"/>
  <c r="G360" i="146"/>
  <c r="L359" i="146"/>
  <c r="M359" i="146" s="1"/>
  <c r="K359" i="146"/>
  <c r="G359" i="146"/>
  <c r="H359" i="146" s="1"/>
  <c r="O359" i="146" s="1"/>
  <c r="K358" i="146"/>
  <c r="L358" i="146" s="1"/>
  <c r="M358" i="146" s="1"/>
  <c r="H358" i="146"/>
  <c r="G358" i="146"/>
  <c r="L357" i="146"/>
  <c r="M357" i="146" s="1"/>
  <c r="K357" i="146"/>
  <c r="G357" i="146"/>
  <c r="H357" i="146" s="1"/>
  <c r="K356" i="146"/>
  <c r="L356" i="146" s="1"/>
  <c r="M356" i="146" s="1"/>
  <c r="G356" i="146"/>
  <c r="H356" i="146" s="1"/>
  <c r="O356" i="146" s="1"/>
  <c r="K355" i="146"/>
  <c r="L355" i="146" s="1"/>
  <c r="M355" i="146" s="1"/>
  <c r="G355" i="146"/>
  <c r="H355" i="146" s="1"/>
  <c r="K354" i="146"/>
  <c r="L354" i="146" s="1"/>
  <c r="M354" i="146" s="1"/>
  <c r="O354" i="146" s="1"/>
  <c r="H354" i="146"/>
  <c r="G354" i="146"/>
  <c r="L353" i="146"/>
  <c r="M353" i="146" s="1"/>
  <c r="K353" i="146"/>
  <c r="G353" i="146"/>
  <c r="H353" i="146" s="1"/>
  <c r="O353" i="146" s="1"/>
  <c r="L352" i="146"/>
  <c r="M352" i="146" s="1"/>
  <c r="O352" i="146" s="1"/>
  <c r="K352" i="146"/>
  <c r="H352" i="146"/>
  <c r="G352" i="146"/>
  <c r="L351" i="146"/>
  <c r="M351" i="146" s="1"/>
  <c r="K351" i="146"/>
  <c r="G351" i="146"/>
  <c r="H351" i="146" s="1"/>
  <c r="O351" i="146" s="1"/>
  <c r="K350" i="146"/>
  <c r="L350" i="146" s="1"/>
  <c r="M350" i="146" s="1"/>
  <c r="H350" i="146"/>
  <c r="O350" i="146" s="1"/>
  <c r="G350" i="146"/>
  <c r="M349" i="146"/>
  <c r="L349" i="146"/>
  <c r="K349" i="146"/>
  <c r="G349" i="146"/>
  <c r="H349" i="146" s="1"/>
  <c r="K348" i="146"/>
  <c r="L348" i="146" s="1"/>
  <c r="M348" i="146" s="1"/>
  <c r="H348" i="146"/>
  <c r="O348" i="146" s="1"/>
  <c r="G348" i="146"/>
  <c r="K347" i="146"/>
  <c r="L347" i="146" s="1"/>
  <c r="M347" i="146" s="1"/>
  <c r="G347" i="146"/>
  <c r="H347" i="146" s="1"/>
  <c r="K346" i="146"/>
  <c r="L346" i="146" s="1"/>
  <c r="M346" i="146" s="1"/>
  <c r="O346" i="146" s="1"/>
  <c r="H346" i="146"/>
  <c r="G346" i="146"/>
  <c r="L345" i="146"/>
  <c r="M345" i="146" s="1"/>
  <c r="K345" i="146"/>
  <c r="G345" i="146"/>
  <c r="H345" i="146" s="1"/>
  <c r="O345" i="146" s="1"/>
  <c r="K344" i="146"/>
  <c r="L344" i="146" s="1"/>
  <c r="M344" i="146" s="1"/>
  <c r="O344" i="146" s="1"/>
  <c r="H344" i="146"/>
  <c r="G344" i="146"/>
  <c r="L343" i="146"/>
  <c r="M343" i="146" s="1"/>
  <c r="O343" i="146" s="1"/>
  <c r="K343" i="146"/>
  <c r="G343" i="146"/>
  <c r="H343" i="146" s="1"/>
  <c r="K342" i="146"/>
  <c r="L342" i="146" s="1"/>
  <c r="M342" i="146" s="1"/>
  <c r="H342" i="146"/>
  <c r="G342" i="146"/>
  <c r="L341" i="146"/>
  <c r="M341" i="146" s="1"/>
  <c r="K341" i="146"/>
  <c r="G341" i="146"/>
  <c r="H341" i="146" s="1"/>
  <c r="K340" i="146"/>
  <c r="L340" i="146" s="1"/>
  <c r="M340" i="146" s="1"/>
  <c r="G340" i="146"/>
  <c r="H340" i="146" s="1"/>
  <c r="O340" i="146" s="1"/>
  <c r="L339" i="146"/>
  <c r="M339" i="146" s="1"/>
  <c r="K339" i="146"/>
  <c r="G339" i="146"/>
  <c r="H339" i="146" s="1"/>
  <c r="M338" i="146"/>
  <c r="O338" i="146" s="1"/>
  <c r="K338" i="146"/>
  <c r="L338" i="146" s="1"/>
  <c r="H338" i="146"/>
  <c r="G338" i="146"/>
  <c r="L337" i="146"/>
  <c r="M337" i="146" s="1"/>
  <c r="K337" i="146"/>
  <c r="H337" i="146"/>
  <c r="O337" i="146" s="1"/>
  <c r="G337" i="146"/>
  <c r="L336" i="146"/>
  <c r="M336" i="146" s="1"/>
  <c r="O336" i="146" s="1"/>
  <c r="K336" i="146"/>
  <c r="H336" i="146"/>
  <c r="G336" i="146"/>
  <c r="O335" i="146"/>
  <c r="L335" i="146"/>
  <c r="M335" i="146" s="1"/>
  <c r="K335" i="146"/>
  <c r="G335" i="146"/>
  <c r="H335" i="146" s="1"/>
  <c r="K334" i="146"/>
  <c r="L334" i="146" s="1"/>
  <c r="M334" i="146" s="1"/>
  <c r="H334" i="146"/>
  <c r="G334" i="146"/>
  <c r="L333" i="146"/>
  <c r="M333" i="146" s="1"/>
  <c r="K333" i="146"/>
  <c r="G333" i="146"/>
  <c r="H333" i="146" s="1"/>
  <c r="K332" i="146"/>
  <c r="L332" i="146" s="1"/>
  <c r="M332" i="146" s="1"/>
  <c r="G332" i="146"/>
  <c r="H332" i="146" s="1"/>
  <c r="O332" i="146" s="1"/>
  <c r="K331" i="146"/>
  <c r="L331" i="146" s="1"/>
  <c r="M331" i="146" s="1"/>
  <c r="G331" i="146"/>
  <c r="H331" i="146" s="1"/>
  <c r="K330" i="146"/>
  <c r="L330" i="146" s="1"/>
  <c r="M330" i="146" s="1"/>
  <c r="O330" i="146" s="1"/>
  <c r="H330" i="146"/>
  <c r="G330" i="146"/>
  <c r="L329" i="146"/>
  <c r="M329" i="146" s="1"/>
  <c r="K329" i="146"/>
  <c r="G329" i="146"/>
  <c r="H329" i="146" s="1"/>
  <c r="O329" i="146" s="1"/>
  <c r="K328" i="146"/>
  <c r="L328" i="146" s="1"/>
  <c r="M328" i="146" s="1"/>
  <c r="O328" i="146" s="1"/>
  <c r="H328" i="146"/>
  <c r="G328" i="146"/>
  <c r="L327" i="146"/>
  <c r="M327" i="146" s="1"/>
  <c r="K327" i="146"/>
  <c r="G327" i="146"/>
  <c r="H327" i="146" s="1"/>
  <c r="O327" i="146" s="1"/>
  <c r="K326" i="146"/>
  <c r="L326" i="146" s="1"/>
  <c r="M326" i="146" s="1"/>
  <c r="H326" i="146"/>
  <c r="O326" i="146" s="1"/>
  <c r="G326" i="146"/>
  <c r="M325" i="146"/>
  <c r="L325" i="146"/>
  <c r="K325" i="146"/>
  <c r="G325" i="146"/>
  <c r="H325" i="146" s="1"/>
  <c r="O325" i="146" s="1"/>
  <c r="K324" i="146"/>
  <c r="L324" i="146" s="1"/>
  <c r="M324" i="146" s="1"/>
  <c r="H324" i="146"/>
  <c r="O324" i="146" s="1"/>
  <c r="G324" i="146"/>
  <c r="K323" i="146"/>
  <c r="L323" i="146" s="1"/>
  <c r="M323" i="146" s="1"/>
  <c r="G323" i="146"/>
  <c r="H323" i="146" s="1"/>
  <c r="M322" i="146"/>
  <c r="K322" i="146"/>
  <c r="L322" i="146" s="1"/>
  <c r="H322" i="146"/>
  <c r="O322" i="146" s="1"/>
  <c r="G322" i="146"/>
  <c r="L321" i="146"/>
  <c r="M321" i="146" s="1"/>
  <c r="K321" i="146"/>
  <c r="H321" i="146"/>
  <c r="O321" i="146" s="1"/>
  <c r="G321" i="146"/>
  <c r="K320" i="146"/>
  <c r="L320" i="146" s="1"/>
  <c r="M320" i="146" s="1"/>
  <c r="O320" i="146" s="1"/>
  <c r="H320" i="146"/>
  <c r="G320" i="146"/>
  <c r="O319" i="146"/>
  <c r="L319" i="146"/>
  <c r="M319" i="146" s="1"/>
  <c r="K319" i="146"/>
  <c r="G319" i="146"/>
  <c r="H319" i="146" s="1"/>
  <c r="M318" i="146"/>
  <c r="K318" i="146"/>
  <c r="L318" i="146" s="1"/>
  <c r="H318" i="146"/>
  <c r="O318" i="146" s="1"/>
  <c r="G318" i="146"/>
  <c r="M317" i="146"/>
  <c r="L317" i="146"/>
  <c r="K317" i="146"/>
  <c r="G317" i="146"/>
  <c r="H317" i="146" s="1"/>
  <c r="M316" i="146"/>
  <c r="K316" i="146"/>
  <c r="L316" i="146" s="1"/>
  <c r="G316" i="146"/>
  <c r="H316" i="146" s="1"/>
  <c r="O316" i="146" s="1"/>
  <c r="K315" i="146"/>
  <c r="L315" i="146" s="1"/>
  <c r="M315" i="146" s="1"/>
  <c r="G315" i="146"/>
  <c r="H315" i="146" s="1"/>
  <c r="K314" i="146"/>
  <c r="L314" i="146" s="1"/>
  <c r="M314" i="146" s="1"/>
  <c r="G314" i="146"/>
  <c r="H314" i="146" s="1"/>
  <c r="O314" i="146" s="1"/>
  <c r="M313" i="146"/>
  <c r="L313" i="146"/>
  <c r="K313" i="146"/>
  <c r="G313" i="146"/>
  <c r="H313" i="146" s="1"/>
  <c r="O313" i="146" s="1"/>
  <c r="L312" i="146"/>
  <c r="M312" i="146" s="1"/>
  <c r="K312" i="146"/>
  <c r="H312" i="146"/>
  <c r="G312" i="146"/>
  <c r="L311" i="146"/>
  <c r="M311" i="146" s="1"/>
  <c r="K311" i="146"/>
  <c r="H311" i="146"/>
  <c r="G311" i="146"/>
  <c r="L310" i="146"/>
  <c r="M310" i="146" s="1"/>
  <c r="K310" i="146"/>
  <c r="H310" i="146"/>
  <c r="O310" i="146" s="1"/>
  <c r="G310" i="146"/>
  <c r="L309" i="146"/>
  <c r="M309" i="146" s="1"/>
  <c r="K309" i="146"/>
  <c r="G309" i="146"/>
  <c r="H309" i="146" s="1"/>
  <c r="O309" i="146" s="1"/>
  <c r="O308" i="146"/>
  <c r="K308" i="146"/>
  <c r="L308" i="146" s="1"/>
  <c r="M308" i="146" s="1"/>
  <c r="H308" i="146"/>
  <c r="G308" i="146"/>
  <c r="M307" i="146"/>
  <c r="L307" i="146"/>
  <c r="K307" i="146"/>
  <c r="G307" i="146"/>
  <c r="H307" i="146" s="1"/>
  <c r="K306" i="146"/>
  <c r="L306" i="146" s="1"/>
  <c r="M306" i="146" s="1"/>
  <c r="G306" i="146"/>
  <c r="H306" i="146" s="1"/>
  <c r="K305" i="146"/>
  <c r="L305" i="146" s="1"/>
  <c r="M305" i="146" s="1"/>
  <c r="G305" i="146"/>
  <c r="H305" i="146" s="1"/>
  <c r="O305" i="146" s="1"/>
  <c r="K304" i="146"/>
  <c r="L304" i="146" s="1"/>
  <c r="M304" i="146" s="1"/>
  <c r="H304" i="146"/>
  <c r="O304" i="146" s="1"/>
  <c r="G304" i="146"/>
  <c r="L303" i="146"/>
  <c r="M303" i="146" s="1"/>
  <c r="K303" i="146"/>
  <c r="H303" i="146"/>
  <c r="O303" i="146" s="1"/>
  <c r="G303" i="146"/>
  <c r="L302" i="146"/>
  <c r="M302" i="146" s="1"/>
  <c r="K302" i="146"/>
  <c r="H302" i="146"/>
  <c r="O302" i="146" s="1"/>
  <c r="G302" i="146"/>
  <c r="L301" i="146"/>
  <c r="M301" i="146" s="1"/>
  <c r="O301" i="146" s="1"/>
  <c r="K301" i="146"/>
  <c r="G301" i="146"/>
  <c r="H301" i="146" s="1"/>
  <c r="K300" i="146"/>
  <c r="L300" i="146" s="1"/>
  <c r="M300" i="146" s="1"/>
  <c r="O300" i="146" s="1"/>
  <c r="H300" i="146"/>
  <c r="G300" i="146"/>
  <c r="M299" i="146"/>
  <c r="L299" i="146"/>
  <c r="K299" i="146"/>
  <c r="G299" i="146"/>
  <c r="H299" i="146" s="1"/>
  <c r="K298" i="146"/>
  <c r="L298" i="146" s="1"/>
  <c r="M298" i="146" s="1"/>
  <c r="G298" i="146"/>
  <c r="H298" i="146" s="1"/>
  <c r="K297" i="146"/>
  <c r="L297" i="146" s="1"/>
  <c r="M297" i="146" s="1"/>
  <c r="G297" i="146"/>
  <c r="H297" i="146" s="1"/>
  <c r="K296" i="146"/>
  <c r="L296" i="146" s="1"/>
  <c r="M296" i="146" s="1"/>
  <c r="H296" i="146"/>
  <c r="G296" i="146"/>
  <c r="L295" i="146"/>
  <c r="M295" i="146" s="1"/>
  <c r="K295" i="146"/>
  <c r="H295" i="146"/>
  <c r="O295" i="146" s="1"/>
  <c r="G295" i="146"/>
  <c r="L294" i="146"/>
  <c r="M294" i="146" s="1"/>
  <c r="O294" i="146" s="1"/>
  <c r="K294" i="146"/>
  <c r="H294" i="146"/>
  <c r="G294" i="146"/>
  <c r="L293" i="146"/>
  <c r="M293" i="146" s="1"/>
  <c r="K293" i="146"/>
  <c r="G293" i="146"/>
  <c r="H293" i="146" s="1"/>
  <c r="O293" i="146" s="1"/>
  <c r="K292" i="146"/>
  <c r="L292" i="146" s="1"/>
  <c r="M292" i="146" s="1"/>
  <c r="O292" i="146" s="1"/>
  <c r="H292" i="146"/>
  <c r="G292" i="146"/>
  <c r="M291" i="146"/>
  <c r="L291" i="146"/>
  <c r="K291" i="146"/>
  <c r="G291" i="146"/>
  <c r="H291" i="146" s="1"/>
  <c r="O291" i="146" s="1"/>
  <c r="M290" i="146"/>
  <c r="K290" i="146"/>
  <c r="L290" i="146" s="1"/>
  <c r="G290" i="146"/>
  <c r="H290" i="146" s="1"/>
  <c r="K289" i="146"/>
  <c r="L289" i="146" s="1"/>
  <c r="M289" i="146" s="1"/>
  <c r="G289" i="146"/>
  <c r="H289" i="146" s="1"/>
  <c r="O289" i="146" s="1"/>
  <c r="K288" i="146"/>
  <c r="L288" i="146" s="1"/>
  <c r="M288" i="146" s="1"/>
  <c r="H288" i="146"/>
  <c r="O288" i="146" s="1"/>
  <c r="G288" i="146"/>
  <c r="L287" i="146"/>
  <c r="M287" i="146" s="1"/>
  <c r="K287" i="146"/>
  <c r="H287" i="146"/>
  <c r="O287" i="146" s="1"/>
  <c r="G287" i="146"/>
  <c r="L286" i="146"/>
  <c r="M286" i="146" s="1"/>
  <c r="K286" i="146"/>
  <c r="H286" i="146"/>
  <c r="O286" i="146" s="1"/>
  <c r="G286" i="146"/>
  <c r="L285" i="146"/>
  <c r="M285" i="146" s="1"/>
  <c r="K285" i="146"/>
  <c r="G285" i="146"/>
  <c r="H285" i="146" s="1"/>
  <c r="O285" i="146" s="1"/>
  <c r="M284" i="146"/>
  <c r="O284" i="146" s="1"/>
  <c r="K284" i="146"/>
  <c r="L284" i="146" s="1"/>
  <c r="H284" i="146"/>
  <c r="G284" i="146"/>
  <c r="M283" i="146"/>
  <c r="L283" i="146"/>
  <c r="K283" i="146"/>
  <c r="G283" i="146"/>
  <c r="H283" i="146" s="1"/>
  <c r="K282" i="146"/>
  <c r="L282" i="146" s="1"/>
  <c r="M282" i="146" s="1"/>
  <c r="G282" i="146"/>
  <c r="H282" i="146" s="1"/>
  <c r="K281" i="146"/>
  <c r="L281" i="146" s="1"/>
  <c r="M281" i="146" s="1"/>
  <c r="G281" i="146"/>
  <c r="H281" i="146" s="1"/>
  <c r="K280" i="146"/>
  <c r="L280" i="146" s="1"/>
  <c r="M280" i="146" s="1"/>
  <c r="H280" i="146"/>
  <c r="O280" i="146" s="1"/>
  <c r="G280" i="146"/>
  <c r="L279" i="146"/>
  <c r="M279" i="146" s="1"/>
  <c r="K279" i="146"/>
  <c r="H279" i="146"/>
  <c r="O279" i="146" s="1"/>
  <c r="G279" i="146"/>
  <c r="M278" i="146"/>
  <c r="O278" i="146" s="1"/>
  <c r="L278" i="146"/>
  <c r="K278" i="146"/>
  <c r="H278" i="146"/>
  <c r="G278" i="146"/>
  <c r="L277" i="146"/>
  <c r="M277" i="146" s="1"/>
  <c r="O277" i="146" s="1"/>
  <c r="K277" i="146"/>
  <c r="G277" i="146"/>
  <c r="H277" i="146" s="1"/>
  <c r="K276" i="146"/>
  <c r="L276" i="146" s="1"/>
  <c r="M276" i="146" s="1"/>
  <c r="O276" i="146" s="1"/>
  <c r="H276" i="146"/>
  <c r="G276" i="146"/>
  <c r="M275" i="146"/>
  <c r="L275" i="146"/>
  <c r="K275" i="146"/>
  <c r="G275" i="146"/>
  <c r="H275" i="146" s="1"/>
  <c r="K274" i="146"/>
  <c r="L274" i="146" s="1"/>
  <c r="M274" i="146" s="1"/>
  <c r="G274" i="146"/>
  <c r="H274" i="146" s="1"/>
  <c r="O274" i="146" s="1"/>
  <c r="K273" i="146"/>
  <c r="L273" i="146" s="1"/>
  <c r="M273" i="146" s="1"/>
  <c r="G273" i="146"/>
  <c r="H273" i="146" s="1"/>
  <c r="O272" i="146"/>
  <c r="K272" i="146"/>
  <c r="L272" i="146" s="1"/>
  <c r="M272" i="146" s="1"/>
  <c r="H272" i="146"/>
  <c r="G272" i="146"/>
  <c r="L271" i="146"/>
  <c r="M271" i="146" s="1"/>
  <c r="K271" i="146"/>
  <c r="H271" i="146"/>
  <c r="G271" i="146"/>
  <c r="K270" i="146"/>
  <c r="L270" i="146" s="1"/>
  <c r="M270" i="146" s="1"/>
  <c r="H270" i="146"/>
  <c r="G270" i="146"/>
  <c r="L269" i="146"/>
  <c r="M269" i="146" s="1"/>
  <c r="K269" i="146"/>
  <c r="G269" i="146"/>
  <c r="H269" i="146" s="1"/>
  <c r="O269" i="146" s="1"/>
  <c r="K268" i="146"/>
  <c r="L268" i="146" s="1"/>
  <c r="M268" i="146" s="1"/>
  <c r="H268" i="146"/>
  <c r="O268" i="146" s="1"/>
  <c r="G268" i="146"/>
  <c r="L267" i="146"/>
  <c r="M267" i="146" s="1"/>
  <c r="K267" i="146"/>
  <c r="G267" i="146"/>
  <c r="H267" i="146" s="1"/>
  <c r="K266" i="146"/>
  <c r="L266" i="146" s="1"/>
  <c r="M266" i="146" s="1"/>
  <c r="H266" i="146"/>
  <c r="O266" i="146" s="1"/>
  <c r="G266" i="146"/>
  <c r="K265" i="146"/>
  <c r="L265" i="146" s="1"/>
  <c r="M265" i="146" s="1"/>
  <c r="G265" i="146"/>
  <c r="H265" i="146" s="1"/>
  <c r="M264" i="146"/>
  <c r="K264" i="146"/>
  <c r="L264" i="146" s="1"/>
  <c r="H264" i="146"/>
  <c r="O264" i="146" s="1"/>
  <c r="G264" i="146"/>
  <c r="L263" i="146"/>
  <c r="M263" i="146" s="1"/>
  <c r="K263" i="146"/>
  <c r="G263" i="146"/>
  <c r="H263" i="146" s="1"/>
  <c r="O263" i="146" s="1"/>
  <c r="K262" i="146"/>
  <c r="L262" i="146" s="1"/>
  <c r="M262" i="146" s="1"/>
  <c r="G262" i="146"/>
  <c r="H262" i="146" s="1"/>
  <c r="L261" i="146"/>
  <c r="M261" i="146" s="1"/>
  <c r="K261" i="146"/>
  <c r="H261" i="146"/>
  <c r="G261" i="146"/>
  <c r="K260" i="146"/>
  <c r="L260" i="146" s="1"/>
  <c r="M260" i="146" s="1"/>
  <c r="O260" i="146" s="1"/>
  <c r="H260" i="146"/>
  <c r="G260" i="146"/>
  <c r="L259" i="146"/>
  <c r="M259" i="146" s="1"/>
  <c r="K259" i="146"/>
  <c r="G259" i="146"/>
  <c r="H259" i="146" s="1"/>
  <c r="O259" i="146" s="1"/>
  <c r="K258" i="146"/>
  <c r="L258" i="146" s="1"/>
  <c r="M258" i="146" s="1"/>
  <c r="G258" i="146"/>
  <c r="H258" i="146" s="1"/>
  <c r="K257" i="146"/>
  <c r="L257" i="146" s="1"/>
  <c r="M257" i="146" s="1"/>
  <c r="O257" i="146" s="1"/>
  <c r="H257" i="146"/>
  <c r="G257" i="146"/>
  <c r="L256" i="146"/>
  <c r="M256" i="146" s="1"/>
  <c r="K256" i="146"/>
  <c r="G256" i="146"/>
  <c r="H256" i="146" s="1"/>
  <c r="O256" i="146" s="1"/>
  <c r="K255" i="146"/>
  <c r="L255" i="146" s="1"/>
  <c r="M255" i="146" s="1"/>
  <c r="H255" i="146"/>
  <c r="G255" i="146"/>
  <c r="L254" i="146"/>
  <c r="M254" i="146" s="1"/>
  <c r="K254" i="146"/>
  <c r="G254" i="146"/>
  <c r="H254" i="146" s="1"/>
  <c r="O254" i="146" s="1"/>
  <c r="K253" i="146"/>
  <c r="L253" i="146" s="1"/>
  <c r="M253" i="146" s="1"/>
  <c r="H253" i="146"/>
  <c r="G253" i="146"/>
  <c r="L252" i="146"/>
  <c r="M252" i="146" s="1"/>
  <c r="K252" i="146"/>
  <c r="G252" i="146"/>
  <c r="H252" i="146" s="1"/>
  <c r="K251" i="146"/>
  <c r="L251" i="146" s="1"/>
  <c r="M251" i="146" s="1"/>
  <c r="G251" i="146"/>
  <c r="H251" i="146" s="1"/>
  <c r="O251" i="146" s="1"/>
  <c r="L250" i="146"/>
  <c r="M250" i="146" s="1"/>
  <c r="K250" i="146"/>
  <c r="G250" i="146"/>
  <c r="H250" i="146" s="1"/>
  <c r="M249" i="146"/>
  <c r="O249" i="146" s="1"/>
  <c r="K249" i="146"/>
  <c r="L249" i="146" s="1"/>
  <c r="H249" i="146"/>
  <c r="G249" i="146"/>
  <c r="L248" i="146"/>
  <c r="M248" i="146" s="1"/>
  <c r="K248" i="146"/>
  <c r="H248" i="146"/>
  <c r="O248" i="146" s="1"/>
  <c r="G248" i="146"/>
  <c r="K247" i="146"/>
  <c r="L247" i="146" s="1"/>
  <c r="M247" i="146" s="1"/>
  <c r="H247" i="146"/>
  <c r="G247" i="146"/>
  <c r="O246" i="146"/>
  <c r="L246" i="146"/>
  <c r="M246" i="146" s="1"/>
  <c r="K246" i="146"/>
  <c r="G246" i="146"/>
  <c r="H246" i="146" s="1"/>
  <c r="K245" i="146"/>
  <c r="L245" i="146" s="1"/>
  <c r="M245" i="146" s="1"/>
  <c r="H245" i="146"/>
  <c r="G245" i="146"/>
  <c r="M244" i="146"/>
  <c r="L244" i="146"/>
  <c r="K244" i="146"/>
  <c r="G244" i="146"/>
  <c r="H244" i="146" s="1"/>
  <c r="K243" i="146"/>
  <c r="L243" i="146" s="1"/>
  <c r="M243" i="146" s="1"/>
  <c r="H243" i="146"/>
  <c r="O243" i="146" s="1"/>
  <c r="G243" i="146"/>
  <c r="K242" i="146"/>
  <c r="L242" i="146" s="1"/>
  <c r="M242" i="146" s="1"/>
  <c r="G242" i="146"/>
  <c r="H242" i="146" s="1"/>
  <c r="K241" i="146"/>
  <c r="L241" i="146" s="1"/>
  <c r="M241" i="146" s="1"/>
  <c r="O241" i="146" s="1"/>
  <c r="H241" i="146"/>
  <c r="G241" i="146"/>
  <c r="L240" i="146"/>
  <c r="M240" i="146" s="1"/>
  <c r="K240" i="146"/>
  <c r="G240" i="146"/>
  <c r="H240" i="146" s="1"/>
  <c r="O240" i="146" s="1"/>
  <c r="L239" i="146"/>
  <c r="M239" i="146" s="1"/>
  <c r="K239" i="146"/>
  <c r="H239" i="146"/>
  <c r="G239" i="146"/>
  <c r="O238" i="146"/>
  <c r="L238" i="146"/>
  <c r="M238" i="146" s="1"/>
  <c r="K238" i="146"/>
  <c r="G238" i="146"/>
  <c r="H238" i="146" s="1"/>
  <c r="K237" i="146"/>
  <c r="L237" i="146" s="1"/>
  <c r="M237" i="146" s="1"/>
  <c r="H237" i="146"/>
  <c r="O237" i="146" s="1"/>
  <c r="G237" i="146"/>
  <c r="L236" i="146"/>
  <c r="M236" i="146" s="1"/>
  <c r="K236" i="146"/>
  <c r="G236" i="146"/>
  <c r="H236" i="146" s="1"/>
  <c r="K235" i="146"/>
  <c r="L235" i="146" s="1"/>
  <c r="M235" i="146" s="1"/>
  <c r="G235" i="146"/>
  <c r="H235" i="146" s="1"/>
  <c r="O235" i="146" s="1"/>
  <c r="L234" i="146"/>
  <c r="M234" i="146" s="1"/>
  <c r="K234" i="146"/>
  <c r="G234" i="146"/>
  <c r="H234" i="146" s="1"/>
  <c r="M233" i="146"/>
  <c r="O233" i="146" s="1"/>
  <c r="K233" i="146"/>
  <c r="L233" i="146" s="1"/>
  <c r="H233" i="146"/>
  <c r="G233" i="146"/>
  <c r="L232" i="146"/>
  <c r="M232" i="146" s="1"/>
  <c r="K232" i="146"/>
  <c r="G232" i="146"/>
  <c r="H232" i="146" s="1"/>
  <c r="O232" i="146" s="1"/>
  <c r="K231" i="146"/>
  <c r="L231" i="146" s="1"/>
  <c r="M231" i="146" s="1"/>
  <c r="H231" i="146"/>
  <c r="G231" i="146"/>
  <c r="O230" i="146"/>
  <c r="L230" i="146"/>
  <c r="M230" i="146" s="1"/>
  <c r="K230" i="146"/>
  <c r="G230" i="146"/>
  <c r="H230" i="146" s="1"/>
  <c r="K229" i="146"/>
  <c r="L229" i="146" s="1"/>
  <c r="M229" i="146" s="1"/>
  <c r="O229" i="146" s="1"/>
  <c r="H229" i="146"/>
  <c r="G229" i="146"/>
  <c r="M228" i="146"/>
  <c r="L228" i="146"/>
  <c r="K228" i="146"/>
  <c r="G228" i="146"/>
  <c r="H228" i="146" s="1"/>
  <c r="M227" i="146"/>
  <c r="K227" i="146"/>
  <c r="L227" i="146" s="1"/>
  <c r="H227" i="146"/>
  <c r="O227" i="146" s="1"/>
  <c r="G227" i="146"/>
  <c r="L226" i="146"/>
  <c r="M226" i="146" s="1"/>
  <c r="K226" i="146"/>
  <c r="G226" i="146"/>
  <c r="H226" i="146" s="1"/>
  <c r="O225" i="146"/>
  <c r="M225" i="146"/>
  <c r="K225" i="146"/>
  <c r="L225" i="146" s="1"/>
  <c r="H225" i="146"/>
  <c r="G225" i="146"/>
  <c r="L224" i="146"/>
  <c r="M224" i="146" s="1"/>
  <c r="K224" i="146"/>
  <c r="G224" i="146"/>
  <c r="H224" i="146" s="1"/>
  <c r="O224" i="146" s="1"/>
  <c r="K223" i="146"/>
  <c r="L223" i="146" s="1"/>
  <c r="M223" i="146" s="1"/>
  <c r="H223" i="146"/>
  <c r="G223" i="146"/>
  <c r="L222" i="146"/>
  <c r="M222" i="146" s="1"/>
  <c r="O222" i="146" s="1"/>
  <c r="K222" i="146"/>
  <c r="G222" i="146"/>
  <c r="H222" i="146" s="1"/>
  <c r="K221" i="146"/>
  <c r="L221" i="146" s="1"/>
  <c r="M221" i="146" s="1"/>
  <c r="H221" i="146"/>
  <c r="O221" i="146" s="1"/>
  <c r="G221" i="146"/>
  <c r="M220" i="146"/>
  <c r="L220" i="146"/>
  <c r="K220" i="146"/>
  <c r="G220" i="146"/>
  <c r="H220" i="146" s="1"/>
  <c r="O220" i="146" s="1"/>
  <c r="M219" i="146"/>
  <c r="K219" i="146"/>
  <c r="L219" i="146" s="1"/>
  <c r="H219" i="146"/>
  <c r="O219" i="146" s="1"/>
  <c r="G219" i="146"/>
  <c r="L218" i="146"/>
  <c r="M218" i="146" s="1"/>
  <c r="K218" i="146"/>
  <c r="G218" i="146"/>
  <c r="H218" i="146" s="1"/>
  <c r="M217" i="146"/>
  <c r="O217" i="146" s="1"/>
  <c r="K217" i="146"/>
  <c r="L217" i="146" s="1"/>
  <c r="H217" i="146"/>
  <c r="G217" i="146"/>
  <c r="L216" i="146"/>
  <c r="M216" i="146" s="1"/>
  <c r="K216" i="146"/>
  <c r="G216" i="146"/>
  <c r="H216" i="146" s="1"/>
  <c r="O216" i="146" s="1"/>
  <c r="K215" i="146"/>
  <c r="L215" i="146" s="1"/>
  <c r="M215" i="146" s="1"/>
  <c r="H215" i="146"/>
  <c r="G215" i="146"/>
  <c r="L214" i="146"/>
  <c r="M214" i="146" s="1"/>
  <c r="K214" i="146"/>
  <c r="G214" i="146"/>
  <c r="H214" i="146" s="1"/>
  <c r="O214" i="146" s="1"/>
  <c r="K213" i="146"/>
  <c r="L213" i="146" s="1"/>
  <c r="M213" i="146" s="1"/>
  <c r="H213" i="146"/>
  <c r="O213" i="146" s="1"/>
  <c r="G213" i="146"/>
  <c r="M212" i="146"/>
  <c r="L212" i="146"/>
  <c r="K212" i="146"/>
  <c r="G212" i="146"/>
  <c r="H212" i="146" s="1"/>
  <c r="O212" i="146" s="1"/>
  <c r="M211" i="146"/>
  <c r="K211" i="146"/>
  <c r="L211" i="146" s="1"/>
  <c r="H211" i="146"/>
  <c r="O211" i="146" s="1"/>
  <c r="G211" i="146"/>
  <c r="L210" i="146"/>
  <c r="M210" i="146" s="1"/>
  <c r="K210" i="146"/>
  <c r="G210" i="146"/>
  <c r="H210" i="146" s="1"/>
  <c r="M209" i="146"/>
  <c r="O209" i="146" s="1"/>
  <c r="K209" i="146"/>
  <c r="L209" i="146" s="1"/>
  <c r="H209" i="146"/>
  <c r="G209" i="146"/>
  <c r="L208" i="146"/>
  <c r="M208" i="146" s="1"/>
  <c r="K208" i="146"/>
  <c r="G208" i="146"/>
  <c r="H208" i="146" s="1"/>
  <c r="O208" i="146" s="1"/>
  <c r="K207" i="146"/>
  <c r="L207" i="146" s="1"/>
  <c r="M207" i="146" s="1"/>
  <c r="H207" i="146"/>
  <c r="G207" i="146"/>
  <c r="L206" i="146"/>
  <c r="M206" i="146" s="1"/>
  <c r="K206" i="146"/>
  <c r="G206" i="146"/>
  <c r="H206" i="146" s="1"/>
  <c r="O206" i="146" s="1"/>
  <c r="K205" i="146"/>
  <c r="L205" i="146" s="1"/>
  <c r="M205" i="146" s="1"/>
  <c r="H205" i="146"/>
  <c r="O205" i="146" s="1"/>
  <c r="G205" i="146"/>
  <c r="M204" i="146"/>
  <c r="L204" i="146"/>
  <c r="K204" i="146"/>
  <c r="G204" i="146"/>
  <c r="H204" i="146" s="1"/>
  <c r="M203" i="146"/>
  <c r="O203" i="146" s="1"/>
  <c r="K203" i="146"/>
  <c r="L203" i="146" s="1"/>
  <c r="H203" i="146"/>
  <c r="G203" i="146"/>
  <c r="L202" i="146"/>
  <c r="M202" i="146" s="1"/>
  <c r="K202" i="146"/>
  <c r="G202" i="146"/>
  <c r="H202" i="146" s="1"/>
  <c r="M201" i="146"/>
  <c r="O201" i="146" s="1"/>
  <c r="K201" i="146"/>
  <c r="L201" i="146" s="1"/>
  <c r="H201" i="146"/>
  <c r="G201" i="146"/>
  <c r="L200" i="146"/>
  <c r="M200" i="146" s="1"/>
  <c r="K200" i="146"/>
  <c r="G200" i="146"/>
  <c r="H200" i="146" s="1"/>
  <c r="O200" i="146" s="1"/>
  <c r="K199" i="146"/>
  <c r="L199" i="146" s="1"/>
  <c r="M199" i="146" s="1"/>
  <c r="H199" i="146"/>
  <c r="G199" i="146"/>
  <c r="O198" i="146"/>
  <c r="L198" i="146"/>
  <c r="M198" i="146" s="1"/>
  <c r="K198" i="146"/>
  <c r="G198" i="146"/>
  <c r="H198" i="146" s="1"/>
  <c r="K197" i="146"/>
  <c r="L197" i="146" s="1"/>
  <c r="M197" i="146" s="1"/>
  <c r="O197" i="146" s="1"/>
  <c r="H197" i="146"/>
  <c r="G197" i="146"/>
  <c r="M196" i="146"/>
  <c r="L196" i="146"/>
  <c r="K196" i="146"/>
  <c r="G196" i="146"/>
  <c r="H196" i="146" s="1"/>
  <c r="M195" i="146"/>
  <c r="K195" i="146"/>
  <c r="L195" i="146" s="1"/>
  <c r="H195" i="146"/>
  <c r="O195" i="146" s="1"/>
  <c r="G195" i="146"/>
  <c r="L194" i="146"/>
  <c r="M194" i="146" s="1"/>
  <c r="K194" i="146"/>
  <c r="G194" i="146"/>
  <c r="H194" i="146" s="1"/>
  <c r="O193" i="146"/>
  <c r="M193" i="146"/>
  <c r="K193" i="146"/>
  <c r="L193" i="146" s="1"/>
  <c r="H193" i="146"/>
  <c r="G193" i="146"/>
  <c r="L192" i="146"/>
  <c r="M192" i="146" s="1"/>
  <c r="K192" i="146"/>
  <c r="G192" i="146"/>
  <c r="H192" i="146" s="1"/>
  <c r="O192" i="146" s="1"/>
  <c r="L191" i="146"/>
  <c r="M191" i="146" s="1"/>
  <c r="O191" i="146" s="1"/>
  <c r="K191" i="146"/>
  <c r="H191" i="146"/>
  <c r="G191" i="146"/>
  <c r="O190" i="146"/>
  <c r="L190" i="146"/>
  <c r="M190" i="146" s="1"/>
  <c r="K190" i="146"/>
  <c r="G190" i="146"/>
  <c r="H190" i="146" s="1"/>
  <c r="K189" i="146"/>
  <c r="L189" i="146" s="1"/>
  <c r="M189" i="146" s="1"/>
  <c r="O189" i="146" s="1"/>
  <c r="H189" i="146"/>
  <c r="G189" i="146"/>
  <c r="L188" i="146"/>
  <c r="M188" i="146" s="1"/>
  <c r="K188" i="146"/>
  <c r="G188" i="146"/>
  <c r="H188" i="146" s="1"/>
  <c r="K187" i="146"/>
  <c r="L187" i="146" s="1"/>
  <c r="M187" i="146" s="1"/>
  <c r="G187" i="146"/>
  <c r="H187" i="146" s="1"/>
  <c r="L186" i="146"/>
  <c r="M186" i="146" s="1"/>
  <c r="K186" i="146"/>
  <c r="G186" i="146"/>
  <c r="H186" i="146" s="1"/>
  <c r="K185" i="146"/>
  <c r="L185" i="146" s="1"/>
  <c r="M185" i="146" s="1"/>
  <c r="O185" i="146" s="1"/>
  <c r="H185" i="146"/>
  <c r="G185" i="146"/>
  <c r="L184" i="146"/>
  <c r="M184" i="146" s="1"/>
  <c r="K184" i="146"/>
  <c r="H184" i="146"/>
  <c r="O184" i="146" s="1"/>
  <c r="G184" i="146"/>
  <c r="K183" i="146"/>
  <c r="L183" i="146" s="1"/>
  <c r="M183" i="146" s="1"/>
  <c r="O183" i="146" s="1"/>
  <c r="H183" i="146"/>
  <c r="G183" i="146"/>
  <c r="L182" i="146"/>
  <c r="M182" i="146" s="1"/>
  <c r="K182" i="146"/>
  <c r="G182" i="146"/>
  <c r="H182" i="146" s="1"/>
  <c r="O182" i="146" s="1"/>
  <c r="M181" i="146"/>
  <c r="O181" i="146" s="1"/>
  <c r="K181" i="146"/>
  <c r="L181" i="146" s="1"/>
  <c r="H181" i="146"/>
  <c r="G181" i="146"/>
  <c r="M180" i="146"/>
  <c r="L180" i="146"/>
  <c r="K180" i="146"/>
  <c r="G180" i="146"/>
  <c r="H180" i="146" s="1"/>
  <c r="M179" i="146"/>
  <c r="K179" i="146"/>
  <c r="L179" i="146" s="1"/>
  <c r="H179" i="146"/>
  <c r="O179" i="146" s="1"/>
  <c r="G179" i="146"/>
  <c r="K178" i="146"/>
  <c r="L178" i="146" s="1"/>
  <c r="M178" i="146" s="1"/>
  <c r="G178" i="146"/>
  <c r="H178" i="146" s="1"/>
  <c r="M177" i="146"/>
  <c r="K177" i="146"/>
  <c r="L177" i="146" s="1"/>
  <c r="H177" i="146"/>
  <c r="O177" i="146" s="1"/>
  <c r="G177" i="146"/>
  <c r="L176" i="146"/>
  <c r="M176" i="146" s="1"/>
  <c r="K176" i="146"/>
  <c r="G176" i="146"/>
  <c r="H176" i="146" s="1"/>
  <c r="O176" i="146" s="1"/>
  <c r="L175" i="146"/>
  <c r="M175" i="146" s="1"/>
  <c r="K175" i="146"/>
  <c r="H175" i="146"/>
  <c r="G175" i="146"/>
  <c r="L174" i="146"/>
  <c r="M174" i="146" s="1"/>
  <c r="O174" i="146" s="1"/>
  <c r="K174" i="146"/>
  <c r="G174" i="146"/>
  <c r="H174" i="146" s="1"/>
  <c r="K173" i="146"/>
  <c r="L173" i="146" s="1"/>
  <c r="M173" i="146" s="1"/>
  <c r="H173" i="146"/>
  <c r="O173" i="146" s="1"/>
  <c r="G173" i="146"/>
  <c r="L172" i="146"/>
  <c r="M172" i="146" s="1"/>
  <c r="K172" i="146"/>
  <c r="G172" i="146"/>
  <c r="H172" i="146" s="1"/>
  <c r="K171" i="146"/>
  <c r="L171" i="146" s="1"/>
  <c r="M171" i="146" s="1"/>
  <c r="G171" i="146"/>
  <c r="H171" i="146" s="1"/>
  <c r="L170" i="146"/>
  <c r="M170" i="146" s="1"/>
  <c r="K170" i="146"/>
  <c r="G170" i="146"/>
  <c r="H170" i="146" s="1"/>
  <c r="K169" i="146"/>
  <c r="L169" i="146" s="1"/>
  <c r="M169" i="146" s="1"/>
  <c r="O169" i="146" s="1"/>
  <c r="H169" i="146"/>
  <c r="G169" i="146"/>
  <c r="L168" i="146"/>
  <c r="M168" i="146" s="1"/>
  <c r="K168" i="146"/>
  <c r="H168" i="146"/>
  <c r="O168" i="146" s="1"/>
  <c r="G168" i="146"/>
  <c r="K167" i="146"/>
  <c r="L167" i="146" s="1"/>
  <c r="M167" i="146" s="1"/>
  <c r="O167" i="146" s="1"/>
  <c r="H167" i="146"/>
  <c r="G167" i="146"/>
  <c r="L166" i="146"/>
  <c r="M166" i="146" s="1"/>
  <c r="K166" i="146"/>
  <c r="G166" i="146"/>
  <c r="H166" i="146" s="1"/>
  <c r="O166" i="146" s="1"/>
  <c r="M165" i="146"/>
  <c r="O165" i="146" s="1"/>
  <c r="K165" i="146"/>
  <c r="L165" i="146" s="1"/>
  <c r="H165" i="146"/>
  <c r="G165" i="146"/>
  <c r="M164" i="146"/>
  <c r="L164" i="146"/>
  <c r="K164" i="146"/>
  <c r="G164" i="146"/>
  <c r="H164" i="146" s="1"/>
  <c r="M163" i="146"/>
  <c r="K163" i="146"/>
  <c r="L163" i="146" s="1"/>
  <c r="H163" i="146"/>
  <c r="O163" i="146" s="1"/>
  <c r="G163" i="146"/>
  <c r="K162" i="146"/>
  <c r="L162" i="146" s="1"/>
  <c r="M162" i="146" s="1"/>
  <c r="G162" i="146"/>
  <c r="H162" i="146" s="1"/>
  <c r="M161" i="146"/>
  <c r="K161" i="146"/>
  <c r="L161" i="146" s="1"/>
  <c r="H161" i="146"/>
  <c r="O161" i="146" s="1"/>
  <c r="G161" i="146"/>
  <c r="L160" i="146"/>
  <c r="M160" i="146" s="1"/>
  <c r="K160" i="146"/>
  <c r="G160" i="146"/>
  <c r="H160" i="146" s="1"/>
  <c r="O160" i="146" s="1"/>
  <c r="L159" i="146"/>
  <c r="M159" i="146" s="1"/>
  <c r="K159" i="146"/>
  <c r="H159" i="146"/>
  <c r="O159" i="146" s="1"/>
  <c r="G159" i="146"/>
  <c r="L158" i="146"/>
  <c r="M158" i="146" s="1"/>
  <c r="O158" i="146" s="1"/>
  <c r="K158" i="146"/>
  <c r="G158" i="146"/>
  <c r="H158" i="146" s="1"/>
  <c r="K157" i="146"/>
  <c r="L157" i="146" s="1"/>
  <c r="M157" i="146" s="1"/>
  <c r="H157" i="146"/>
  <c r="G157" i="146"/>
  <c r="L156" i="146"/>
  <c r="M156" i="146" s="1"/>
  <c r="K156" i="146"/>
  <c r="G156" i="146"/>
  <c r="H156" i="146" s="1"/>
  <c r="K155" i="146"/>
  <c r="L155" i="146" s="1"/>
  <c r="M155" i="146" s="1"/>
  <c r="G155" i="146"/>
  <c r="H155" i="146" s="1"/>
  <c r="L154" i="146"/>
  <c r="M154" i="146" s="1"/>
  <c r="K154" i="146"/>
  <c r="G154" i="146"/>
  <c r="H154" i="146" s="1"/>
  <c r="K153" i="146"/>
  <c r="L153" i="146" s="1"/>
  <c r="M153" i="146" s="1"/>
  <c r="O153" i="146" s="1"/>
  <c r="H153" i="146"/>
  <c r="G153" i="146"/>
  <c r="L152" i="146"/>
  <c r="M152" i="146" s="1"/>
  <c r="K152" i="146"/>
  <c r="H152" i="146"/>
  <c r="O152" i="146" s="1"/>
  <c r="G152" i="146"/>
  <c r="K151" i="146"/>
  <c r="L151" i="146" s="1"/>
  <c r="M151" i="146" s="1"/>
  <c r="H151" i="146"/>
  <c r="G151" i="146"/>
  <c r="L150" i="146"/>
  <c r="M150" i="146" s="1"/>
  <c r="K150" i="146"/>
  <c r="G150" i="146"/>
  <c r="H150" i="146" s="1"/>
  <c r="O150" i="146" s="1"/>
  <c r="M149" i="146"/>
  <c r="K149" i="146"/>
  <c r="L149" i="146" s="1"/>
  <c r="H149" i="146"/>
  <c r="O149" i="146" s="1"/>
  <c r="G149" i="146"/>
  <c r="M148" i="146"/>
  <c r="L148" i="146"/>
  <c r="K148" i="146"/>
  <c r="G148" i="146"/>
  <c r="H148" i="146" s="1"/>
  <c r="O148" i="146" s="1"/>
  <c r="M147" i="146"/>
  <c r="K147" i="146"/>
  <c r="L147" i="146" s="1"/>
  <c r="H147" i="146"/>
  <c r="O147" i="146" s="1"/>
  <c r="G147" i="146"/>
  <c r="K146" i="146"/>
  <c r="L146" i="146" s="1"/>
  <c r="M146" i="146" s="1"/>
  <c r="G146" i="146"/>
  <c r="H146" i="146" s="1"/>
  <c r="O145" i="146"/>
  <c r="M145" i="146"/>
  <c r="K145" i="146"/>
  <c r="L145" i="146" s="1"/>
  <c r="H145" i="146"/>
  <c r="G145" i="146"/>
  <c r="L144" i="146"/>
  <c r="M144" i="146" s="1"/>
  <c r="K144" i="146"/>
  <c r="G144" i="146"/>
  <c r="H144" i="146" s="1"/>
  <c r="O144" i="146" s="1"/>
  <c r="O143" i="146"/>
  <c r="L143" i="146"/>
  <c r="M143" i="146" s="1"/>
  <c r="K143" i="146"/>
  <c r="H143" i="146"/>
  <c r="G143" i="146"/>
  <c r="L142" i="146"/>
  <c r="M142" i="146" s="1"/>
  <c r="O142" i="146" s="1"/>
  <c r="K142" i="146"/>
  <c r="G142" i="146"/>
  <c r="H142" i="146" s="1"/>
  <c r="M141" i="146"/>
  <c r="O141" i="146" s="1"/>
  <c r="K141" i="146"/>
  <c r="L141" i="146" s="1"/>
  <c r="H141" i="146"/>
  <c r="G141" i="146"/>
  <c r="L140" i="146"/>
  <c r="M140" i="146" s="1"/>
  <c r="K140" i="146"/>
  <c r="G140" i="146"/>
  <c r="H140" i="146" s="1"/>
  <c r="O140" i="146" s="1"/>
  <c r="K139" i="146"/>
  <c r="L139" i="146" s="1"/>
  <c r="M139" i="146" s="1"/>
  <c r="H139" i="146"/>
  <c r="O139" i="146" s="1"/>
  <c r="G139" i="146"/>
  <c r="K138" i="146"/>
  <c r="L138" i="146" s="1"/>
  <c r="M138" i="146" s="1"/>
  <c r="G138" i="146"/>
  <c r="H138" i="146" s="1"/>
  <c r="M137" i="146"/>
  <c r="K137" i="146"/>
  <c r="L137" i="146" s="1"/>
  <c r="G137" i="146"/>
  <c r="H137" i="146" s="1"/>
  <c r="L136" i="146"/>
  <c r="M136" i="146" s="1"/>
  <c r="K136" i="146"/>
  <c r="G136" i="146"/>
  <c r="H136" i="146" s="1"/>
  <c r="K135" i="146"/>
  <c r="L135" i="146" s="1"/>
  <c r="M135" i="146" s="1"/>
  <c r="H135" i="146"/>
  <c r="O135" i="146" s="1"/>
  <c r="G135" i="146"/>
  <c r="L134" i="146"/>
  <c r="M134" i="146" s="1"/>
  <c r="K134" i="146"/>
  <c r="G134" i="146"/>
  <c r="H134" i="146" s="1"/>
  <c r="O134" i="146" s="1"/>
  <c r="K133" i="146"/>
  <c r="L133" i="146" s="1"/>
  <c r="M133" i="146" s="1"/>
  <c r="O133" i="146" s="1"/>
  <c r="H133" i="146"/>
  <c r="G133" i="146"/>
  <c r="L132" i="146"/>
  <c r="M132" i="146" s="1"/>
  <c r="K132" i="146"/>
  <c r="G132" i="146"/>
  <c r="H132" i="146" s="1"/>
  <c r="O132" i="146" s="1"/>
  <c r="M131" i="146"/>
  <c r="O131" i="146" s="1"/>
  <c r="K131" i="146"/>
  <c r="L131" i="146" s="1"/>
  <c r="H131" i="146"/>
  <c r="G131" i="146"/>
  <c r="L130" i="146"/>
  <c r="M130" i="146" s="1"/>
  <c r="K130" i="146"/>
  <c r="G130" i="146"/>
  <c r="H130" i="146" s="1"/>
  <c r="M129" i="146"/>
  <c r="K129" i="146"/>
  <c r="L129" i="146" s="1"/>
  <c r="H129" i="146"/>
  <c r="G129" i="146"/>
  <c r="L128" i="146"/>
  <c r="M128" i="146" s="1"/>
  <c r="K128" i="146"/>
  <c r="G128" i="146"/>
  <c r="H128" i="146" s="1"/>
  <c r="O128" i="146" s="1"/>
  <c r="K127" i="146"/>
  <c r="L127" i="146" s="1"/>
  <c r="M127" i="146" s="1"/>
  <c r="H127" i="146"/>
  <c r="O127" i="146" s="1"/>
  <c r="G127" i="146"/>
  <c r="L126" i="146"/>
  <c r="M126" i="146" s="1"/>
  <c r="K126" i="146"/>
  <c r="G126" i="146"/>
  <c r="H126" i="146" s="1"/>
  <c r="M125" i="146"/>
  <c r="K125" i="146"/>
  <c r="L125" i="146" s="1"/>
  <c r="H125" i="146"/>
  <c r="O125" i="146" s="1"/>
  <c r="G125" i="146"/>
  <c r="L124" i="146"/>
  <c r="M124" i="146" s="1"/>
  <c r="K124" i="146"/>
  <c r="G124" i="146"/>
  <c r="H124" i="146" s="1"/>
  <c r="O123" i="146"/>
  <c r="M123" i="146"/>
  <c r="K123" i="146"/>
  <c r="L123" i="146" s="1"/>
  <c r="H123" i="146"/>
  <c r="G123" i="146"/>
  <c r="L122" i="146"/>
  <c r="M122" i="146" s="1"/>
  <c r="K122" i="146"/>
  <c r="G122" i="146"/>
  <c r="H122" i="146" s="1"/>
  <c r="K121" i="146"/>
  <c r="L121" i="146" s="1"/>
  <c r="M121" i="146" s="1"/>
  <c r="H121" i="146"/>
  <c r="G121" i="146"/>
  <c r="L120" i="146"/>
  <c r="M120" i="146" s="1"/>
  <c r="K120" i="146"/>
  <c r="G120" i="146"/>
  <c r="H120" i="146" s="1"/>
  <c r="K119" i="146"/>
  <c r="L119" i="146" s="1"/>
  <c r="M119" i="146" s="1"/>
  <c r="H119" i="146"/>
  <c r="O119" i="146" s="1"/>
  <c r="G119" i="146"/>
  <c r="L118" i="146"/>
  <c r="M118" i="146" s="1"/>
  <c r="K118" i="146"/>
  <c r="G118" i="146"/>
  <c r="H118" i="146" s="1"/>
  <c r="O118" i="146" s="1"/>
  <c r="K117" i="146"/>
  <c r="L117" i="146" s="1"/>
  <c r="M117" i="146" s="1"/>
  <c r="H117" i="146"/>
  <c r="G117" i="146"/>
  <c r="L116" i="146"/>
  <c r="M116" i="146" s="1"/>
  <c r="K116" i="146"/>
  <c r="G116" i="146"/>
  <c r="H116" i="146" s="1"/>
  <c r="O116" i="146" s="1"/>
  <c r="O115" i="146"/>
  <c r="M115" i="146"/>
  <c r="K115" i="146"/>
  <c r="L115" i="146" s="1"/>
  <c r="H115" i="146"/>
  <c r="G115" i="146"/>
  <c r="L114" i="146"/>
  <c r="M114" i="146" s="1"/>
  <c r="K114" i="146"/>
  <c r="G114" i="146"/>
  <c r="H114" i="146" s="1"/>
  <c r="O114" i="146" s="1"/>
  <c r="K113" i="146"/>
  <c r="L113" i="146" s="1"/>
  <c r="M113" i="146" s="1"/>
  <c r="H113" i="146"/>
  <c r="G113" i="146"/>
  <c r="L112" i="146"/>
  <c r="M112" i="146" s="1"/>
  <c r="K112" i="146"/>
  <c r="G112" i="146"/>
  <c r="H112" i="146" s="1"/>
  <c r="O111" i="146"/>
  <c r="K111" i="146"/>
  <c r="L111" i="146" s="1"/>
  <c r="M111" i="146" s="1"/>
  <c r="H111" i="146"/>
  <c r="G111" i="146"/>
  <c r="L110" i="146"/>
  <c r="M110" i="146" s="1"/>
  <c r="K110" i="146"/>
  <c r="G110" i="146"/>
  <c r="H110" i="146" s="1"/>
  <c r="O110" i="146" s="1"/>
  <c r="M109" i="146"/>
  <c r="K109" i="146"/>
  <c r="L109" i="146" s="1"/>
  <c r="H109" i="146"/>
  <c r="O109" i="146" s="1"/>
  <c r="G109" i="146"/>
  <c r="L108" i="146"/>
  <c r="M108" i="146" s="1"/>
  <c r="K108" i="146"/>
  <c r="G108" i="146"/>
  <c r="H108" i="146" s="1"/>
  <c r="O108" i="146" s="1"/>
  <c r="M107" i="146"/>
  <c r="O107" i="146" s="1"/>
  <c r="K107" i="146"/>
  <c r="L107" i="146" s="1"/>
  <c r="H107" i="146"/>
  <c r="G107" i="146"/>
  <c r="L106" i="146"/>
  <c r="M106" i="146" s="1"/>
  <c r="K106" i="146"/>
  <c r="G106" i="146"/>
  <c r="H106" i="146" s="1"/>
  <c r="K105" i="146"/>
  <c r="L105" i="146" s="1"/>
  <c r="M105" i="146" s="1"/>
  <c r="H105" i="146"/>
  <c r="O105" i="146" s="1"/>
  <c r="G105" i="146"/>
  <c r="L104" i="146"/>
  <c r="M104" i="146" s="1"/>
  <c r="K104" i="146"/>
  <c r="G104" i="146"/>
  <c r="H104" i="146" s="1"/>
  <c r="O104" i="146" s="1"/>
  <c r="K103" i="146"/>
  <c r="L103" i="146" s="1"/>
  <c r="M103" i="146" s="1"/>
  <c r="H103" i="146"/>
  <c r="O103" i="146" s="1"/>
  <c r="G103" i="146"/>
  <c r="L102" i="146"/>
  <c r="M102" i="146" s="1"/>
  <c r="K102" i="146"/>
  <c r="G102" i="146"/>
  <c r="H102" i="146" s="1"/>
  <c r="O102" i="146" s="1"/>
  <c r="M101" i="146"/>
  <c r="O101" i="146" s="1"/>
  <c r="K101" i="146"/>
  <c r="L101" i="146" s="1"/>
  <c r="H101" i="146"/>
  <c r="G101" i="146"/>
  <c r="L100" i="146"/>
  <c r="M100" i="146" s="1"/>
  <c r="K100" i="146"/>
  <c r="G100" i="146"/>
  <c r="H100" i="146" s="1"/>
  <c r="O99" i="146"/>
  <c r="M99" i="146"/>
  <c r="K99" i="146"/>
  <c r="L99" i="146" s="1"/>
  <c r="H99" i="146"/>
  <c r="G99" i="146"/>
  <c r="L98" i="146"/>
  <c r="M98" i="146" s="1"/>
  <c r="K98" i="146"/>
  <c r="G98" i="146"/>
  <c r="H98" i="146" s="1"/>
  <c r="M97" i="146"/>
  <c r="K97" i="146"/>
  <c r="L97" i="146" s="1"/>
  <c r="H97" i="146"/>
  <c r="O97" i="146" s="1"/>
  <c r="G97" i="146"/>
  <c r="L96" i="146"/>
  <c r="M96" i="146" s="1"/>
  <c r="K96" i="146"/>
  <c r="G96" i="146"/>
  <c r="H96" i="146" s="1"/>
  <c r="O96" i="146" s="1"/>
  <c r="K95" i="146"/>
  <c r="L95" i="146" s="1"/>
  <c r="M95" i="146" s="1"/>
  <c r="H95" i="146"/>
  <c r="O95" i="146" s="1"/>
  <c r="G95" i="146"/>
  <c r="L94" i="146"/>
  <c r="M94" i="146" s="1"/>
  <c r="K94" i="146"/>
  <c r="G94" i="146"/>
  <c r="H94" i="146" s="1"/>
  <c r="O94" i="146" s="1"/>
  <c r="M93" i="146"/>
  <c r="K93" i="146"/>
  <c r="L93" i="146" s="1"/>
  <c r="H93" i="146"/>
  <c r="O93" i="146" s="1"/>
  <c r="G93" i="146"/>
  <c r="L92" i="146"/>
  <c r="M92" i="146" s="1"/>
  <c r="K92" i="146"/>
  <c r="G92" i="146"/>
  <c r="H92" i="146" s="1"/>
  <c r="O92" i="146" s="1"/>
  <c r="O91" i="146"/>
  <c r="M91" i="146"/>
  <c r="K91" i="146"/>
  <c r="L91" i="146" s="1"/>
  <c r="H91" i="146"/>
  <c r="G91" i="146"/>
  <c r="L90" i="146"/>
  <c r="M90" i="146" s="1"/>
  <c r="K90" i="146"/>
  <c r="G90" i="146"/>
  <c r="H90" i="146" s="1"/>
  <c r="M89" i="146"/>
  <c r="K89" i="146"/>
  <c r="L89" i="146" s="1"/>
  <c r="H89" i="146"/>
  <c r="O89" i="146" s="1"/>
  <c r="G89" i="146"/>
  <c r="L88" i="146"/>
  <c r="M88" i="146" s="1"/>
  <c r="K88" i="146"/>
  <c r="G88" i="146"/>
  <c r="H88" i="146" s="1"/>
  <c r="O88" i="146" s="1"/>
  <c r="M87" i="146"/>
  <c r="K87" i="146"/>
  <c r="L87" i="146" s="1"/>
  <c r="H87" i="146"/>
  <c r="O87" i="146" s="1"/>
  <c r="G87" i="146"/>
  <c r="K86" i="146"/>
  <c r="L86" i="146" s="1"/>
  <c r="M86" i="146" s="1"/>
  <c r="G86" i="146"/>
  <c r="H86" i="146" s="1"/>
  <c r="O86" i="146" s="1"/>
  <c r="M85" i="146"/>
  <c r="K85" i="146"/>
  <c r="L85" i="146" s="1"/>
  <c r="H85" i="146"/>
  <c r="O85" i="146" s="1"/>
  <c r="G85" i="146"/>
  <c r="L84" i="146"/>
  <c r="M84" i="146" s="1"/>
  <c r="K84" i="146"/>
  <c r="G84" i="146"/>
  <c r="H84" i="146" s="1"/>
  <c r="O84" i="146" s="1"/>
  <c r="M83" i="146"/>
  <c r="L83" i="146"/>
  <c r="K83" i="146"/>
  <c r="H83" i="146"/>
  <c r="O83" i="146" s="1"/>
  <c r="G83" i="146"/>
  <c r="O82" i="146"/>
  <c r="L82" i="146"/>
  <c r="M82" i="146" s="1"/>
  <c r="K82" i="146"/>
  <c r="G82" i="146"/>
  <c r="H82" i="146" s="1"/>
  <c r="M81" i="146"/>
  <c r="K81" i="146"/>
  <c r="L81" i="146" s="1"/>
  <c r="H81" i="146"/>
  <c r="O81" i="146" s="1"/>
  <c r="G81" i="146"/>
  <c r="M80" i="146"/>
  <c r="L80" i="146"/>
  <c r="K80" i="146"/>
  <c r="G80" i="146"/>
  <c r="H80" i="146" s="1"/>
  <c r="M79" i="146"/>
  <c r="K79" i="146"/>
  <c r="L79" i="146" s="1"/>
  <c r="G79" i="146"/>
  <c r="H79" i="146" s="1"/>
  <c r="O79" i="146" s="1"/>
  <c r="L78" i="146"/>
  <c r="M78" i="146" s="1"/>
  <c r="K78" i="146"/>
  <c r="G78" i="146"/>
  <c r="H78" i="146" s="1"/>
  <c r="N77" i="146"/>
  <c r="K77" i="146"/>
  <c r="L77" i="146" s="1"/>
  <c r="M77" i="146" s="1"/>
  <c r="H77" i="146"/>
  <c r="G77" i="146"/>
  <c r="N76" i="146"/>
  <c r="L76" i="146"/>
  <c r="M76" i="146" s="1"/>
  <c r="K76" i="146"/>
  <c r="H76" i="146"/>
  <c r="G76" i="146"/>
  <c r="K75" i="146"/>
  <c r="L75" i="146" s="1"/>
  <c r="M75" i="146" s="1"/>
  <c r="H75" i="146"/>
  <c r="G75" i="146"/>
  <c r="N74" i="146"/>
  <c r="L74" i="146"/>
  <c r="M74" i="146" s="1"/>
  <c r="K74" i="146"/>
  <c r="G74" i="146"/>
  <c r="H74" i="146" s="1"/>
  <c r="O74" i="146" s="1"/>
  <c r="M73" i="146"/>
  <c r="K73" i="146"/>
  <c r="L73" i="146" s="1"/>
  <c r="H73" i="146"/>
  <c r="O73" i="146" s="1"/>
  <c r="G73" i="146"/>
  <c r="M72" i="146"/>
  <c r="L72" i="146"/>
  <c r="K72" i="146"/>
  <c r="G72" i="146"/>
  <c r="H72" i="146" s="1"/>
  <c r="M71" i="146"/>
  <c r="K71" i="146"/>
  <c r="L71" i="146" s="1"/>
  <c r="H71" i="146"/>
  <c r="O71" i="146" s="1"/>
  <c r="G71" i="146"/>
  <c r="K70" i="146"/>
  <c r="L70" i="146" s="1"/>
  <c r="M70" i="146" s="1"/>
  <c r="G70" i="146"/>
  <c r="H70" i="146" s="1"/>
  <c r="M69" i="146"/>
  <c r="K69" i="146"/>
  <c r="L69" i="146" s="1"/>
  <c r="H69" i="146"/>
  <c r="O69" i="146" s="1"/>
  <c r="G69" i="146"/>
  <c r="L68" i="146"/>
  <c r="M68" i="146" s="1"/>
  <c r="K68" i="146"/>
  <c r="G68" i="146"/>
  <c r="H68" i="146" s="1"/>
  <c r="O68" i="146" s="1"/>
  <c r="L67" i="146"/>
  <c r="M67" i="146" s="1"/>
  <c r="K67" i="146"/>
  <c r="H67" i="146"/>
  <c r="O67" i="146" s="1"/>
  <c r="G67" i="146"/>
  <c r="O66" i="146"/>
  <c r="M66" i="146"/>
  <c r="L66" i="146"/>
  <c r="K66" i="146"/>
  <c r="H66" i="146"/>
  <c r="G66" i="146"/>
  <c r="K65" i="146"/>
  <c r="L65" i="146" s="1"/>
  <c r="M65" i="146" s="1"/>
  <c r="H65" i="146"/>
  <c r="O65" i="146" s="1"/>
  <c r="G65" i="146"/>
  <c r="K64" i="146"/>
  <c r="L64" i="146" s="1"/>
  <c r="M64" i="146" s="1"/>
  <c r="G64" i="146"/>
  <c r="H64" i="146" s="1"/>
  <c r="M63" i="146"/>
  <c r="O63" i="146" s="1"/>
  <c r="K63" i="146"/>
  <c r="L63" i="146" s="1"/>
  <c r="H63" i="146"/>
  <c r="G63" i="146"/>
  <c r="N62" i="146"/>
  <c r="L62" i="146"/>
  <c r="M62" i="146" s="1"/>
  <c r="K62" i="146"/>
  <c r="G62" i="146"/>
  <c r="H62" i="146" s="1"/>
  <c r="O62" i="146" s="1"/>
  <c r="M61" i="146"/>
  <c r="L61" i="146"/>
  <c r="K61" i="146"/>
  <c r="H61" i="146"/>
  <c r="O61" i="146" s="1"/>
  <c r="G61" i="146"/>
  <c r="K60" i="146"/>
  <c r="L60" i="146" s="1"/>
  <c r="M60" i="146" s="1"/>
  <c r="H60" i="146"/>
  <c r="G60" i="146"/>
  <c r="K59" i="146"/>
  <c r="L59" i="146" s="1"/>
  <c r="M59" i="146" s="1"/>
  <c r="H59" i="146"/>
  <c r="G59" i="146"/>
  <c r="N58" i="146"/>
  <c r="L58" i="146"/>
  <c r="M58" i="146" s="1"/>
  <c r="K58" i="146"/>
  <c r="G58" i="146"/>
  <c r="H58" i="146" s="1"/>
  <c r="M57" i="146"/>
  <c r="L57" i="146"/>
  <c r="K57" i="146"/>
  <c r="G57" i="146"/>
  <c r="H57" i="146" s="1"/>
  <c r="O57" i="146" s="1"/>
  <c r="L56" i="146"/>
  <c r="M56" i="146" s="1"/>
  <c r="K56" i="146"/>
  <c r="G56" i="146"/>
  <c r="H56" i="146" s="1"/>
  <c r="M55" i="146"/>
  <c r="O55" i="146" s="1"/>
  <c r="K55" i="146"/>
  <c r="L55" i="146" s="1"/>
  <c r="H55" i="146"/>
  <c r="G55" i="146"/>
  <c r="M54" i="146"/>
  <c r="L54" i="146"/>
  <c r="K54" i="146"/>
  <c r="G54" i="146"/>
  <c r="H54" i="146" s="1"/>
  <c r="O54" i="146" s="1"/>
  <c r="K53" i="146"/>
  <c r="L53" i="146" s="1"/>
  <c r="M53" i="146" s="1"/>
  <c r="H53" i="146"/>
  <c r="O53" i="146" s="1"/>
  <c r="G53" i="146"/>
  <c r="N52" i="146"/>
  <c r="L52" i="146"/>
  <c r="M52" i="146" s="1"/>
  <c r="K52" i="146"/>
  <c r="G52" i="146"/>
  <c r="H52" i="146" s="1"/>
  <c r="K51" i="146"/>
  <c r="L51" i="146" s="1"/>
  <c r="M51" i="146" s="1"/>
  <c r="H51" i="146"/>
  <c r="O51" i="146" s="1"/>
  <c r="G51" i="146"/>
  <c r="L50" i="146"/>
  <c r="M50" i="146" s="1"/>
  <c r="K50" i="146"/>
  <c r="H50" i="146"/>
  <c r="G50" i="146"/>
  <c r="O49" i="146"/>
  <c r="M49" i="146"/>
  <c r="L49" i="146"/>
  <c r="K49" i="146"/>
  <c r="H49" i="146"/>
  <c r="G49" i="146"/>
  <c r="L48" i="146"/>
  <c r="M48" i="146" s="1"/>
  <c r="K48" i="146"/>
  <c r="G48" i="146"/>
  <c r="H48" i="146" s="1"/>
  <c r="O48" i="146" s="1"/>
  <c r="K47" i="146"/>
  <c r="L47" i="146" s="1"/>
  <c r="M47" i="146" s="1"/>
  <c r="O47" i="146" s="1"/>
  <c r="H47" i="146"/>
  <c r="G47" i="146"/>
  <c r="M46" i="146"/>
  <c r="L46" i="146"/>
  <c r="K46" i="146"/>
  <c r="G46" i="146"/>
  <c r="H46" i="146" s="1"/>
  <c r="O46" i="146" s="1"/>
  <c r="K45" i="146"/>
  <c r="L45" i="146" s="1"/>
  <c r="M45" i="146" s="1"/>
  <c r="H45" i="146"/>
  <c r="G45" i="146"/>
  <c r="N44" i="146"/>
  <c r="L44" i="146"/>
  <c r="M44" i="146" s="1"/>
  <c r="K44" i="146"/>
  <c r="G44" i="146"/>
  <c r="H44" i="146" s="1"/>
  <c r="O44" i="146" s="1"/>
  <c r="K43" i="146"/>
  <c r="L43" i="146" s="1"/>
  <c r="M43" i="146" s="1"/>
  <c r="H43" i="146"/>
  <c r="G43" i="146"/>
  <c r="L42" i="146"/>
  <c r="M42" i="146" s="1"/>
  <c r="K42" i="146"/>
  <c r="H42" i="146"/>
  <c r="O42" i="146" s="1"/>
  <c r="G42" i="146"/>
  <c r="O41" i="146"/>
  <c r="M41" i="146"/>
  <c r="L41" i="146"/>
  <c r="K41" i="146"/>
  <c r="H41" i="146"/>
  <c r="G41" i="146"/>
  <c r="L40" i="146"/>
  <c r="M40" i="146" s="1"/>
  <c r="K40" i="146"/>
  <c r="G40" i="146"/>
  <c r="H40" i="146" s="1"/>
  <c r="K39" i="146"/>
  <c r="L39" i="146" s="1"/>
  <c r="M39" i="146" s="1"/>
  <c r="O39" i="146" s="1"/>
  <c r="H39" i="146"/>
  <c r="G39" i="146"/>
  <c r="M38" i="146"/>
  <c r="L38" i="146"/>
  <c r="K38" i="146"/>
  <c r="G38" i="146"/>
  <c r="H38" i="146" s="1"/>
  <c r="O38" i="146" s="1"/>
  <c r="K37" i="146"/>
  <c r="L37" i="146" s="1"/>
  <c r="M37" i="146" s="1"/>
  <c r="H37" i="146"/>
  <c r="O37" i="146" s="1"/>
  <c r="G37" i="146"/>
  <c r="N36" i="146"/>
  <c r="L36" i="146"/>
  <c r="M36" i="146" s="1"/>
  <c r="K36" i="146"/>
  <c r="G36" i="146"/>
  <c r="H36" i="146" s="1"/>
  <c r="K35" i="146"/>
  <c r="L35" i="146" s="1"/>
  <c r="M35" i="146" s="1"/>
  <c r="H35" i="146"/>
  <c r="O35" i="146" s="1"/>
  <c r="G35" i="146"/>
  <c r="L34" i="146"/>
  <c r="M34" i="146" s="1"/>
  <c r="K34" i="146"/>
  <c r="H34" i="146"/>
  <c r="G34" i="146"/>
  <c r="O33" i="146"/>
  <c r="M33" i="146"/>
  <c r="L33" i="146"/>
  <c r="K33" i="146"/>
  <c r="H33" i="146"/>
  <c r="G33" i="146"/>
  <c r="L32" i="146"/>
  <c r="M32" i="146" s="1"/>
  <c r="K32" i="146"/>
  <c r="G32" i="146"/>
  <c r="H32" i="146" s="1"/>
  <c r="O32" i="146" s="1"/>
  <c r="K31" i="146"/>
  <c r="L31" i="146" s="1"/>
  <c r="M31" i="146" s="1"/>
  <c r="O31" i="146" s="1"/>
  <c r="H31" i="146"/>
  <c r="G31" i="146"/>
  <c r="M30" i="146"/>
  <c r="L30" i="146"/>
  <c r="K30" i="146"/>
  <c r="G30" i="146"/>
  <c r="H30" i="146" s="1"/>
  <c r="O30" i="146" s="1"/>
  <c r="K29" i="146"/>
  <c r="L29" i="146" s="1"/>
  <c r="M29" i="146" s="1"/>
  <c r="H29" i="146"/>
  <c r="G29" i="146"/>
  <c r="N28" i="146"/>
  <c r="L28" i="146"/>
  <c r="M28" i="146" s="1"/>
  <c r="K28" i="146"/>
  <c r="G28" i="146"/>
  <c r="H28" i="146" s="1"/>
  <c r="O28" i="146" s="1"/>
  <c r="L27" i="146"/>
  <c r="M27" i="146" s="1"/>
  <c r="K27" i="146"/>
  <c r="G27" i="146"/>
  <c r="H27" i="146" s="1"/>
  <c r="N26" i="146"/>
  <c r="L26" i="146"/>
  <c r="M26" i="146" s="1"/>
  <c r="K26" i="146"/>
  <c r="G26" i="146"/>
  <c r="H26" i="146" s="1"/>
  <c r="L25" i="146"/>
  <c r="M25" i="146" s="1"/>
  <c r="K25" i="146"/>
  <c r="H25" i="146"/>
  <c r="O25" i="146" s="1"/>
  <c r="G25" i="146"/>
  <c r="N24" i="146"/>
  <c r="M24" i="146"/>
  <c r="L24" i="146"/>
  <c r="K24" i="146"/>
  <c r="H24" i="146"/>
  <c r="O24" i="146" s="1"/>
  <c r="G24" i="146"/>
  <c r="M23" i="146"/>
  <c r="L23" i="146"/>
  <c r="K23" i="146"/>
  <c r="I23" i="146"/>
  <c r="H23" i="146"/>
  <c r="O23" i="146" s="1"/>
  <c r="G23" i="146"/>
  <c r="N22" i="146"/>
  <c r="M22" i="146"/>
  <c r="L22" i="146"/>
  <c r="K22" i="146"/>
  <c r="H22" i="146"/>
  <c r="O22" i="146" s="1"/>
  <c r="G22" i="146"/>
  <c r="M21" i="146"/>
  <c r="L21" i="146"/>
  <c r="K21" i="146"/>
  <c r="H21" i="146"/>
  <c r="O21" i="146" s="1"/>
  <c r="G21" i="146"/>
  <c r="N20" i="146"/>
  <c r="M20" i="146"/>
  <c r="L20" i="146"/>
  <c r="K20" i="146"/>
  <c r="H20" i="146"/>
  <c r="O20" i="146" s="1"/>
  <c r="G20" i="146"/>
  <c r="M19" i="146"/>
  <c r="L19" i="146"/>
  <c r="K19" i="146"/>
  <c r="H19" i="146"/>
  <c r="O19" i="146" s="1"/>
  <c r="G19" i="146"/>
  <c r="N18" i="146"/>
  <c r="M18" i="146"/>
  <c r="L18" i="146"/>
  <c r="K18" i="146"/>
  <c r="H18" i="146"/>
  <c r="O18" i="146" s="1"/>
  <c r="G18" i="146"/>
  <c r="M17" i="146"/>
  <c r="L17" i="146"/>
  <c r="K17" i="146"/>
  <c r="H17" i="146"/>
  <c r="O17" i="146" s="1"/>
  <c r="G17" i="146"/>
  <c r="N16" i="146"/>
  <c r="M16" i="146"/>
  <c r="L16" i="146"/>
  <c r="K16" i="146"/>
  <c r="H16" i="146"/>
  <c r="O16" i="146" s="1"/>
  <c r="G16" i="146"/>
  <c r="B16" i="146"/>
  <c r="M15" i="146"/>
  <c r="N104" i="146" s="1"/>
  <c r="L15" i="146"/>
  <c r="K15" i="146"/>
  <c r="H15" i="146"/>
  <c r="I48" i="146" s="1"/>
  <c r="G15" i="146"/>
  <c r="C15" i="146"/>
  <c r="O46" i="145"/>
  <c r="N46" i="145"/>
  <c r="O45" i="145"/>
  <c r="N45" i="145"/>
  <c r="O44" i="145"/>
  <c r="N44" i="145"/>
  <c r="O43" i="145"/>
  <c r="N43" i="145"/>
  <c r="O42" i="145"/>
  <c r="N42" i="145"/>
  <c r="O41" i="145"/>
  <c r="N41" i="145"/>
  <c r="O40" i="145"/>
  <c r="N40" i="145"/>
  <c r="O39" i="145"/>
  <c r="N39" i="145"/>
  <c r="O38" i="145"/>
  <c r="N38" i="145"/>
  <c r="O37" i="145"/>
  <c r="N37" i="145"/>
  <c r="O36" i="145"/>
  <c r="N36" i="145"/>
  <c r="O35" i="145"/>
  <c r="N35" i="145"/>
  <c r="O34" i="145"/>
  <c r="N34" i="145"/>
  <c r="O33" i="145"/>
  <c r="N33" i="145"/>
  <c r="O32" i="145"/>
  <c r="N32" i="145"/>
  <c r="O31" i="145"/>
  <c r="N31" i="145"/>
  <c r="O30" i="145"/>
  <c r="N30" i="145"/>
  <c r="O29" i="145"/>
  <c r="N29" i="145"/>
  <c r="O28" i="145"/>
  <c r="N28" i="145"/>
  <c r="O27" i="145"/>
  <c r="N27" i="145"/>
  <c r="O26" i="145"/>
  <c r="N26" i="145"/>
  <c r="O25" i="145"/>
  <c r="N25" i="145"/>
  <c r="O24" i="145"/>
  <c r="N24" i="145"/>
  <c r="O23" i="145"/>
  <c r="N23" i="145"/>
  <c r="O22" i="145"/>
  <c r="N22" i="145"/>
  <c r="O21" i="145"/>
  <c r="N21" i="145"/>
  <c r="O20" i="145"/>
  <c r="N20" i="145"/>
  <c r="O19" i="145"/>
  <c r="N19" i="145"/>
  <c r="O18" i="145"/>
  <c r="N18" i="145"/>
  <c r="O17" i="145"/>
  <c r="N17" i="145"/>
  <c r="O16" i="145"/>
  <c r="N16" i="145"/>
  <c r="O15" i="145"/>
  <c r="N15" i="145"/>
  <c r="O14" i="145"/>
  <c r="N14" i="145"/>
  <c r="O13" i="145"/>
  <c r="N13" i="145"/>
  <c r="O12" i="145"/>
  <c r="N12" i="145"/>
  <c r="O11" i="145"/>
  <c r="N11" i="145"/>
  <c r="O10" i="145"/>
  <c r="N10" i="145"/>
  <c r="N47" i="145" s="1"/>
  <c r="O771" i="144"/>
  <c r="N771" i="144"/>
  <c r="B771" i="144"/>
  <c r="N770" i="144"/>
  <c r="O770" i="144" s="1"/>
  <c r="B770" i="144"/>
  <c r="B769" i="144"/>
  <c r="N769" i="144" s="1"/>
  <c r="O769" i="144" s="1"/>
  <c r="B768" i="144"/>
  <c r="N768" i="144" s="1"/>
  <c r="O768" i="144" s="1"/>
  <c r="O767" i="144"/>
  <c r="N767" i="144"/>
  <c r="B767" i="144"/>
  <c r="O766" i="144"/>
  <c r="N766" i="144"/>
  <c r="B766" i="144"/>
  <c r="B765" i="144"/>
  <c r="N765" i="144" s="1"/>
  <c r="O765" i="144" s="1"/>
  <c r="B764" i="144"/>
  <c r="N764" i="144" s="1"/>
  <c r="O764" i="144" s="1"/>
  <c r="O763" i="144"/>
  <c r="N763" i="144"/>
  <c r="B763" i="144"/>
  <c r="O762" i="144"/>
  <c r="N762" i="144"/>
  <c r="B762" i="144"/>
  <c r="N761" i="144"/>
  <c r="O761" i="144" s="1"/>
  <c r="B761" i="144"/>
  <c r="B760" i="144"/>
  <c r="N760" i="144" s="1"/>
  <c r="O760" i="144" s="1"/>
  <c r="O759" i="144"/>
  <c r="N759" i="144"/>
  <c r="B759" i="144"/>
  <c r="N758" i="144"/>
  <c r="O758" i="144" s="1"/>
  <c r="B758" i="144"/>
  <c r="B757" i="144"/>
  <c r="N757" i="144" s="1"/>
  <c r="O757" i="144" s="1"/>
  <c r="B756" i="144"/>
  <c r="N756" i="144" s="1"/>
  <c r="O756" i="144" s="1"/>
  <c r="O755" i="144"/>
  <c r="N755" i="144"/>
  <c r="B755" i="144"/>
  <c r="N754" i="144"/>
  <c r="O754" i="144" s="1"/>
  <c r="B754" i="144"/>
  <c r="N753" i="144"/>
  <c r="O753" i="144" s="1"/>
  <c r="B753" i="144"/>
  <c r="B752" i="144"/>
  <c r="N752" i="144" s="1"/>
  <c r="O752" i="144" s="1"/>
  <c r="O751" i="144"/>
  <c r="N751" i="144"/>
  <c r="B751" i="144"/>
  <c r="O750" i="144"/>
  <c r="N750" i="144"/>
  <c r="B750" i="144"/>
  <c r="B749" i="144"/>
  <c r="N749" i="144" s="1"/>
  <c r="O749" i="144" s="1"/>
  <c r="B748" i="144"/>
  <c r="N748" i="144" s="1"/>
  <c r="O748" i="144" s="1"/>
  <c r="O747" i="144"/>
  <c r="N747" i="144"/>
  <c r="B747" i="144"/>
  <c r="N746" i="144"/>
  <c r="O746" i="144" s="1"/>
  <c r="B746" i="144"/>
  <c r="N745" i="144"/>
  <c r="O745" i="144" s="1"/>
  <c r="B745" i="144"/>
  <c r="B744" i="144"/>
  <c r="N744" i="144" s="1"/>
  <c r="O744" i="144" s="1"/>
  <c r="O743" i="144"/>
  <c r="N743" i="144"/>
  <c r="B743" i="144"/>
  <c r="O742" i="144"/>
  <c r="N742" i="144"/>
  <c r="B742" i="144"/>
  <c r="N741" i="144"/>
  <c r="O741" i="144" s="1"/>
  <c r="B741" i="144"/>
  <c r="B740" i="144"/>
  <c r="N740" i="144" s="1"/>
  <c r="O740" i="144" s="1"/>
  <c r="O739" i="144"/>
  <c r="N739" i="144"/>
  <c r="B739" i="144"/>
  <c r="N738" i="144"/>
  <c r="O738" i="144" s="1"/>
  <c r="B738" i="144"/>
  <c r="B737" i="144"/>
  <c r="N737" i="144" s="1"/>
  <c r="O737" i="144" s="1"/>
  <c r="B736" i="144"/>
  <c r="N736" i="144" s="1"/>
  <c r="O736" i="144" s="1"/>
  <c r="O735" i="144"/>
  <c r="N735" i="144"/>
  <c r="B735" i="144"/>
  <c r="O734" i="144"/>
  <c r="N734" i="144"/>
  <c r="B734" i="144"/>
  <c r="B733" i="144"/>
  <c r="N733" i="144" s="1"/>
  <c r="O733" i="144" s="1"/>
  <c r="B732" i="144"/>
  <c r="N732" i="144" s="1"/>
  <c r="O732" i="144" s="1"/>
  <c r="O731" i="144"/>
  <c r="N731" i="144"/>
  <c r="B731" i="144"/>
  <c r="O730" i="144"/>
  <c r="N730" i="144"/>
  <c r="B730" i="144"/>
  <c r="N729" i="144"/>
  <c r="O729" i="144" s="1"/>
  <c r="B729" i="144"/>
  <c r="B728" i="144"/>
  <c r="N728" i="144" s="1"/>
  <c r="O728" i="144" s="1"/>
  <c r="O727" i="144"/>
  <c r="N727" i="144"/>
  <c r="B727" i="144"/>
  <c r="N726" i="144"/>
  <c r="O726" i="144" s="1"/>
  <c r="B726" i="144"/>
  <c r="B725" i="144"/>
  <c r="N725" i="144" s="1"/>
  <c r="O725" i="144" s="1"/>
  <c r="B724" i="144"/>
  <c r="N724" i="144" s="1"/>
  <c r="O724" i="144" s="1"/>
  <c r="O723" i="144"/>
  <c r="N723" i="144"/>
  <c r="B723" i="144"/>
  <c r="N722" i="144"/>
  <c r="O722" i="144" s="1"/>
  <c r="B722" i="144"/>
  <c r="N721" i="144"/>
  <c r="O721" i="144" s="1"/>
  <c r="B721" i="144"/>
  <c r="B720" i="144"/>
  <c r="N720" i="144" s="1"/>
  <c r="O720" i="144" s="1"/>
  <c r="O719" i="144"/>
  <c r="N719" i="144"/>
  <c r="B719" i="144"/>
  <c r="O718" i="144"/>
  <c r="N718" i="144"/>
  <c r="B718" i="144"/>
  <c r="B717" i="144"/>
  <c r="N717" i="144" s="1"/>
  <c r="O717" i="144" s="1"/>
  <c r="O716" i="144"/>
  <c r="B716" i="144"/>
  <c r="N716" i="144" s="1"/>
  <c r="O715" i="144"/>
  <c r="N715" i="144"/>
  <c r="B715" i="144"/>
  <c r="B714" i="144"/>
  <c r="N714" i="144" s="1"/>
  <c r="O714" i="144" s="1"/>
  <c r="B713" i="144"/>
  <c r="N713" i="144" s="1"/>
  <c r="O713" i="144" s="1"/>
  <c r="B712" i="144"/>
  <c r="N712" i="144" s="1"/>
  <c r="O712" i="144" s="1"/>
  <c r="N711" i="144"/>
  <c r="O711" i="144" s="1"/>
  <c r="B711" i="144"/>
  <c r="O710" i="144"/>
  <c r="N710" i="144"/>
  <c r="B710" i="144"/>
  <c r="B709" i="144"/>
  <c r="N709" i="144" s="1"/>
  <c r="O709" i="144" s="1"/>
  <c r="N708" i="144"/>
  <c r="O708" i="144" s="1"/>
  <c r="B708" i="144"/>
  <c r="O707" i="144"/>
  <c r="N707" i="144"/>
  <c r="B707" i="144"/>
  <c r="N706" i="144"/>
  <c r="O706" i="144" s="1"/>
  <c r="B706" i="144"/>
  <c r="B705" i="144"/>
  <c r="N705" i="144" s="1"/>
  <c r="O705" i="144" s="1"/>
  <c r="B704" i="144"/>
  <c r="N704" i="144" s="1"/>
  <c r="O704" i="144" s="1"/>
  <c r="B703" i="144"/>
  <c r="N703" i="144" s="1"/>
  <c r="O703" i="144" s="1"/>
  <c r="N702" i="144"/>
  <c r="O702" i="144" s="1"/>
  <c r="B702" i="144"/>
  <c r="N701" i="144"/>
  <c r="O701" i="144" s="1"/>
  <c r="B701" i="144"/>
  <c r="B700" i="144"/>
  <c r="N700" i="144" s="1"/>
  <c r="O700" i="144" s="1"/>
  <c r="O699" i="144"/>
  <c r="N699" i="144"/>
  <c r="B699" i="144"/>
  <c r="O698" i="144"/>
  <c r="N698" i="144"/>
  <c r="B698" i="144"/>
  <c r="N697" i="144"/>
  <c r="O697" i="144" s="1"/>
  <c r="B697" i="144"/>
  <c r="B696" i="144"/>
  <c r="N696" i="144" s="1"/>
  <c r="O696" i="144" s="1"/>
  <c r="N695" i="144"/>
  <c r="O695" i="144" s="1"/>
  <c r="B695" i="144"/>
  <c r="N694" i="144"/>
  <c r="O694" i="144" s="1"/>
  <c r="B694" i="144"/>
  <c r="B693" i="144"/>
  <c r="N693" i="144" s="1"/>
  <c r="O693" i="144" s="1"/>
  <c r="N692" i="144"/>
  <c r="O692" i="144" s="1"/>
  <c r="B692" i="144"/>
  <c r="O691" i="144"/>
  <c r="N691" i="144"/>
  <c r="B691" i="144"/>
  <c r="N690" i="144"/>
  <c r="O690" i="144" s="1"/>
  <c r="B690" i="144"/>
  <c r="O689" i="144"/>
  <c r="N689" i="144"/>
  <c r="B689" i="144"/>
  <c r="B688" i="144"/>
  <c r="N688" i="144" s="1"/>
  <c r="O688" i="144" s="1"/>
  <c r="B687" i="144"/>
  <c r="N687" i="144" s="1"/>
  <c r="O687" i="144" s="1"/>
  <c r="N686" i="144"/>
  <c r="O686" i="144" s="1"/>
  <c r="B686" i="144"/>
  <c r="B685" i="144"/>
  <c r="N685" i="144" s="1"/>
  <c r="O685" i="144" s="1"/>
  <c r="B684" i="144"/>
  <c r="N684" i="144" s="1"/>
  <c r="O684" i="144" s="1"/>
  <c r="O683" i="144"/>
  <c r="N683" i="144"/>
  <c r="B683" i="144"/>
  <c r="B682" i="144"/>
  <c r="N682" i="144" s="1"/>
  <c r="O682" i="144" s="1"/>
  <c r="N681" i="144"/>
  <c r="O681" i="144" s="1"/>
  <c r="B681" i="144"/>
  <c r="B680" i="144"/>
  <c r="N680" i="144" s="1"/>
  <c r="O680" i="144" s="1"/>
  <c r="B679" i="144"/>
  <c r="N679" i="144" s="1"/>
  <c r="O679" i="144" s="1"/>
  <c r="O678" i="144"/>
  <c r="N678" i="144"/>
  <c r="B678" i="144"/>
  <c r="B677" i="144"/>
  <c r="N677" i="144" s="1"/>
  <c r="O677" i="144" s="1"/>
  <c r="B676" i="144"/>
  <c r="N676" i="144" s="1"/>
  <c r="O676" i="144" s="1"/>
  <c r="O675" i="144"/>
  <c r="N675" i="144"/>
  <c r="B675" i="144"/>
  <c r="N674" i="144"/>
  <c r="O674" i="144" s="1"/>
  <c r="B674" i="144"/>
  <c r="B673" i="144"/>
  <c r="N673" i="144" s="1"/>
  <c r="O673" i="144" s="1"/>
  <c r="B672" i="144"/>
  <c r="N672" i="144" s="1"/>
  <c r="O672" i="144" s="1"/>
  <c r="N671" i="144"/>
  <c r="O671" i="144" s="1"/>
  <c r="B671" i="144"/>
  <c r="B670" i="144"/>
  <c r="N670" i="144" s="1"/>
  <c r="O670" i="144" s="1"/>
  <c r="B669" i="144"/>
  <c r="N669" i="144" s="1"/>
  <c r="O669" i="144" s="1"/>
  <c r="N668" i="144"/>
  <c r="O668" i="144" s="1"/>
  <c r="B668" i="144"/>
  <c r="N667" i="144"/>
  <c r="O667" i="144" s="1"/>
  <c r="B667" i="144"/>
  <c r="N666" i="144"/>
  <c r="O666" i="144" s="1"/>
  <c r="B666" i="144"/>
  <c r="O665" i="144"/>
  <c r="N665" i="144"/>
  <c r="B665" i="144"/>
  <c r="B664" i="144"/>
  <c r="N664" i="144" s="1"/>
  <c r="O664" i="144" s="1"/>
  <c r="N663" i="144"/>
  <c r="O663" i="144" s="1"/>
  <c r="B663" i="144"/>
  <c r="O662" i="144"/>
  <c r="N662" i="144"/>
  <c r="B662" i="144"/>
  <c r="B661" i="144"/>
  <c r="N661" i="144" s="1"/>
  <c r="O661" i="144" s="1"/>
  <c r="N660" i="144"/>
  <c r="O660" i="144" s="1"/>
  <c r="B660" i="144"/>
  <c r="O659" i="144"/>
  <c r="N659" i="144"/>
  <c r="B659" i="144"/>
  <c r="N658" i="144"/>
  <c r="O658" i="144" s="1"/>
  <c r="B658" i="144"/>
  <c r="B657" i="144"/>
  <c r="N657" i="144" s="1"/>
  <c r="O657" i="144" s="1"/>
  <c r="O656" i="144"/>
  <c r="B656" i="144"/>
  <c r="N656" i="144" s="1"/>
  <c r="N655" i="144"/>
  <c r="O655" i="144" s="1"/>
  <c r="B655" i="144"/>
  <c r="B654" i="144"/>
  <c r="N654" i="144" s="1"/>
  <c r="O654" i="144" s="1"/>
  <c r="N653" i="144"/>
  <c r="O653" i="144" s="1"/>
  <c r="B653" i="144"/>
  <c r="N652" i="144"/>
  <c r="O652" i="144" s="1"/>
  <c r="B652" i="144"/>
  <c r="O651" i="144"/>
  <c r="N651" i="144"/>
  <c r="B651" i="144"/>
  <c r="B650" i="144"/>
  <c r="N650" i="144" s="1"/>
  <c r="O650" i="144" s="1"/>
  <c r="B649" i="144"/>
  <c r="N649" i="144" s="1"/>
  <c r="O649" i="144" s="1"/>
  <c r="B648" i="144"/>
  <c r="N648" i="144" s="1"/>
  <c r="O648" i="144" s="1"/>
  <c r="B647" i="144"/>
  <c r="N647" i="144" s="1"/>
  <c r="O647" i="144" s="1"/>
  <c r="B646" i="144"/>
  <c r="N646" i="144" s="1"/>
  <c r="O646" i="144" s="1"/>
  <c r="B645" i="144"/>
  <c r="N645" i="144" s="1"/>
  <c r="O645" i="144" s="1"/>
  <c r="B644" i="144"/>
  <c r="N644" i="144" s="1"/>
  <c r="O644" i="144" s="1"/>
  <c r="O643" i="144"/>
  <c r="N643" i="144"/>
  <c r="B643" i="144"/>
  <c r="N642" i="144"/>
  <c r="O642" i="144" s="1"/>
  <c r="B642" i="144"/>
  <c r="B641" i="144"/>
  <c r="N641" i="144" s="1"/>
  <c r="O641" i="144" s="1"/>
  <c r="B640" i="144"/>
  <c r="N640" i="144" s="1"/>
  <c r="O640" i="144" s="1"/>
  <c r="N639" i="144"/>
  <c r="O639" i="144" s="1"/>
  <c r="B639" i="144"/>
  <c r="B638" i="144"/>
  <c r="N638" i="144" s="1"/>
  <c r="O638" i="144" s="1"/>
  <c r="B637" i="144"/>
  <c r="N637" i="144" s="1"/>
  <c r="O637" i="144" s="1"/>
  <c r="N636" i="144"/>
  <c r="O636" i="144" s="1"/>
  <c r="B636" i="144"/>
  <c r="N635" i="144"/>
  <c r="O635" i="144" s="1"/>
  <c r="B635" i="144"/>
  <c r="N634" i="144"/>
  <c r="O634" i="144" s="1"/>
  <c r="B634" i="144"/>
  <c r="O633" i="144"/>
  <c r="N633" i="144"/>
  <c r="B633" i="144"/>
  <c r="B632" i="144"/>
  <c r="N632" i="144" s="1"/>
  <c r="O632" i="144" s="1"/>
  <c r="N631" i="144"/>
  <c r="O631" i="144" s="1"/>
  <c r="B631" i="144"/>
  <c r="O630" i="144"/>
  <c r="N630" i="144"/>
  <c r="B630" i="144"/>
  <c r="B629" i="144"/>
  <c r="N629" i="144" s="1"/>
  <c r="O629" i="144" s="1"/>
  <c r="N628" i="144"/>
  <c r="O628" i="144" s="1"/>
  <c r="B628" i="144"/>
  <c r="O627" i="144"/>
  <c r="N627" i="144"/>
  <c r="B627" i="144"/>
  <c r="N626" i="144"/>
  <c r="O626" i="144" s="1"/>
  <c r="B626" i="144"/>
  <c r="B625" i="144"/>
  <c r="N625" i="144" s="1"/>
  <c r="O625" i="144" s="1"/>
  <c r="O624" i="144"/>
  <c r="B624" i="144"/>
  <c r="N624" i="144" s="1"/>
  <c r="N623" i="144"/>
  <c r="O623" i="144" s="1"/>
  <c r="B623" i="144"/>
  <c r="B622" i="144"/>
  <c r="N622" i="144" s="1"/>
  <c r="O622" i="144" s="1"/>
  <c r="N621" i="144"/>
  <c r="O621" i="144" s="1"/>
  <c r="B621" i="144"/>
  <c r="N620" i="144"/>
  <c r="O620" i="144" s="1"/>
  <c r="B620" i="144"/>
  <c r="O619" i="144"/>
  <c r="N619" i="144"/>
  <c r="B619" i="144"/>
  <c r="B618" i="144"/>
  <c r="N618" i="144" s="1"/>
  <c r="O618" i="144" s="1"/>
  <c r="B617" i="144"/>
  <c r="N617" i="144" s="1"/>
  <c r="O617" i="144" s="1"/>
  <c r="B616" i="144"/>
  <c r="N616" i="144" s="1"/>
  <c r="O616" i="144" s="1"/>
  <c r="B615" i="144"/>
  <c r="N615" i="144" s="1"/>
  <c r="O615" i="144" s="1"/>
  <c r="B614" i="144"/>
  <c r="N614" i="144" s="1"/>
  <c r="O614" i="144" s="1"/>
  <c r="B613" i="144"/>
  <c r="N613" i="144" s="1"/>
  <c r="O613" i="144" s="1"/>
  <c r="B612" i="144"/>
  <c r="N612" i="144" s="1"/>
  <c r="O612" i="144" s="1"/>
  <c r="O611" i="144"/>
  <c r="N611" i="144"/>
  <c r="B611" i="144"/>
  <c r="N610" i="144"/>
  <c r="O610" i="144" s="1"/>
  <c r="B610" i="144"/>
  <c r="B609" i="144"/>
  <c r="N609" i="144" s="1"/>
  <c r="O609" i="144" s="1"/>
  <c r="N608" i="144"/>
  <c r="O608" i="144" s="1"/>
  <c r="B608" i="144"/>
  <c r="O607" i="144"/>
  <c r="N607" i="144"/>
  <c r="B607" i="144"/>
  <c r="N606" i="144"/>
  <c r="O606" i="144" s="1"/>
  <c r="B606" i="144"/>
  <c r="B605" i="144"/>
  <c r="N605" i="144" s="1"/>
  <c r="O605" i="144" s="1"/>
  <c r="B604" i="144"/>
  <c r="N604" i="144" s="1"/>
  <c r="O604" i="144" s="1"/>
  <c r="B603" i="144"/>
  <c r="N603" i="144" s="1"/>
  <c r="O603" i="144" s="1"/>
  <c r="N602" i="144"/>
  <c r="O602" i="144" s="1"/>
  <c r="B602" i="144"/>
  <c r="B601" i="144"/>
  <c r="N601" i="144" s="1"/>
  <c r="O601" i="144" s="1"/>
  <c r="N600" i="144"/>
  <c r="O600" i="144" s="1"/>
  <c r="B600" i="144"/>
  <c r="O599" i="144"/>
  <c r="N599" i="144"/>
  <c r="B599" i="144"/>
  <c r="N598" i="144"/>
  <c r="O598" i="144" s="1"/>
  <c r="B598" i="144"/>
  <c r="B597" i="144"/>
  <c r="N597" i="144" s="1"/>
  <c r="O597" i="144" s="1"/>
  <c r="B596" i="144"/>
  <c r="N596" i="144" s="1"/>
  <c r="O596" i="144" s="1"/>
  <c r="B595" i="144"/>
  <c r="N595" i="144" s="1"/>
  <c r="O595" i="144" s="1"/>
  <c r="N594" i="144"/>
  <c r="O594" i="144" s="1"/>
  <c r="B594" i="144"/>
  <c r="B593" i="144"/>
  <c r="N593" i="144" s="1"/>
  <c r="O593" i="144" s="1"/>
  <c r="N592" i="144"/>
  <c r="O592" i="144" s="1"/>
  <c r="B592" i="144"/>
  <c r="O591" i="144"/>
  <c r="N591" i="144"/>
  <c r="B591" i="144"/>
  <c r="N590" i="144"/>
  <c r="O590" i="144" s="1"/>
  <c r="B590" i="144"/>
  <c r="B589" i="144"/>
  <c r="N589" i="144" s="1"/>
  <c r="O589" i="144" s="1"/>
  <c r="B588" i="144"/>
  <c r="N588" i="144" s="1"/>
  <c r="O588" i="144" s="1"/>
  <c r="B587" i="144"/>
  <c r="N587" i="144" s="1"/>
  <c r="O587" i="144" s="1"/>
  <c r="N586" i="144"/>
  <c r="O586" i="144" s="1"/>
  <c r="B586" i="144"/>
  <c r="B585" i="144"/>
  <c r="N585" i="144" s="1"/>
  <c r="O585" i="144" s="1"/>
  <c r="N584" i="144"/>
  <c r="O584" i="144" s="1"/>
  <c r="B584" i="144"/>
  <c r="O583" i="144"/>
  <c r="N583" i="144"/>
  <c r="B583" i="144"/>
  <c r="N582" i="144"/>
  <c r="O582" i="144" s="1"/>
  <c r="B582" i="144"/>
  <c r="B581" i="144"/>
  <c r="N581" i="144" s="1"/>
  <c r="O581" i="144" s="1"/>
  <c r="B580" i="144"/>
  <c r="N580" i="144" s="1"/>
  <c r="O580" i="144" s="1"/>
  <c r="B579" i="144"/>
  <c r="N579" i="144" s="1"/>
  <c r="O579" i="144" s="1"/>
  <c r="N578" i="144"/>
  <c r="O578" i="144" s="1"/>
  <c r="B578" i="144"/>
  <c r="B577" i="144"/>
  <c r="N577" i="144" s="1"/>
  <c r="O577" i="144" s="1"/>
  <c r="N576" i="144"/>
  <c r="O576" i="144" s="1"/>
  <c r="B576" i="144"/>
  <c r="O575" i="144"/>
  <c r="N575" i="144"/>
  <c r="B575" i="144"/>
  <c r="N574" i="144"/>
  <c r="O574" i="144" s="1"/>
  <c r="B574" i="144"/>
  <c r="B573" i="144"/>
  <c r="N573" i="144" s="1"/>
  <c r="O573" i="144" s="1"/>
  <c r="B572" i="144"/>
  <c r="N572" i="144" s="1"/>
  <c r="O572" i="144" s="1"/>
  <c r="B571" i="144"/>
  <c r="N571" i="144" s="1"/>
  <c r="O571" i="144" s="1"/>
  <c r="N570" i="144"/>
  <c r="O570" i="144" s="1"/>
  <c r="B570" i="144"/>
  <c r="B569" i="144"/>
  <c r="N569" i="144" s="1"/>
  <c r="O569" i="144" s="1"/>
  <c r="N568" i="144"/>
  <c r="O568" i="144" s="1"/>
  <c r="B568" i="144"/>
  <c r="O567" i="144"/>
  <c r="N567" i="144"/>
  <c r="B567" i="144"/>
  <c r="N566" i="144"/>
  <c r="O566" i="144" s="1"/>
  <c r="B566" i="144"/>
  <c r="B565" i="144"/>
  <c r="N565" i="144" s="1"/>
  <c r="O565" i="144" s="1"/>
  <c r="B564" i="144"/>
  <c r="N564" i="144" s="1"/>
  <c r="O564" i="144" s="1"/>
  <c r="B563" i="144"/>
  <c r="N563" i="144" s="1"/>
  <c r="O563" i="144" s="1"/>
  <c r="N562" i="144"/>
  <c r="O562" i="144" s="1"/>
  <c r="B562" i="144"/>
  <c r="B561" i="144"/>
  <c r="N561" i="144" s="1"/>
  <c r="O561" i="144" s="1"/>
  <c r="N560" i="144"/>
  <c r="O560" i="144" s="1"/>
  <c r="B560" i="144"/>
  <c r="O559" i="144"/>
  <c r="N559" i="144"/>
  <c r="B559" i="144"/>
  <c r="N558" i="144"/>
  <c r="O558" i="144" s="1"/>
  <c r="B558" i="144"/>
  <c r="B557" i="144"/>
  <c r="N557" i="144" s="1"/>
  <c r="O557" i="144" s="1"/>
  <c r="B556" i="144"/>
  <c r="N556" i="144" s="1"/>
  <c r="O556" i="144" s="1"/>
  <c r="B555" i="144"/>
  <c r="N555" i="144" s="1"/>
  <c r="O555" i="144" s="1"/>
  <c r="N554" i="144"/>
  <c r="O554" i="144" s="1"/>
  <c r="B554" i="144"/>
  <c r="B553" i="144"/>
  <c r="N553" i="144" s="1"/>
  <c r="O553" i="144" s="1"/>
  <c r="N552" i="144"/>
  <c r="O552" i="144" s="1"/>
  <c r="B552" i="144"/>
  <c r="O551" i="144"/>
  <c r="N551" i="144"/>
  <c r="B551" i="144"/>
  <c r="N550" i="144"/>
  <c r="O550" i="144" s="1"/>
  <c r="B550" i="144"/>
  <c r="B549" i="144"/>
  <c r="N549" i="144" s="1"/>
  <c r="O549" i="144" s="1"/>
  <c r="O548" i="144"/>
  <c r="N548" i="144"/>
  <c r="B548" i="144"/>
  <c r="B547" i="144"/>
  <c r="N547" i="144" s="1"/>
  <c r="O547" i="144" s="1"/>
  <c r="N546" i="144"/>
  <c r="O546" i="144" s="1"/>
  <c r="B546" i="144"/>
  <c r="B545" i="144"/>
  <c r="N545" i="144" s="1"/>
  <c r="O545" i="144" s="1"/>
  <c r="N544" i="144"/>
  <c r="O544" i="144" s="1"/>
  <c r="B544" i="144"/>
  <c r="O543" i="144"/>
  <c r="N543" i="144"/>
  <c r="B543" i="144"/>
  <c r="N542" i="144"/>
  <c r="O542" i="144" s="1"/>
  <c r="B542" i="144"/>
  <c r="B541" i="144"/>
  <c r="N541" i="144" s="1"/>
  <c r="O541" i="144" s="1"/>
  <c r="B540" i="144"/>
  <c r="N540" i="144" s="1"/>
  <c r="O540" i="144" s="1"/>
  <c r="B539" i="144"/>
  <c r="N539" i="144" s="1"/>
  <c r="O539" i="144" s="1"/>
  <c r="N538" i="144"/>
  <c r="O538" i="144" s="1"/>
  <c r="B538" i="144"/>
  <c r="B537" i="144"/>
  <c r="N537" i="144" s="1"/>
  <c r="O537" i="144" s="1"/>
  <c r="N536" i="144"/>
  <c r="O536" i="144" s="1"/>
  <c r="B536" i="144"/>
  <c r="O535" i="144"/>
  <c r="N535" i="144"/>
  <c r="B535" i="144"/>
  <c r="N534" i="144"/>
  <c r="O534" i="144" s="1"/>
  <c r="B534" i="144"/>
  <c r="B533" i="144"/>
  <c r="N533" i="144" s="1"/>
  <c r="O533" i="144" s="1"/>
  <c r="B532" i="144"/>
  <c r="N532" i="144" s="1"/>
  <c r="O532" i="144" s="1"/>
  <c r="B531" i="144"/>
  <c r="N531" i="144" s="1"/>
  <c r="O531" i="144" s="1"/>
  <c r="N530" i="144"/>
  <c r="O530" i="144" s="1"/>
  <c r="B530" i="144"/>
  <c r="B529" i="144"/>
  <c r="N529" i="144" s="1"/>
  <c r="O529" i="144" s="1"/>
  <c r="N528" i="144"/>
  <c r="O528" i="144" s="1"/>
  <c r="B528" i="144"/>
  <c r="O527" i="144"/>
  <c r="N527" i="144"/>
  <c r="B527" i="144"/>
  <c r="N526" i="144"/>
  <c r="O526" i="144" s="1"/>
  <c r="B526" i="144"/>
  <c r="B525" i="144"/>
  <c r="N525" i="144" s="1"/>
  <c r="O525" i="144" s="1"/>
  <c r="B524" i="144"/>
  <c r="N524" i="144" s="1"/>
  <c r="O524" i="144" s="1"/>
  <c r="B523" i="144"/>
  <c r="N523" i="144" s="1"/>
  <c r="O523" i="144" s="1"/>
  <c r="N522" i="144"/>
  <c r="O522" i="144" s="1"/>
  <c r="B522" i="144"/>
  <c r="B521" i="144"/>
  <c r="N521" i="144" s="1"/>
  <c r="O521" i="144" s="1"/>
  <c r="N520" i="144"/>
  <c r="O520" i="144" s="1"/>
  <c r="B520" i="144"/>
  <c r="O519" i="144"/>
  <c r="N519" i="144"/>
  <c r="B519" i="144"/>
  <c r="N518" i="144"/>
  <c r="O518" i="144" s="1"/>
  <c r="B518" i="144"/>
  <c r="B517" i="144"/>
  <c r="N517" i="144" s="1"/>
  <c r="O517" i="144" s="1"/>
  <c r="B516" i="144"/>
  <c r="N516" i="144" s="1"/>
  <c r="O516" i="144" s="1"/>
  <c r="B515" i="144"/>
  <c r="N515" i="144" s="1"/>
  <c r="O515" i="144" s="1"/>
  <c r="N514" i="144"/>
  <c r="O514" i="144" s="1"/>
  <c r="B514" i="144"/>
  <c r="B513" i="144"/>
  <c r="N513" i="144" s="1"/>
  <c r="O513" i="144" s="1"/>
  <c r="N512" i="144"/>
  <c r="O512" i="144" s="1"/>
  <c r="B512" i="144"/>
  <c r="O511" i="144"/>
  <c r="N511" i="144"/>
  <c r="B511" i="144"/>
  <c r="N510" i="144"/>
  <c r="O510" i="144" s="1"/>
  <c r="B510" i="144"/>
  <c r="B509" i="144"/>
  <c r="N509" i="144" s="1"/>
  <c r="O509" i="144" s="1"/>
  <c r="B508" i="144"/>
  <c r="N508" i="144" s="1"/>
  <c r="O508" i="144" s="1"/>
  <c r="B507" i="144"/>
  <c r="N507" i="144" s="1"/>
  <c r="O507" i="144" s="1"/>
  <c r="N506" i="144"/>
  <c r="O506" i="144" s="1"/>
  <c r="B506" i="144"/>
  <c r="B505" i="144"/>
  <c r="N505" i="144" s="1"/>
  <c r="O505" i="144" s="1"/>
  <c r="N504" i="144"/>
  <c r="O504" i="144" s="1"/>
  <c r="B504" i="144"/>
  <c r="O503" i="144"/>
  <c r="N503" i="144"/>
  <c r="B503" i="144"/>
  <c r="N502" i="144"/>
  <c r="O502" i="144" s="1"/>
  <c r="B502" i="144"/>
  <c r="B501" i="144"/>
  <c r="N501" i="144" s="1"/>
  <c r="O501" i="144" s="1"/>
  <c r="B500" i="144"/>
  <c r="N500" i="144" s="1"/>
  <c r="O500" i="144" s="1"/>
  <c r="B499" i="144"/>
  <c r="N499" i="144" s="1"/>
  <c r="O499" i="144" s="1"/>
  <c r="N498" i="144"/>
  <c r="O498" i="144" s="1"/>
  <c r="B498" i="144"/>
  <c r="B497" i="144"/>
  <c r="N497" i="144" s="1"/>
  <c r="O497" i="144" s="1"/>
  <c r="N496" i="144"/>
  <c r="O496" i="144" s="1"/>
  <c r="B496" i="144"/>
  <c r="O495" i="144"/>
  <c r="N495" i="144"/>
  <c r="B495" i="144"/>
  <c r="N494" i="144"/>
  <c r="O494" i="144" s="1"/>
  <c r="B494" i="144"/>
  <c r="B493" i="144"/>
  <c r="N493" i="144" s="1"/>
  <c r="O493" i="144" s="1"/>
  <c r="O492" i="144"/>
  <c r="N492" i="144"/>
  <c r="B492" i="144"/>
  <c r="B491" i="144"/>
  <c r="N491" i="144" s="1"/>
  <c r="O491" i="144" s="1"/>
  <c r="N490" i="144"/>
  <c r="O490" i="144" s="1"/>
  <c r="B490" i="144"/>
  <c r="B489" i="144"/>
  <c r="N489" i="144" s="1"/>
  <c r="O489" i="144" s="1"/>
  <c r="N488" i="144"/>
  <c r="O488" i="144" s="1"/>
  <c r="B488" i="144"/>
  <c r="O487" i="144"/>
  <c r="N487" i="144"/>
  <c r="B487" i="144"/>
  <c r="N486" i="144"/>
  <c r="O486" i="144" s="1"/>
  <c r="B486" i="144"/>
  <c r="B485" i="144"/>
  <c r="N485" i="144" s="1"/>
  <c r="O485" i="144" s="1"/>
  <c r="B484" i="144"/>
  <c r="N484" i="144" s="1"/>
  <c r="O484" i="144" s="1"/>
  <c r="B483" i="144"/>
  <c r="N483" i="144" s="1"/>
  <c r="O483" i="144" s="1"/>
  <c r="N482" i="144"/>
  <c r="O482" i="144" s="1"/>
  <c r="B482" i="144"/>
  <c r="B481" i="144"/>
  <c r="N481" i="144" s="1"/>
  <c r="O481" i="144" s="1"/>
  <c r="N480" i="144"/>
  <c r="O480" i="144" s="1"/>
  <c r="B480" i="144"/>
  <c r="O479" i="144"/>
  <c r="N479" i="144"/>
  <c r="B479" i="144"/>
  <c r="N478" i="144"/>
  <c r="O478" i="144" s="1"/>
  <c r="B478" i="144"/>
  <c r="B477" i="144"/>
  <c r="N477" i="144" s="1"/>
  <c r="O477" i="144" s="1"/>
  <c r="B476" i="144"/>
  <c r="N476" i="144" s="1"/>
  <c r="O476" i="144" s="1"/>
  <c r="B475" i="144"/>
  <c r="N475" i="144" s="1"/>
  <c r="O475" i="144" s="1"/>
  <c r="N474" i="144"/>
  <c r="O474" i="144" s="1"/>
  <c r="B474" i="144"/>
  <c r="B473" i="144"/>
  <c r="N473" i="144" s="1"/>
  <c r="O473" i="144" s="1"/>
  <c r="N472" i="144"/>
  <c r="O472" i="144" s="1"/>
  <c r="B472" i="144"/>
  <c r="O471" i="144"/>
  <c r="N471" i="144"/>
  <c r="B471" i="144"/>
  <c r="N470" i="144"/>
  <c r="O470" i="144" s="1"/>
  <c r="B470" i="144"/>
  <c r="B469" i="144"/>
  <c r="N469" i="144" s="1"/>
  <c r="O469" i="144" s="1"/>
  <c r="O468" i="144"/>
  <c r="N468" i="144"/>
  <c r="B468" i="144"/>
  <c r="B467" i="144"/>
  <c r="N467" i="144" s="1"/>
  <c r="O467" i="144" s="1"/>
  <c r="N466" i="144"/>
  <c r="O466" i="144" s="1"/>
  <c r="B466" i="144"/>
  <c r="B465" i="144"/>
  <c r="N465" i="144" s="1"/>
  <c r="O465" i="144" s="1"/>
  <c r="N464" i="144"/>
  <c r="O464" i="144" s="1"/>
  <c r="B464" i="144"/>
  <c r="O463" i="144"/>
  <c r="N463" i="144"/>
  <c r="B463" i="144"/>
  <c r="N462" i="144"/>
  <c r="O462" i="144" s="1"/>
  <c r="B462" i="144"/>
  <c r="B461" i="144"/>
  <c r="N461" i="144" s="1"/>
  <c r="O461" i="144" s="1"/>
  <c r="O460" i="144"/>
  <c r="N460" i="144"/>
  <c r="B460" i="144"/>
  <c r="B459" i="144"/>
  <c r="N459" i="144" s="1"/>
  <c r="O459" i="144" s="1"/>
  <c r="N458" i="144"/>
  <c r="O458" i="144" s="1"/>
  <c r="B458" i="144"/>
  <c r="B457" i="144"/>
  <c r="N457" i="144" s="1"/>
  <c r="O457" i="144" s="1"/>
  <c r="N456" i="144"/>
  <c r="O456" i="144" s="1"/>
  <c r="B456" i="144"/>
  <c r="O455" i="144"/>
  <c r="N455" i="144"/>
  <c r="B455" i="144"/>
  <c r="N454" i="144"/>
  <c r="O454" i="144" s="1"/>
  <c r="B454" i="144"/>
  <c r="B453" i="144"/>
  <c r="N453" i="144" s="1"/>
  <c r="O453" i="144" s="1"/>
  <c r="B452" i="144"/>
  <c r="N452" i="144" s="1"/>
  <c r="O452" i="144" s="1"/>
  <c r="B451" i="144"/>
  <c r="N451" i="144" s="1"/>
  <c r="O451" i="144" s="1"/>
  <c r="N450" i="144"/>
  <c r="O450" i="144" s="1"/>
  <c r="B450" i="144"/>
  <c r="B449" i="144"/>
  <c r="N449" i="144" s="1"/>
  <c r="O449" i="144" s="1"/>
  <c r="N448" i="144"/>
  <c r="O448" i="144" s="1"/>
  <c r="B448" i="144"/>
  <c r="O447" i="144"/>
  <c r="N447" i="144"/>
  <c r="B447" i="144"/>
  <c r="N446" i="144"/>
  <c r="O446" i="144" s="1"/>
  <c r="B446" i="144"/>
  <c r="B445" i="144"/>
  <c r="N445" i="144" s="1"/>
  <c r="O445" i="144" s="1"/>
  <c r="B444" i="144"/>
  <c r="N444" i="144" s="1"/>
  <c r="O444" i="144" s="1"/>
  <c r="B443" i="144"/>
  <c r="N443" i="144" s="1"/>
  <c r="O443" i="144" s="1"/>
  <c r="N442" i="144"/>
  <c r="O442" i="144" s="1"/>
  <c r="B442" i="144"/>
  <c r="B441" i="144"/>
  <c r="N441" i="144" s="1"/>
  <c r="O441" i="144" s="1"/>
  <c r="N440" i="144"/>
  <c r="O440" i="144" s="1"/>
  <c r="B440" i="144"/>
  <c r="O439" i="144"/>
  <c r="N439" i="144"/>
  <c r="B439" i="144"/>
  <c r="N438" i="144"/>
  <c r="O438" i="144" s="1"/>
  <c r="B438" i="144"/>
  <c r="B437" i="144"/>
  <c r="N437" i="144" s="1"/>
  <c r="O437" i="144" s="1"/>
  <c r="B436" i="144"/>
  <c r="N436" i="144" s="1"/>
  <c r="O436" i="144" s="1"/>
  <c r="B435" i="144"/>
  <c r="N435" i="144" s="1"/>
  <c r="O435" i="144" s="1"/>
  <c r="N434" i="144"/>
  <c r="O434" i="144" s="1"/>
  <c r="B434" i="144"/>
  <c r="B433" i="144"/>
  <c r="N433" i="144" s="1"/>
  <c r="O433" i="144" s="1"/>
  <c r="N432" i="144"/>
  <c r="O432" i="144" s="1"/>
  <c r="B432" i="144"/>
  <c r="O431" i="144"/>
  <c r="N431" i="144"/>
  <c r="B431" i="144"/>
  <c r="N430" i="144"/>
  <c r="O430" i="144" s="1"/>
  <c r="B430" i="144"/>
  <c r="B429" i="144"/>
  <c r="N429" i="144" s="1"/>
  <c r="O429" i="144" s="1"/>
  <c r="O428" i="144"/>
  <c r="N428" i="144"/>
  <c r="B428" i="144"/>
  <c r="B427" i="144"/>
  <c r="N427" i="144" s="1"/>
  <c r="O427" i="144" s="1"/>
  <c r="N426" i="144"/>
  <c r="O426" i="144" s="1"/>
  <c r="B426" i="144"/>
  <c r="B425" i="144"/>
  <c r="N425" i="144" s="1"/>
  <c r="O425" i="144" s="1"/>
  <c r="N424" i="144"/>
  <c r="O424" i="144" s="1"/>
  <c r="B424" i="144"/>
  <c r="O423" i="144"/>
  <c r="N423" i="144"/>
  <c r="B423" i="144"/>
  <c r="N422" i="144"/>
  <c r="O422" i="144" s="1"/>
  <c r="B422" i="144"/>
  <c r="B421" i="144"/>
  <c r="N421" i="144" s="1"/>
  <c r="O421" i="144" s="1"/>
  <c r="B420" i="144"/>
  <c r="N420" i="144" s="1"/>
  <c r="O420" i="144" s="1"/>
  <c r="B419" i="144"/>
  <c r="N419" i="144" s="1"/>
  <c r="O419" i="144" s="1"/>
  <c r="N418" i="144"/>
  <c r="O418" i="144" s="1"/>
  <c r="B418" i="144"/>
  <c r="B417" i="144"/>
  <c r="N417" i="144" s="1"/>
  <c r="O417" i="144" s="1"/>
  <c r="N416" i="144"/>
  <c r="O416" i="144" s="1"/>
  <c r="B416" i="144"/>
  <c r="O415" i="144"/>
  <c r="N415" i="144"/>
  <c r="B415" i="144"/>
  <c r="N414" i="144"/>
  <c r="O414" i="144" s="1"/>
  <c r="B414" i="144"/>
  <c r="B413" i="144"/>
  <c r="N413" i="144" s="1"/>
  <c r="O413" i="144" s="1"/>
  <c r="B412" i="144"/>
  <c r="N412" i="144" s="1"/>
  <c r="O412" i="144" s="1"/>
  <c r="B411" i="144"/>
  <c r="N411" i="144" s="1"/>
  <c r="O411" i="144" s="1"/>
  <c r="N410" i="144"/>
  <c r="O410" i="144" s="1"/>
  <c r="B410" i="144"/>
  <c r="B409" i="144"/>
  <c r="N409" i="144" s="1"/>
  <c r="O409" i="144" s="1"/>
  <c r="N408" i="144"/>
  <c r="O408" i="144" s="1"/>
  <c r="B408" i="144"/>
  <c r="O407" i="144"/>
  <c r="N407" i="144"/>
  <c r="B407" i="144"/>
  <c r="N406" i="144"/>
  <c r="O406" i="144" s="1"/>
  <c r="B406" i="144"/>
  <c r="B405" i="144"/>
  <c r="N405" i="144" s="1"/>
  <c r="O405" i="144" s="1"/>
  <c r="B404" i="144"/>
  <c r="N404" i="144" s="1"/>
  <c r="O404" i="144" s="1"/>
  <c r="B403" i="144"/>
  <c r="N403" i="144" s="1"/>
  <c r="O403" i="144" s="1"/>
  <c r="N402" i="144"/>
  <c r="O402" i="144" s="1"/>
  <c r="B402" i="144"/>
  <c r="B401" i="144"/>
  <c r="N401" i="144" s="1"/>
  <c r="O401" i="144" s="1"/>
  <c r="N400" i="144"/>
  <c r="O400" i="144" s="1"/>
  <c r="B400" i="144"/>
  <c r="O399" i="144"/>
  <c r="N399" i="144"/>
  <c r="B399" i="144"/>
  <c r="N398" i="144"/>
  <c r="O398" i="144" s="1"/>
  <c r="B398" i="144"/>
  <c r="B397" i="144"/>
  <c r="N397" i="144" s="1"/>
  <c r="O397" i="144" s="1"/>
  <c r="B396" i="144"/>
  <c r="N396" i="144" s="1"/>
  <c r="O396" i="144" s="1"/>
  <c r="B395" i="144"/>
  <c r="N395" i="144" s="1"/>
  <c r="O395" i="144" s="1"/>
  <c r="N394" i="144"/>
  <c r="O394" i="144" s="1"/>
  <c r="B394" i="144"/>
  <c r="B393" i="144"/>
  <c r="N393" i="144" s="1"/>
  <c r="O393" i="144" s="1"/>
  <c r="N392" i="144"/>
  <c r="O392" i="144" s="1"/>
  <c r="B392" i="144"/>
  <c r="O391" i="144"/>
  <c r="N391" i="144"/>
  <c r="B391" i="144"/>
  <c r="N390" i="144"/>
  <c r="O390" i="144" s="1"/>
  <c r="B390" i="144"/>
  <c r="B389" i="144"/>
  <c r="N389" i="144" s="1"/>
  <c r="O389" i="144" s="1"/>
  <c r="B388" i="144"/>
  <c r="N388" i="144" s="1"/>
  <c r="O388" i="144" s="1"/>
  <c r="B387" i="144"/>
  <c r="N387" i="144" s="1"/>
  <c r="O387" i="144" s="1"/>
  <c r="N386" i="144"/>
  <c r="O386" i="144" s="1"/>
  <c r="B386" i="144"/>
  <c r="B385" i="144"/>
  <c r="N385" i="144" s="1"/>
  <c r="O385" i="144" s="1"/>
  <c r="N384" i="144"/>
  <c r="O384" i="144" s="1"/>
  <c r="B384" i="144"/>
  <c r="O383" i="144"/>
  <c r="N383" i="144"/>
  <c r="B383" i="144"/>
  <c r="N382" i="144"/>
  <c r="O382" i="144" s="1"/>
  <c r="B382" i="144"/>
  <c r="B381" i="144"/>
  <c r="N381" i="144" s="1"/>
  <c r="O381" i="144" s="1"/>
  <c r="O380" i="144"/>
  <c r="N380" i="144"/>
  <c r="B380" i="144"/>
  <c r="B379" i="144"/>
  <c r="N379" i="144" s="1"/>
  <c r="O379" i="144" s="1"/>
  <c r="N378" i="144"/>
  <c r="O378" i="144" s="1"/>
  <c r="B378" i="144"/>
  <c r="B377" i="144"/>
  <c r="N377" i="144" s="1"/>
  <c r="O377" i="144" s="1"/>
  <c r="N376" i="144"/>
  <c r="O376" i="144" s="1"/>
  <c r="B376" i="144"/>
  <c r="O375" i="144"/>
  <c r="N375" i="144"/>
  <c r="B375" i="144"/>
  <c r="N374" i="144"/>
  <c r="O374" i="144" s="1"/>
  <c r="B374" i="144"/>
  <c r="B373" i="144"/>
  <c r="N373" i="144" s="1"/>
  <c r="O373" i="144" s="1"/>
  <c r="O372" i="144"/>
  <c r="N372" i="144"/>
  <c r="B372" i="144"/>
  <c r="B371" i="144"/>
  <c r="N371" i="144" s="1"/>
  <c r="O371" i="144" s="1"/>
  <c r="N370" i="144"/>
  <c r="O370" i="144" s="1"/>
  <c r="B370" i="144"/>
  <c r="B369" i="144"/>
  <c r="N369" i="144" s="1"/>
  <c r="O369" i="144" s="1"/>
  <c r="N368" i="144"/>
  <c r="O368" i="144" s="1"/>
  <c r="B368" i="144"/>
  <c r="O367" i="144"/>
  <c r="N367" i="144"/>
  <c r="B367" i="144"/>
  <c r="N366" i="144"/>
  <c r="O366" i="144" s="1"/>
  <c r="B366" i="144"/>
  <c r="B365" i="144"/>
  <c r="N365" i="144" s="1"/>
  <c r="O365" i="144" s="1"/>
  <c r="O364" i="144"/>
  <c r="N364" i="144"/>
  <c r="B364" i="144"/>
  <c r="B363" i="144"/>
  <c r="N363" i="144" s="1"/>
  <c r="O363" i="144" s="1"/>
  <c r="N362" i="144"/>
  <c r="O362" i="144" s="1"/>
  <c r="B362" i="144"/>
  <c r="B361" i="144"/>
  <c r="N361" i="144" s="1"/>
  <c r="O361" i="144" s="1"/>
  <c r="N360" i="144"/>
  <c r="O360" i="144" s="1"/>
  <c r="B360" i="144"/>
  <c r="O359" i="144"/>
  <c r="N359" i="144"/>
  <c r="B359" i="144"/>
  <c r="N358" i="144"/>
  <c r="O358" i="144" s="1"/>
  <c r="B358" i="144"/>
  <c r="B357" i="144"/>
  <c r="N357" i="144" s="1"/>
  <c r="O357" i="144" s="1"/>
  <c r="B356" i="144"/>
  <c r="N356" i="144" s="1"/>
  <c r="O356" i="144" s="1"/>
  <c r="B355" i="144"/>
  <c r="N355" i="144" s="1"/>
  <c r="O355" i="144" s="1"/>
  <c r="N354" i="144"/>
  <c r="O354" i="144" s="1"/>
  <c r="B354" i="144"/>
  <c r="B353" i="144"/>
  <c r="N353" i="144" s="1"/>
  <c r="O353" i="144" s="1"/>
  <c r="N352" i="144"/>
  <c r="O352" i="144" s="1"/>
  <c r="B352" i="144"/>
  <c r="O351" i="144"/>
  <c r="N351" i="144"/>
  <c r="B351" i="144"/>
  <c r="N350" i="144"/>
  <c r="O350" i="144" s="1"/>
  <c r="B350" i="144"/>
  <c r="B349" i="144"/>
  <c r="N349" i="144" s="1"/>
  <c r="O349" i="144" s="1"/>
  <c r="B348" i="144"/>
  <c r="N348" i="144" s="1"/>
  <c r="O348" i="144" s="1"/>
  <c r="B347" i="144"/>
  <c r="N347" i="144" s="1"/>
  <c r="O347" i="144" s="1"/>
  <c r="N346" i="144"/>
  <c r="O346" i="144" s="1"/>
  <c r="B346" i="144"/>
  <c r="B345" i="144"/>
  <c r="N345" i="144" s="1"/>
  <c r="O345" i="144" s="1"/>
  <c r="N344" i="144"/>
  <c r="O344" i="144" s="1"/>
  <c r="B344" i="144"/>
  <c r="O343" i="144"/>
  <c r="N343" i="144"/>
  <c r="B343" i="144"/>
  <c r="N342" i="144"/>
  <c r="O342" i="144" s="1"/>
  <c r="B342" i="144"/>
  <c r="B341" i="144"/>
  <c r="N341" i="144" s="1"/>
  <c r="O341" i="144" s="1"/>
  <c r="O340" i="144"/>
  <c r="N340" i="144"/>
  <c r="B340" i="144"/>
  <c r="B339" i="144"/>
  <c r="N339" i="144" s="1"/>
  <c r="O339" i="144" s="1"/>
  <c r="N338" i="144"/>
  <c r="O338" i="144" s="1"/>
  <c r="B338" i="144"/>
  <c r="B337" i="144"/>
  <c r="N337" i="144" s="1"/>
  <c r="O337" i="144" s="1"/>
  <c r="N336" i="144"/>
  <c r="O336" i="144" s="1"/>
  <c r="B336" i="144"/>
  <c r="O335" i="144"/>
  <c r="N335" i="144"/>
  <c r="B335" i="144"/>
  <c r="N334" i="144"/>
  <c r="O334" i="144" s="1"/>
  <c r="B334" i="144"/>
  <c r="B333" i="144"/>
  <c r="N333" i="144" s="1"/>
  <c r="O333" i="144" s="1"/>
  <c r="O332" i="144"/>
  <c r="N332" i="144"/>
  <c r="B332" i="144"/>
  <c r="B331" i="144"/>
  <c r="N331" i="144" s="1"/>
  <c r="O331" i="144" s="1"/>
  <c r="N330" i="144"/>
  <c r="O330" i="144" s="1"/>
  <c r="B330" i="144"/>
  <c r="B329" i="144"/>
  <c r="N329" i="144" s="1"/>
  <c r="O329" i="144" s="1"/>
  <c r="N328" i="144"/>
  <c r="O328" i="144" s="1"/>
  <c r="B328" i="144"/>
  <c r="O327" i="144"/>
  <c r="N327" i="144"/>
  <c r="B327" i="144"/>
  <c r="N326" i="144"/>
  <c r="O326" i="144" s="1"/>
  <c r="B326" i="144"/>
  <c r="B325" i="144"/>
  <c r="N325" i="144" s="1"/>
  <c r="O325" i="144" s="1"/>
  <c r="B324" i="144"/>
  <c r="N324" i="144" s="1"/>
  <c r="O324" i="144" s="1"/>
  <c r="B323" i="144"/>
  <c r="N323" i="144" s="1"/>
  <c r="O323" i="144" s="1"/>
  <c r="N322" i="144"/>
  <c r="O322" i="144" s="1"/>
  <c r="B322" i="144"/>
  <c r="B321" i="144"/>
  <c r="N321" i="144" s="1"/>
  <c r="O321" i="144" s="1"/>
  <c r="N320" i="144"/>
  <c r="O320" i="144" s="1"/>
  <c r="B320" i="144"/>
  <c r="O319" i="144"/>
  <c r="N319" i="144"/>
  <c r="B319" i="144"/>
  <c r="N318" i="144"/>
  <c r="O318" i="144" s="1"/>
  <c r="B318" i="144"/>
  <c r="B317" i="144"/>
  <c r="N317" i="144" s="1"/>
  <c r="O317" i="144" s="1"/>
  <c r="O316" i="144"/>
  <c r="N316" i="144"/>
  <c r="B316" i="144"/>
  <c r="B315" i="144"/>
  <c r="N315" i="144" s="1"/>
  <c r="O315" i="144" s="1"/>
  <c r="N314" i="144"/>
  <c r="O314" i="144" s="1"/>
  <c r="B314" i="144"/>
  <c r="B313" i="144"/>
  <c r="N313" i="144" s="1"/>
  <c r="O313" i="144" s="1"/>
  <c r="N312" i="144"/>
  <c r="O312" i="144" s="1"/>
  <c r="B312" i="144"/>
  <c r="O311" i="144"/>
  <c r="N311" i="144"/>
  <c r="B311" i="144"/>
  <c r="N310" i="144"/>
  <c r="O310" i="144" s="1"/>
  <c r="B310" i="144"/>
  <c r="B309" i="144"/>
  <c r="N309" i="144" s="1"/>
  <c r="O309" i="144" s="1"/>
  <c r="B308" i="144"/>
  <c r="N308" i="144" s="1"/>
  <c r="O308" i="144" s="1"/>
  <c r="B307" i="144"/>
  <c r="N307" i="144" s="1"/>
  <c r="O307" i="144" s="1"/>
  <c r="N306" i="144"/>
  <c r="O306" i="144" s="1"/>
  <c r="B306" i="144"/>
  <c r="B305" i="144"/>
  <c r="N305" i="144" s="1"/>
  <c r="O305" i="144" s="1"/>
  <c r="N304" i="144"/>
  <c r="O304" i="144" s="1"/>
  <c r="B304" i="144"/>
  <c r="O303" i="144"/>
  <c r="N303" i="144"/>
  <c r="B303" i="144"/>
  <c r="N302" i="144"/>
  <c r="O302" i="144" s="1"/>
  <c r="B302" i="144"/>
  <c r="B301" i="144"/>
  <c r="N301" i="144" s="1"/>
  <c r="O301" i="144" s="1"/>
  <c r="B300" i="144"/>
  <c r="N300" i="144" s="1"/>
  <c r="O300" i="144" s="1"/>
  <c r="B299" i="144"/>
  <c r="N299" i="144" s="1"/>
  <c r="O299" i="144" s="1"/>
  <c r="N298" i="144"/>
  <c r="O298" i="144" s="1"/>
  <c r="B298" i="144"/>
  <c r="B297" i="144"/>
  <c r="N297" i="144" s="1"/>
  <c r="O297" i="144" s="1"/>
  <c r="N296" i="144"/>
  <c r="O296" i="144" s="1"/>
  <c r="B296" i="144"/>
  <c r="O295" i="144"/>
  <c r="N295" i="144"/>
  <c r="B295" i="144"/>
  <c r="N294" i="144"/>
  <c r="O294" i="144" s="1"/>
  <c r="B294" i="144"/>
  <c r="O293" i="144"/>
  <c r="B293" i="144"/>
  <c r="N293" i="144" s="1"/>
  <c r="B292" i="144"/>
  <c r="N292" i="144" s="1"/>
  <c r="O292" i="144" s="1"/>
  <c r="B291" i="144"/>
  <c r="N291" i="144" s="1"/>
  <c r="O291" i="144" s="1"/>
  <c r="N290" i="144"/>
  <c r="O290" i="144" s="1"/>
  <c r="B290" i="144"/>
  <c r="B289" i="144"/>
  <c r="N289" i="144" s="1"/>
  <c r="O289" i="144" s="1"/>
  <c r="N288" i="144"/>
  <c r="O288" i="144" s="1"/>
  <c r="B288" i="144"/>
  <c r="O287" i="144"/>
  <c r="N287" i="144"/>
  <c r="B287" i="144"/>
  <c r="N286" i="144"/>
  <c r="O286" i="144" s="1"/>
  <c r="B286" i="144"/>
  <c r="O285" i="144"/>
  <c r="B285" i="144"/>
  <c r="N285" i="144" s="1"/>
  <c r="O284" i="144"/>
  <c r="N284" i="144"/>
  <c r="B284" i="144"/>
  <c r="B283" i="144"/>
  <c r="N283" i="144" s="1"/>
  <c r="O283" i="144" s="1"/>
  <c r="N282" i="144"/>
  <c r="O282" i="144" s="1"/>
  <c r="B282" i="144"/>
  <c r="B281" i="144"/>
  <c r="N281" i="144" s="1"/>
  <c r="O281" i="144" s="1"/>
  <c r="N280" i="144"/>
  <c r="O280" i="144" s="1"/>
  <c r="B280" i="144"/>
  <c r="O279" i="144"/>
  <c r="N279" i="144"/>
  <c r="B279" i="144"/>
  <c r="N278" i="144"/>
  <c r="O278" i="144" s="1"/>
  <c r="B278" i="144"/>
  <c r="O277" i="144"/>
  <c r="B277" i="144"/>
  <c r="N277" i="144" s="1"/>
  <c r="O276" i="144"/>
  <c r="N276" i="144"/>
  <c r="B276" i="144"/>
  <c r="B275" i="144"/>
  <c r="N275" i="144" s="1"/>
  <c r="O275" i="144" s="1"/>
  <c r="N274" i="144"/>
  <c r="O274" i="144" s="1"/>
  <c r="B274" i="144"/>
  <c r="B273" i="144"/>
  <c r="N273" i="144" s="1"/>
  <c r="O273" i="144" s="1"/>
  <c r="N272" i="144"/>
  <c r="O272" i="144" s="1"/>
  <c r="B272" i="144"/>
  <c r="O271" i="144"/>
  <c r="N271" i="144"/>
  <c r="B271" i="144"/>
  <c r="N270" i="144"/>
  <c r="O270" i="144" s="1"/>
  <c r="B270" i="144"/>
  <c r="O269" i="144"/>
  <c r="B269" i="144"/>
  <c r="N269" i="144" s="1"/>
  <c r="O268" i="144"/>
  <c r="N268" i="144"/>
  <c r="B268" i="144"/>
  <c r="B267" i="144"/>
  <c r="N267" i="144" s="1"/>
  <c r="O267" i="144" s="1"/>
  <c r="N266" i="144"/>
  <c r="O266" i="144" s="1"/>
  <c r="B266" i="144"/>
  <c r="B265" i="144"/>
  <c r="N265" i="144" s="1"/>
  <c r="O265" i="144" s="1"/>
  <c r="N264" i="144"/>
  <c r="O264" i="144" s="1"/>
  <c r="B264" i="144"/>
  <c r="O263" i="144"/>
  <c r="N263" i="144"/>
  <c r="B263" i="144"/>
  <c r="N262" i="144"/>
  <c r="O262" i="144" s="1"/>
  <c r="B262" i="144"/>
  <c r="O261" i="144"/>
  <c r="B261" i="144"/>
  <c r="N261" i="144" s="1"/>
  <c r="B260" i="144"/>
  <c r="N260" i="144" s="1"/>
  <c r="O260" i="144" s="1"/>
  <c r="B259" i="144"/>
  <c r="N259" i="144" s="1"/>
  <c r="O259" i="144" s="1"/>
  <c r="N258" i="144"/>
  <c r="O258" i="144" s="1"/>
  <c r="B258" i="144"/>
  <c r="B257" i="144"/>
  <c r="N257" i="144" s="1"/>
  <c r="O257" i="144" s="1"/>
  <c r="N256" i="144"/>
  <c r="O256" i="144" s="1"/>
  <c r="B256" i="144"/>
  <c r="O255" i="144"/>
  <c r="N255" i="144"/>
  <c r="B255" i="144"/>
  <c r="N254" i="144"/>
  <c r="O254" i="144" s="1"/>
  <c r="B254" i="144"/>
  <c r="O253" i="144"/>
  <c r="B253" i="144"/>
  <c r="N253" i="144" s="1"/>
  <c r="B252" i="144"/>
  <c r="N252" i="144" s="1"/>
  <c r="O252" i="144" s="1"/>
  <c r="B251" i="144"/>
  <c r="N251" i="144" s="1"/>
  <c r="O251" i="144" s="1"/>
  <c r="N250" i="144"/>
  <c r="O250" i="144" s="1"/>
  <c r="B250" i="144"/>
  <c r="B249" i="144"/>
  <c r="N249" i="144" s="1"/>
  <c r="O249" i="144" s="1"/>
  <c r="N248" i="144"/>
  <c r="O248" i="144" s="1"/>
  <c r="B248" i="144"/>
  <c r="O247" i="144"/>
  <c r="N247" i="144"/>
  <c r="B247" i="144"/>
  <c r="N246" i="144"/>
  <c r="O246" i="144" s="1"/>
  <c r="B246" i="144"/>
  <c r="O245" i="144"/>
  <c r="B245" i="144"/>
  <c r="N245" i="144" s="1"/>
  <c r="B244" i="144"/>
  <c r="N244" i="144" s="1"/>
  <c r="O244" i="144" s="1"/>
  <c r="B243" i="144"/>
  <c r="N243" i="144" s="1"/>
  <c r="O243" i="144" s="1"/>
  <c r="N242" i="144"/>
  <c r="O242" i="144" s="1"/>
  <c r="B242" i="144"/>
  <c r="B241" i="144"/>
  <c r="N241" i="144" s="1"/>
  <c r="O241" i="144" s="1"/>
  <c r="N240" i="144"/>
  <c r="O240" i="144" s="1"/>
  <c r="B240" i="144"/>
  <c r="O239" i="144"/>
  <c r="N239" i="144"/>
  <c r="B239" i="144"/>
  <c r="N238" i="144"/>
  <c r="O238" i="144" s="1"/>
  <c r="B238" i="144"/>
  <c r="O237" i="144"/>
  <c r="B237" i="144"/>
  <c r="N237" i="144" s="1"/>
  <c r="B236" i="144"/>
  <c r="N236" i="144" s="1"/>
  <c r="O236" i="144" s="1"/>
  <c r="B235" i="144"/>
  <c r="N235" i="144" s="1"/>
  <c r="O235" i="144" s="1"/>
  <c r="N234" i="144"/>
  <c r="O234" i="144" s="1"/>
  <c r="B234" i="144"/>
  <c r="B233" i="144"/>
  <c r="N233" i="144" s="1"/>
  <c r="O233" i="144" s="1"/>
  <c r="N232" i="144"/>
  <c r="O232" i="144" s="1"/>
  <c r="B232" i="144"/>
  <c r="O231" i="144"/>
  <c r="N231" i="144"/>
  <c r="B231" i="144"/>
  <c r="N230" i="144"/>
  <c r="O230" i="144" s="1"/>
  <c r="B230" i="144"/>
  <c r="O229" i="144"/>
  <c r="B229" i="144"/>
  <c r="N229" i="144" s="1"/>
  <c r="B228" i="144"/>
  <c r="N228" i="144" s="1"/>
  <c r="O228" i="144" s="1"/>
  <c r="B227" i="144"/>
  <c r="N227" i="144" s="1"/>
  <c r="O227" i="144" s="1"/>
  <c r="N226" i="144"/>
  <c r="O226" i="144" s="1"/>
  <c r="B226" i="144"/>
  <c r="B225" i="144"/>
  <c r="N225" i="144" s="1"/>
  <c r="O225" i="144" s="1"/>
  <c r="N224" i="144"/>
  <c r="O224" i="144" s="1"/>
  <c r="B224" i="144"/>
  <c r="O223" i="144"/>
  <c r="N223" i="144"/>
  <c r="B223" i="144"/>
  <c r="N222" i="144"/>
  <c r="O222" i="144" s="1"/>
  <c r="B222" i="144"/>
  <c r="O221" i="144"/>
  <c r="B221" i="144"/>
  <c r="N221" i="144" s="1"/>
  <c r="B220" i="144"/>
  <c r="N220" i="144" s="1"/>
  <c r="O220" i="144" s="1"/>
  <c r="B219" i="144"/>
  <c r="N219" i="144" s="1"/>
  <c r="O219" i="144" s="1"/>
  <c r="N218" i="144"/>
  <c r="O218" i="144" s="1"/>
  <c r="B218" i="144"/>
  <c r="B217" i="144"/>
  <c r="N217" i="144" s="1"/>
  <c r="O217" i="144" s="1"/>
  <c r="N216" i="144"/>
  <c r="O216" i="144" s="1"/>
  <c r="B216" i="144"/>
  <c r="O215" i="144"/>
  <c r="N215" i="144"/>
  <c r="B215" i="144"/>
  <c r="N214" i="144"/>
  <c r="O214" i="144" s="1"/>
  <c r="B214" i="144"/>
  <c r="O213" i="144"/>
  <c r="B213" i="144"/>
  <c r="N213" i="144" s="1"/>
  <c r="O212" i="144"/>
  <c r="N212" i="144"/>
  <c r="B212" i="144"/>
  <c r="B211" i="144"/>
  <c r="N211" i="144" s="1"/>
  <c r="O211" i="144" s="1"/>
  <c r="N210" i="144"/>
  <c r="O210" i="144" s="1"/>
  <c r="B210" i="144"/>
  <c r="B209" i="144"/>
  <c r="N209" i="144" s="1"/>
  <c r="O209" i="144" s="1"/>
  <c r="N208" i="144"/>
  <c r="O208" i="144" s="1"/>
  <c r="B208" i="144"/>
  <c r="O207" i="144"/>
  <c r="N207" i="144"/>
  <c r="B207" i="144"/>
  <c r="N206" i="144"/>
  <c r="O206" i="144" s="1"/>
  <c r="B206" i="144"/>
  <c r="O205" i="144"/>
  <c r="B205" i="144"/>
  <c r="N205" i="144" s="1"/>
  <c r="B204" i="144"/>
  <c r="N204" i="144" s="1"/>
  <c r="O204" i="144" s="1"/>
  <c r="B203" i="144"/>
  <c r="N203" i="144" s="1"/>
  <c r="O203" i="144" s="1"/>
  <c r="N202" i="144"/>
  <c r="O202" i="144" s="1"/>
  <c r="B202" i="144"/>
  <c r="B201" i="144"/>
  <c r="N201" i="144" s="1"/>
  <c r="O201" i="144" s="1"/>
  <c r="N200" i="144"/>
  <c r="O200" i="144" s="1"/>
  <c r="B200" i="144"/>
  <c r="O199" i="144"/>
  <c r="N199" i="144"/>
  <c r="B199" i="144"/>
  <c r="N198" i="144"/>
  <c r="O198" i="144" s="1"/>
  <c r="B198" i="144"/>
  <c r="O197" i="144"/>
  <c r="B197" i="144"/>
  <c r="N197" i="144" s="1"/>
  <c r="O196" i="144"/>
  <c r="N196" i="144"/>
  <c r="B196" i="144"/>
  <c r="B195" i="144"/>
  <c r="N195" i="144" s="1"/>
  <c r="O195" i="144" s="1"/>
  <c r="N194" i="144"/>
  <c r="O194" i="144" s="1"/>
  <c r="B194" i="144"/>
  <c r="B193" i="144"/>
  <c r="N193" i="144" s="1"/>
  <c r="O193" i="144" s="1"/>
  <c r="N192" i="144"/>
  <c r="O192" i="144" s="1"/>
  <c r="B192" i="144"/>
  <c r="O191" i="144"/>
  <c r="N191" i="144"/>
  <c r="B191" i="144"/>
  <c r="N190" i="144"/>
  <c r="O190" i="144" s="1"/>
  <c r="B190" i="144"/>
  <c r="O189" i="144"/>
  <c r="B189" i="144"/>
  <c r="N189" i="144" s="1"/>
  <c r="O188" i="144"/>
  <c r="N188" i="144"/>
  <c r="B188" i="144"/>
  <c r="B187" i="144"/>
  <c r="N187" i="144" s="1"/>
  <c r="O187" i="144" s="1"/>
  <c r="N186" i="144"/>
  <c r="O186" i="144" s="1"/>
  <c r="B186" i="144"/>
  <c r="B185" i="144"/>
  <c r="N185" i="144" s="1"/>
  <c r="O185" i="144" s="1"/>
  <c r="N184" i="144"/>
  <c r="O184" i="144" s="1"/>
  <c r="B184" i="144"/>
  <c r="O183" i="144"/>
  <c r="N183" i="144"/>
  <c r="B183" i="144"/>
  <c r="N182" i="144"/>
  <c r="O182" i="144" s="1"/>
  <c r="B182" i="144"/>
  <c r="O181" i="144"/>
  <c r="B181" i="144"/>
  <c r="N181" i="144" s="1"/>
  <c r="B180" i="144"/>
  <c r="N180" i="144" s="1"/>
  <c r="O180" i="144" s="1"/>
  <c r="B179" i="144"/>
  <c r="N179" i="144" s="1"/>
  <c r="O179" i="144" s="1"/>
  <c r="N178" i="144"/>
  <c r="O178" i="144" s="1"/>
  <c r="B178" i="144"/>
  <c r="B177" i="144"/>
  <c r="N177" i="144" s="1"/>
  <c r="O177" i="144" s="1"/>
  <c r="N176" i="144"/>
  <c r="O176" i="144" s="1"/>
  <c r="B176" i="144"/>
  <c r="O175" i="144"/>
  <c r="N175" i="144"/>
  <c r="B175" i="144"/>
  <c r="N174" i="144"/>
  <c r="O174" i="144" s="1"/>
  <c r="B174" i="144"/>
  <c r="O173" i="144"/>
  <c r="B173" i="144"/>
  <c r="N173" i="144" s="1"/>
  <c r="B172" i="144"/>
  <c r="N172" i="144" s="1"/>
  <c r="O172" i="144" s="1"/>
  <c r="B171" i="144"/>
  <c r="N171" i="144" s="1"/>
  <c r="O171" i="144" s="1"/>
  <c r="N170" i="144"/>
  <c r="O170" i="144" s="1"/>
  <c r="B170" i="144"/>
  <c r="B169" i="144"/>
  <c r="N169" i="144" s="1"/>
  <c r="O169" i="144" s="1"/>
  <c r="N168" i="144"/>
  <c r="O168" i="144" s="1"/>
  <c r="B168" i="144"/>
  <c r="O167" i="144"/>
  <c r="N167" i="144"/>
  <c r="B167" i="144"/>
  <c r="N166" i="144"/>
  <c r="O166" i="144" s="1"/>
  <c r="B166" i="144"/>
  <c r="O165" i="144"/>
  <c r="B165" i="144"/>
  <c r="N165" i="144" s="1"/>
  <c r="B164" i="144"/>
  <c r="N164" i="144" s="1"/>
  <c r="O164" i="144" s="1"/>
  <c r="B163" i="144"/>
  <c r="N163" i="144" s="1"/>
  <c r="O163" i="144" s="1"/>
  <c r="N162" i="144"/>
  <c r="O162" i="144" s="1"/>
  <c r="B162" i="144"/>
  <c r="B161" i="144"/>
  <c r="N161" i="144" s="1"/>
  <c r="O161" i="144" s="1"/>
  <c r="N160" i="144"/>
  <c r="O160" i="144" s="1"/>
  <c r="B160" i="144"/>
  <c r="O159" i="144"/>
  <c r="N159" i="144"/>
  <c r="B159" i="144"/>
  <c r="N158" i="144"/>
  <c r="O158" i="144" s="1"/>
  <c r="B158" i="144"/>
  <c r="O157" i="144"/>
  <c r="B157" i="144"/>
  <c r="N157" i="144" s="1"/>
  <c r="O156" i="144"/>
  <c r="N156" i="144"/>
  <c r="B156" i="144"/>
  <c r="B155" i="144"/>
  <c r="N155" i="144" s="1"/>
  <c r="O155" i="144" s="1"/>
  <c r="N154" i="144"/>
  <c r="O154" i="144" s="1"/>
  <c r="B154" i="144"/>
  <c r="B153" i="144"/>
  <c r="N153" i="144" s="1"/>
  <c r="O153" i="144" s="1"/>
  <c r="N152" i="144"/>
  <c r="O152" i="144" s="1"/>
  <c r="B152" i="144"/>
  <c r="O151" i="144"/>
  <c r="N151" i="144"/>
  <c r="B151" i="144"/>
  <c r="N150" i="144"/>
  <c r="O150" i="144" s="1"/>
  <c r="B150" i="144"/>
  <c r="O149" i="144"/>
  <c r="B149" i="144"/>
  <c r="N149" i="144" s="1"/>
  <c r="B148" i="144"/>
  <c r="N148" i="144" s="1"/>
  <c r="O148" i="144" s="1"/>
  <c r="B147" i="144"/>
  <c r="N147" i="144" s="1"/>
  <c r="O147" i="144" s="1"/>
  <c r="N146" i="144"/>
  <c r="O146" i="144" s="1"/>
  <c r="B146" i="144"/>
  <c r="B145" i="144"/>
  <c r="N145" i="144" s="1"/>
  <c r="O145" i="144" s="1"/>
  <c r="N144" i="144"/>
  <c r="O144" i="144" s="1"/>
  <c r="B144" i="144"/>
  <c r="O143" i="144"/>
  <c r="N143" i="144"/>
  <c r="B143" i="144"/>
  <c r="N142" i="144"/>
  <c r="O142" i="144" s="1"/>
  <c r="B142" i="144"/>
  <c r="O141" i="144"/>
  <c r="B141" i="144"/>
  <c r="N141" i="144" s="1"/>
  <c r="O140" i="144"/>
  <c r="N140" i="144"/>
  <c r="B140" i="144"/>
  <c r="B139" i="144"/>
  <c r="N139" i="144" s="1"/>
  <c r="O139" i="144" s="1"/>
  <c r="N138" i="144"/>
  <c r="O138" i="144" s="1"/>
  <c r="B138" i="144"/>
  <c r="B137" i="144"/>
  <c r="N137" i="144" s="1"/>
  <c r="O137" i="144" s="1"/>
  <c r="N136" i="144"/>
  <c r="O136" i="144" s="1"/>
  <c r="B136" i="144"/>
  <c r="O135" i="144"/>
  <c r="N135" i="144"/>
  <c r="B135" i="144"/>
  <c r="N134" i="144"/>
  <c r="O134" i="144" s="1"/>
  <c r="B134" i="144"/>
  <c r="B133" i="144"/>
  <c r="N133" i="144" s="1"/>
  <c r="O133" i="144" s="1"/>
  <c r="O132" i="144"/>
  <c r="N132" i="144"/>
  <c r="B132" i="144"/>
  <c r="B131" i="144"/>
  <c r="N131" i="144" s="1"/>
  <c r="O131" i="144" s="1"/>
  <c r="N130" i="144"/>
  <c r="O130" i="144" s="1"/>
  <c r="B130" i="144"/>
  <c r="B129" i="144"/>
  <c r="N129" i="144" s="1"/>
  <c r="O129" i="144" s="1"/>
  <c r="N128" i="144"/>
  <c r="O128" i="144" s="1"/>
  <c r="B128" i="144"/>
  <c r="O127" i="144"/>
  <c r="N127" i="144"/>
  <c r="B127" i="144"/>
  <c r="N126" i="144"/>
  <c r="O126" i="144" s="1"/>
  <c r="B126" i="144"/>
  <c r="B125" i="144"/>
  <c r="N125" i="144" s="1"/>
  <c r="O125" i="144" s="1"/>
  <c r="B124" i="144"/>
  <c r="N124" i="144" s="1"/>
  <c r="O124" i="144" s="1"/>
  <c r="B123" i="144"/>
  <c r="N123" i="144" s="1"/>
  <c r="O123" i="144" s="1"/>
  <c r="N122" i="144"/>
  <c r="O122" i="144" s="1"/>
  <c r="B122" i="144"/>
  <c r="B121" i="144"/>
  <c r="N121" i="144" s="1"/>
  <c r="O121" i="144" s="1"/>
  <c r="N120" i="144"/>
  <c r="O120" i="144" s="1"/>
  <c r="B120" i="144"/>
  <c r="O119" i="144"/>
  <c r="N119" i="144"/>
  <c r="B119" i="144"/>
  <c r="N118" i="144"/>
  <c r="O118" i="144" s="1"/>
  <c r="B118" i="144"/>
  <c r="O117" i="144"/>
  <c r="B117" i="144"/>
  <c r="N117" i="144" s="1"/>
  <c r="O116" i="144"/>
  <c r="N116" i="144"/>
  <c r="B116" i="144"/>
  <c r="O115" i="144"/>
  <c r="B115" i="144"/>
  <c r="N115" i="144" s="1"/>
  <c r="N114" i="144"/>
  <c r="O114" i="144" s="1"/>
  <c r="B114" i="144"/>
  <c r="B113" i="144"/>
  <c r="N113" i="144" s="1"/>
  <c r="O113" i="144" s="1"/>
  <c r="N112" i="144"/>
  <c r="O112" i="144" s="1"/>
  <c r="B112" i="144"/>
  <c r="O111" i="144"/>
  <c r="N111" i="144"/>
  <c r="B111" i="144"/>
  <c r="N110" i="144"/>
  <c r="O110" i="144" s="1"/>
  <c r="B110" i="144"/>
  <c r="B109" i="144"/>
  <c r="N109" i="144" s="1"/>
  <c r="O109" i="144" s="1"/>
  <c r="B108" i="144"/>
  <c r="N108" i="144" s="1"/>
  <c r="O108" i="144" s="1"/>
  <c r="O107" i="144"/>
  <c r="B107" i="144"/>
  <c r="N107" i="144" s="1"/>
  <c r="O106" i="144"/>
  <c r="N106" i="144"/>
  <c r="B106" i="144"/>
  <c r="B105" i="144"/>
  <c r="N105" i="144" s="1"/>
  <c r="O105" i="144" s="1"/>
  <c r="N104" i="144"/>
  <c r="O104" i="144" s="1"/>
  <c r="B104" i="144"/>
  <c r="N103" i="144"/>
  <c r="O103" i="144" s="1"/>
  <c r="B103" i="144"/>
  <c r="N102" i="144"/>
  <c r="O102" i="144" s="1"/>
  <c r="B102" i="144"/>
  <c r="N101" i="144"/>
  <c r="O101" i="144" s="1"/>
  <c r="B101" i="144"/>
  <c r="B100" i="144"/>
  <c r="N100" i="144" s="1"/>
  <c r="O100" i="144" s="1"/>
  <c r="O99" i="144"/>
  <c r="N99" i="144"/>
  <c r="B99" i="144"/>
  <c r="N98" i="144"/>
  <c r="O98" i="144" s="1"/>
  <c r="B98" i="144"/>
  <c r="B97" i="144"/>
  <c r="N97" i="144" s="1"/>
  <c r="O97" i="144" s="1"/>
  <c r="O96" i="144"/>
  <c r="N96" i="144"/>
  <c r="B96" i="144"/>
  <c r="N95" i="144"/>
  <c r="O95" i="144" s="1"/>
  <c r="B95" i="144"/>
  <c r="N94" i="144"/>
  <c r="O94" i="144" s="1"/>
  <c r="B94" i="144"/>
  <c r="O93" i="144"/>
  <c r="N93" i="144"/>
  <c r="B93" i="144"/>
  <c r="B92" i="144"/>
  <c r="N92" i="144" s="1"/>
  <c r="O92" i="144" s="1"/>
  <c r="O91" i="144"/>
  <c r="N91" i="144"/>
  <c r="B91" i="144"/>
  <c r="O90" i="144"/>
  <c r="N90" i="144"/>
  <c r="B90" i="144"/>
  <c r="B89" i="144"/>
  <c r="N89" i="144" s="1"/>
  <c r="O89" i="144" s="1"/>
  <c r="N88" i="144"/>
  <c r="O88" i="144" s="1"/>
  <c r="B88" i="144"/>
  <c r="N87" i="144"/>
  <c r="O87" i="144" s="1"/>
  <c r="B87" i="144"/>
  <c r="N86" i="144"/>
  <c r="O86" i="144" s="1"/>
  <c r="B86" i="144"/>
  <c r="N85" i="144"/>
  <c r="O85" i="144" s="1"/>
  <c r="B85" i="144"/>
  <c r="O84" i="144"/>
  <c r="N84" i="144"/>
  <c r="B84" i="144"/>
  <c r="O83" i="144"/>
  <c r="N83" i="144"/>
  <c r="B83" i="144"/>
  <c r="O82" i="144"/>
  <c r="N82" i="144"/>
  <c r="B82" i="144"/>
  <c r="B81" i="144"/>
  <c r="N81" i="144" s="1"/>
  <c r="O81" i="144" s="1"/>
  <c r="O80" i="144"/>
  <c r="N80" i="144"/>
  <c r="B80" i="144"/>
  <c r="N79" i="144"/>
  <c r="O79" i="144" s="1"/>
  <c r="B79" i="144"/>
  <c r="B78" i="144"/>
  <c r="N78" i="144" s="1"/>
  <c r="O78" i="144" s="1"/>
  <c r="N77" i="144"/>
  <c r="O77" i="144" s="1"/>
  <c r="B77" i="144"/>
  <c r="O76" i="144"/>
  <c r="N76" i="144"/>
  <c r="B76" i="144"/>
  <c r="N75" i="144"/>
  <c r="O75" i="144" s="1"/>
  <c r="B75" i="144"/>
  <c r="O74" i="144"/>
  <c r="N74" i="144"/>
  <c r="B74" i="144"/>
  <c r="B73" i="144"/>
  <c r="N73" i="144" s="1"/>
  <c r="O73" i="144" s="1"/>
  <c r="B72" i="144"/>
  <c r="N72" i="144" s="1"/>
  <c r="O72" i="144" s="1"/>
  <c r="N71" i="144"/>
  <c r="O71" i="144" s="1"/>
  <c r="B71" i="144"/>
  <c r="N70" i="144"/>
  <c r="O70" i="144" s="1"/>
  <c r="B70" i="144"/>
  <c r="N69" i="144"/>
  <c r="O69" i="144" s="1"/>
  <c r="B69" i="144"/>
  <c r="O68" i="144"/>
  <c r="N68" i="144"/>
  <c r="B68" i="144"/>
  <c r="O67" i="144"/>
  <c r="N67" i="144"/>
  <c r="B67" i="144"/>
  <c r="B66" i="144"/>
  <c r="N66" i="144" s="1"/>
  <c r="O66" i="144" s="1"/>
  <c r="B65" i="144"/>
  <c r="N65" i="144" s="1"/>
  <c r="O65" i="144" s="1"/>
  <c r="B64" i="144"/>
  <c r="N64" i="144" s="1"/>
  <c r="O64" i="144" s="1"/>
  <c r="N63" i="144"/>
  <c r="O63" i="144" s="1"/>
  <c r="B63" i="144"/>
  <c r="N62" i="144"/>
  <c r="O62" i="144" s="1"/>
  <c r="B62" i="144"/>
  <c r="N61" i="144"/>
  <c r="O61" i="144" s="1"/>
  <c r="B61" i="144"/>
  <c r="O60" i="144"/>
  <c r="N60" i="144"/>
  <c r="B60" i="144"/>
  <c r="O59" i="144"/>
  <c r="N59" i="144"/>
  <c r="B59" i="144"/>
  <c r="B58" i="144"/>
  <c r="N58" i="144" s="1"/>
  <c r="O58" i="144" s="1"/>
  <c r="B57" i="144"/>
  <c r="N57" i="144" s="1"/>
  <c r="O57" i="144" s="1"/>
  <c r="B56" i="144"/>
  <c r="N56" i="144" s="1"/>
  <c r="O56" i="144" s="1"/>
  <c r="N55" i="144"/>
  <c r="O55" i="144" s="1"/>
  <c r="B55" i="144"/>
  <c r="N54" i="144"/>
  <c r="O54" i="144" s="1"/>
  <c r="B54" i="144"/>
  <c r="N53" i="144"/>
  <c r="O53" i="144" s="1"/>
  <c r="B53" i="144"/>
  <c r="O52" i="144"/>
  <c r="N52" i="144"/>
  <c r="B52" i="144"/>
  <c r="O51" i="144"/>
  <c r="N51" i="144"/>
  <c r="B51" i="144"/>
  <c r="B50" i="144"/>
  <c r="N50" i="144" s="1"/>
  <c r="O50" i="144" s="1"/>
  <c r="B49" i="144"/>
  <c r="N49" i="144" s="1"/>
  <c r="O49" i="144" s="1"/>
  <c r="B48" i="144"/>
  <c r="N48" i="144" s="1"/>
  <c r="O48" i="144" s="1"/>
  <c r="N47" i="144"/>
  <c r="O47" i="144" s="1"/>
  <c r="B47" i="144"/>
  <c r="N46" i="144"/>
  <c r="O46" i="144" s="1"/>
  <c r="B46" i="144"/>
  <c r="N45" i="144"/>
  <c r="O45" i="144" s="1"/>
  <c r="B45" i="144"/>
  <c r="O44" i="144"/>
  <c r="N44" i="144"/>
  <c r="B44" i="144"/>
  <c r="O43" i="144"/>
  <c r="N43" i="144"/>
  <c r="B43" i="144"/>
  <c r="B42" i="144"/>
  <c r="N42" i="144" s="1"/>
  <c r="O42" i="144" s="1"/>
  <c r="B41" i="144"/>
  <c r="N41" i="144" s="1"/>
  <c r="O41" i="144" s="1"/>
  <c r="B40" i="144"/>
  <c r="N40" i="144" s="1"/>
  <c r="O40" i="144" s="1"/>
  <c r="N39" i="144"/>
  <c r="O39" i="144" s="1"/>
  <c r="B39" i="144"/>
  <c r="N38" i="144"/>
  <c r="O38" i="144" s="1"/>
  <c r="B38" i="144"/>
  <c r="N37" i="144"/>
  <c r="O37" i="144" s="1"/>
  <c r="B37" i="144"/>
  <c r="O36" i="144"/>
  <c r="N36" i="144"/>
  <c r="B36" i="144"/>
  <c r="O35" i="144"/>
  <c r="N35" i="144"/>
  <c r="B35" i="144"/>
  <c r="B34" i="144"/>
  <c r="N34" i="144" s="1"/>
  <c r="O34" i="144" s="1"/>
  <c r="B33" i="144"/>
  <c r="N33" i="144" s="1"/>
  <c r="O33" i="144" s="1"/>
  <c r="B32" i="144"/>
  <c r="N32" i="144" s="1"/>
  <c r="O32" i="144" s="1"/>
  <c r="N31" i="144"/>
  <c r="O31" i="144" s="1"/>
  <c r="B31" i="144"/>
  <c r="N30" i="144"/>
  <c r="O30" i="144" s="1"/>
  <c r="B30" i="144"/>
  <c r="N29" i="144"/>
  <c r="O29" i="144" s="1"/>
  <c r="B29" i="144"/>
  <c r="B28" i="144"/>
  <c r="N28" i="144" s="1"/>
  <c r="O28" i="144" s="1"/>
  <c r="O27" i="144"/>
  <c r="N27" i="144"/>
  <c r="B27" i="144"/>
  <c r="B26" i="144"/>
  <c r="N26" i="144" s="1"/>
  <c r="O26" i="144" s="1"/>
  <c r="B25" i="144"/>
  <c r="N25" i="144" s="1"/>
  <c r="O25" i="144" s="1"/>
  <c r="B24" i="144"/>
  <c r="N24" i="144" s="1"/>
  <c r="O24" i="144" s="1"/>
  <c r="N23" i="144"/>
  <c r="O23" i="144" s="1"/>
  <c r="B23" i="144"/>
  <c r="N22" i="144"/>
  <c r="O22" i="144" s="1"/>
  <c r="B22" i="144"/>
  <c r="N21" i="144"/>
  <c r="O21" i="144" s="1"/>
  <c r="B21" i="144"/>
  <c r="O20" i="144"/>
  <c r="N20" i="144"/>
  <c r="B20" i="144"/>
  <c r="O19" i="144"/>
  <c r="N19" i="144"/>
  <c r="B19" i="144"/>
  <c r="B18" i="144"/>
  <c r="N18" i="144" s="1"/>
  <c r="O18" i="144" s="1"/>
  <c r="B17" i="144"/>
  <c r="N17" i="144" s="1"/>
  <c r="O17" i="144" s="1"/>
  <c r="B16" i="144"/>
  <c r="N16" i="144" s="1"/>
  <c r="O16" i="144" s="1"/>
  <c r="N15" i="144"/>
  <c r="O15" i="144" s="1"/>
  <c r="B15" i="144"/>
  <c r="N14" i="144"/>
  <c r="O14" i="144" s="1"/>
  <c r="B14" i="144"/>
  <c r="N13" i="144"/>
  <c r="O13" i="144" s="1"/>
  <c r="B13" i="144"/>
  <c r="O12" i="144"/>
  <c r="N12" i="144"/>
  <c r="B12" i="144"/>
  <c r="O11" i="144"/>
  <c r="N11" i="144"/>
  <c r="B11" i="144"/>
  <c r="B10" i="144"/>
  <c r="N10" i="144" s="1"/>
  <c r="B13" i="143"/>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C23" i="141"/>
  <c r="N772" i="144" l="1"/>
  <c r="O10" i="144"/>
  <c r="O772" i="144" s="1"/>
  <c r="B17" i="146"/>
  <c r="C16" i="146"/>
  <c r="O75" i="146"/>
  <c r="I17" i="146"/>
  <c r="O26" i="146"/>
  <c r="O59" i="146"/>
  <c r="O77" i="146"/>
  <c r="I379" i="146"/>
  <c r="I376" i="146"/>
  <c r="I378" i="146"/>
  <c r="I377" i="146"/>
  <c r="I368" i="146"/>
  <c r="I360" i="146"/>
  <c r="I352" i="146"/>
  <c r="I344" i="146"/>
  <c r="I336" i="146"/>
  <c r="I328" i="146"/>
  <c r="I320" i="146"/>
  <c r="I312" i="146"/>
  <c r="I375" i="146"/>
  <c r="I374" i="146"/>
  <c r="I365" i="146"/>
  <c r="I357" i="146"/>
  <c r="I349" i="146"/>
  <c r="I341" i="146"/>
  <c r="I333" i="146"/>
  <c r="I325" i="146"/>
  <c r="I370" i="146"/>
  <c r="I362" i="146"/>
  <c r="I354" i="146"/>
  <c r="I346" i="146"/>
  <c r="I338" i="146"/>
  <c r="I330" i="146"/>
  <c r="I322" i="146"/>
  <c r="I373" i="146"/>
  <c r="I367" i="146"/>
  <c r="I359" i="146"/>
  <c r="I351" i="146"/>
  <c r="I343" i="146"/>
  <c r="I335" i="146"/>
  <c r="I327" i="146"/>
  <c r="I364" i="146"/>
  <c r="I356" i="146"/>
  <c r="I348" i="146"/>
  <c r="I340" i="146"/>
  <c r="I332" i="146"/>
  <c r="I324" i="146"/>
  <c r="I316" i="146"/>
  <c r="I372" i="146"/>
  <c r="I369" i="146"/>
  <c r="I361" i="146"/>
  <c r="I353" i="146"/>
  <c r="I358" i="146"/>
  <c r="I315" i="146"/>
  <c r="I314" i="146"/>
  <c r="I305" i="146"/>
  <c r="I297" i="146"/>
  <c r="I289" i="146"/>
  <c r="I281" i="146"/>
  <c r="I273" i="146"/>
  <c r="I371" i="146"/>
  <c r="I318" i="146"/>
  <c r="I310" i="146"/>
  <c r="I302" i="146"/>
  <c r="I294" i="146"/>
  <c r="I286" i="146"/>
  <c r="I278" i="146"/>
  <c r="I270" i="146"/>
  <c r="I262" i="146"/>
  <c r="I366" i="146"/>
  <c r="I329" i="146"/>
  <c r="I337" i="146"/>
  <c r="I326" i="146"/>
  <c r="I321" i="146"/>
  <c r="I304" i="146"/>
  <c r="I296" i="146"/>
  <c r="I288" i="146"/>
  <c r="I280" i="146"/>
  <c r="I272" i="146"/>
  <c r="I345" i="146"/>
  <c r="I334" i="146"/>
  <c r="I355" i="146"/>
  <c r="I342" i="146"/>
  <c r="I331" i="146"/>
  <c r="I323" i="146"/>
  <c r="I306" i="146"/>
  <c r="I298" i="146"/>
  <c r="I290" i="146"/>
  <c r="I282" i="146"/>
  <c r="I274" i="146"/>
  <c r="I266" i="146"/>
  <c r="I350" i="146"/>
  <c r="I339" i="146"/>
  <c r="I311" i="146"/>
  <c r="I303" i="146"/>
  <c r="I295" i="146"/>
  <c r="I287" i="146"/>
  <c r="I363" i="146"/>
  <c r="I347" i="146"/>
  <c r="I275" i="146"/>
  <c r="I271" i="146"/>
  <c r="I269" i="146"/>
  <c r="I267" i="146"/>
  <c r="I261" i="146"/>
  <c r="I255" i="146"/>
  <c r="I247" i="146"/>
  <c r="I239" i="146"/>
  <c r="I231" i="146"/>
  <c r="I223" i="146"/>
  <c r="I215" i="146"/>
  <c r="I207" i="146"/>
  <c r="I199" i="146"/>
  <c r="I191" i="146"/>
  <c r="I183" i="146"/>
  <c r="I175" i="146"/>
  <c r="I167" i="146"/>
  <c r="I159" i="146"/>
  <c r="I151" i="146"/>
  <c r="I143" i="146"/>
  <c r="I301" i="146"/>
  <c r="I284" i="146"/>
  <c r="I277" i="146"/>
  <c r="I252" i="146"/>
  <c r="I244" i="146"/>
  <c r="I236" i="146"/>
  <c r="I308" i="146"/>
  <c r="I307" i="146"/>
  <c r="I283" i="146"/>
  <c r="I279" i="146"/>
  <c r="I260" i="146"/>
  <c r="I257" i="146"/>
  <c r="I249" i="146"/>
  <c r="I241" i="146"/>
  <c r="I233" i="146"/>
  <c r="I225" i="146"/>
  <c r="I217" i="146"/>
  <c r="I209" i="146"/>
  <c r="I201" i="146"/>
  <c r="I193" i="146"/>
  <c r="I185" i="146"/>
  <c r="I177" i="146"/>
  <c r="I169" i="146"/>
  <c r="I161" i="146"/>
  <c r="I153" i="146"/>
  <c r="I145" i="146"/>
  <c r="I319" i="146"/>
  <c r="I285" i="146"/>
  <c r="I254" i="146"/>
  <c r="I246" i="146"/>
  <c r="I238" i="146"/>
  <c r="I230" i="146"/>
  <c r="I222" i="146"/>
  <c r="I214" i="146"/>
  <c r="I206" i="146"/>
  <c r="I198" i="146"/>
  <c r="I309" i="146"/>
  <c r="I292" i="146"/>
  <c r="I291" i="146"/>
  <c r="I251" i="146"/>
  <c r="I243" i="146"/>
  <c r="I235" i="146"/>
  <c r="I227" i="146"/>
  <c r="I219" i="146"/>
  <c r="I211" i="146"/>
  <c r="I203" i="146"/>
  <c r="I195" i="146"/>
  <c r="I187" i="146"/>
  <c r="I179" i="146"/>
  <c r="I171" i="146"/>
  <c r="I163" i="146"/>
  <c r="I155" i="146"/>
  <c r="I147" i="146"/>
  <c r="I264" i="146"/>
  <c r="I259" i="146"/>
  <c r="I256" i="146"/>
  <c r="I317" i="146"/>
  <c r="I293" i="146"/>
  <c r="I265" i="146"/>
  <c r="I253" i="146"/>
  <c r="I242" i="146"/>
  <c r="I229" i="146"/>
  <c r="I228" i="146"/>
  <c r="I197" i="146"/>
  <c r="I196" i="146"/>
  <c r="I184" i="146"/>
  <c r="I182" i="146"/>
  <c r="I180" i="146"/>
  <c r="I162" i="146"/>
  <c r="I131" i="146"/>
  <c r="I123" i="146"/>
  <c r="I115" i="146"/>
  <c r="I107" i="146"/>
  <c r="I99" i="146"/>
  <c r="I91" i="146"/>
  <c r="I83" i="146"/>
  <c r="I75" i="146"/>
  <c r="I300" i="146"/>
  <c r="I250" i="146"/>
  <c r="I216" i="146"/>
  <c r="I210" i="146"/>
  <c r="I186" i="146"/>
  <c r="I165" i="146"/>
  <c r="I144" i="146"/>
  <c r="I142" i="146"/>
  <c r="I141" i="146"/>
  <c r="I136" i="146"/>
  <c r="I128" i="146"/>
  <c r="I120" i="146"/>
  <c r="I112" i="146"/>
  <c r="I268" i="146"/>
  <c r="I205" i="146"/>
  <c r="I204" i="146"/>
  <c r="I189" i="146"/>
  <c r="I168" i="146"/>
  <c r="I166" i="146"/>
  <c r="I164" i="146"/>
  <c r="I146" i="146"/>
  <c r="I133" i="146"/>
  <c r="I125" i="146"/>
  <c r="I117" i="146"/>
  <c r="I109" i="146"/>
  <c r="I101" i="146"/>
  <c r="I93" i="146"/>
  <c r="I85" i="146"/>
  <c r="I77" i="146"/>
  <c r="I69" i="146"/>
  <c r="I61" i="146"/>
  <c r="I263" i="146"/>
  <c r="I224" i="146"/>
  <c r="I218" i="146"/>
  <c r="I192" i="146"/>
  <c r="I190" i="146"/>
  <c r="I188" i="146"/>
  <c r="I170" i="146"/>
  <c r="I149" i="146"/>
  <c r="I140" i="146"/>
  <c r="I313" i="146"/>
  <c r="I213" i="146"/>
  <c r="I212" i="146"/>
  <c r="I173" i="146"/>
  <c r="I152" i="146"/>
  <c r="I150" i="146"/>
  <c r="I148" i="146"/>
  <c r="I139" i="146"/>
  <c r="I135" i="146"/>
  <c r="I127" i="146"/>
  <c r="I119" i="146"/>
  <c r="I111" i="146"/>
  <c r="I103" i="146"/>
  <c r="I95" i="146"/>
  <c r="I87" i="146"/>
  <c r="I79" i="146"/>
  <c r="I71" i="146"/>
  <c r="I240" i="146"/>
  <c r="I232" i="146"/>
  <c r="I226" i="146"/>
  <c r="I200" i="146"/>
  <c r="I194" i="146"/>
  <c r="I176" i="146"/>
  <c r="I174" i="146"/>
  <c r="I172" i="146"/>
  <c r="I154" i="146"/>
  <c r="I248" i="146"/>
  <c r="I237" i="146"/>
  <c r="I221" i="146"/>
  <c r="I220" i="146"/>
  <c r="I178" i="146"/>
  <c r="I157" i="146"/>
  <c r="I138" i="146"/>
  <c r="I129" i="146"/>
  <c r="I121" i="146"/>
  <c r="I113" i="146"/>
  <c r="I105" i="146"/>
  <c r="I97" i="146"/>
  <c r="I89" i="146"/>
  <c r="I299" i="146"/>
  <c r="I276" i="146"/>
  <c r="I258" i="146"/>
  <c r="I245" i="146"/>
  <c r="I234" i="146"/>
  <c r="I208" i="146"/>
  <c r="I202" i="146"/>
  <c r="I181" i="146"/>
  <c r="I160" i="146"/>
  <c r="I158" i="146"/>
  <c r="I156" i="146"/>
  <c r="I124" i="146"/>
  <c r="I106" i="146"/>
  <c r="I90" i="146"/>
  <c r="I78" i="146"/>
  <c r="I62" i="146"/>
  <c r="I58" i="146"/>
  <c r="I52" i="146"/>
  <c r="I44" i="146"/>
  <c r="I36" i="146"/>
  <c r="I28" i="146"/>
  <c r="I26" i="146"/>
  <c r="I24" i="146"/>
  <c r="I22" i="146"/>
  <c r="I20" i="146"/>
  <c r="I18" i="146"/>
  <c r="I16" i="146"/>
  <c r="I118" i="146"/>
  <c r="I114" i="146"/>
  <c r="I96" i="146"/>
  <c r="I81" i="146"/>
  <c r="I66" i="146"/>
  <c r="I49" i="146"/>
  <c r="I41" i="146"/>
  <c r="I33" i="146"/>
  <c r="I134" i="146"/>
  <c r="I102" i="146"/>
  <c r="I84" i="146"/>
  <c r="I82" i="146"/>
  <c r="I80" i="146"/>
  <c r="I57" i="146"/>
  <c r="I54" i="146"/>
  <c r="I46" i="146"/>
  <c r="I38" i="146"/>
  <c r="I30" i="146"/>
  <c r="I108" i="146"/>
  <c r="I92" i="146"/>
  <c r="I86" i="146"/>
  <c r="I65" i="146"/>
  <c r="I60" i="146"/>
  <c r="I51" i="146"/>
  <c r="I43" i="146"/>
  <c r="I35" i="146"/>
  <c r="I137" i="146"/>
  <c r="I126" i="146"/>
  <c r="I122" i="146"/>
  <c r="I98" i="146"/>
  <c r="I132" i="146"/>
  <c r="I116" i="146"/>
  <c r="I104" i="146"/>
  <c r="I88" i="146"/>
  <c r="I70" i="146"/>
  <c r="I64" i="146"/>
  <c r="I59" i="146"/>
  <c r="I53" i="146"/>
  <c r="I45" i="146"/>
  <c r="I37" i="146"/>
  <c r="I29" i="146"/>
  <c r="I110" i="146"/>
  <c r="I94" i="146"/>
  <c r="I73" i="146"/>
  <c r="I67" i="146"/>
  <c r="I63" i="146"/>
  <c r="I50" i="146"/>
  <c r="I42" i="146"/>
  <c r="I34" i="146"/>
  <c r="I130" i="146"/>
  <c r="I100" i="146"/>
  <c r="I76" i="146"/>
  <c r="I74" i="146"/>
  <c r="I72" i="146"/>
  <c r="I55" i="146"/>
  <c r="I47" i="146"/>
  <c r="I39" i="146"/>
  <c r="I31" i="146"/>
  <c r="O15" i="146"/>
  <c r="I15" i="146"/>
  <c r="I21" i="146"/>
  <c r="I32" i="146"/>
  <c r="O52" i="146"/>
  <c r="O56" i="146"/>
  <c r="O117" i="146"/>
  <c r="O50" i="146"/>
  <c r="I56" i="146"/>
  <c r="O58" i="146"/>
  <c r="O60" i="146"/>
  <c r="I25" i="146"/>
  <c r="O27" i="146"/>
  <c r="O36" i="146"/>
  <c r="O40" i="146"/>
  <c r="O43" i="146"/>
  <c r="O45" i="146"/>
  <c r="O64" i="146"/>
  <c r="O47" i="145"/>
  <c r="I19" i="146"/>
  <c r="I27" i="146"/>
  <c r="O34" i="146"/>
  <c r="I40" i="146"/>
  <c r="I68" i="146"/>
  <c r="O29" i="146"/>
  <c r="N35" i="146"/>
  <c r="N43" i="146"/>
  <c r="N51" i="146"/>
  <c r="N82" i="146"/>
  <c r="N84" i="146"/>
  <c r="N85" i="146"/>
  <c r="N102" i="146"/>
  <c r="O120" i="146"/>
  <c r="N128" i="146"/>
  <c r="N140" i="146"/>
  <c r="O155" i="146"/>
  <c r="O175" i="146"/>
  <c r="O187" i="146"/>
  <c r="N30" i="146"/>
  <c r="N38" i="146"/>
  <c r="N46" i="146"/>
  <c r="N54" i="146"/>
  <c r="N61" i="146"/>
  <c r="O70" i="146"/>
  <c r="N80" i="146"/>
  <c r="N96" i="146"/>
  <c r="O113" i="146"/>
  <c r="N114" i="146"/>
  <c r="N118" i="146"/>
  <c r="N136" i="146"/>
  <c r="N33" i="146"/>
  <c r="N41" i="146"/>
  <c r="N49" i="146"/>
  <c r="N66" i="146"/>
  <c r="N78" i="146"/>
  <c r="N90" i="146"/>
  <c r="O98" i="146"/>
  <c r="N106" i="146"/>
  <c r="O122" i="146"/>
  <c r="O126" i="146"/>
  <c r="O137" i="146"/>
  <c r="N100" i="146"/>
  <c r="O112" i="146"/>
  <c r="N120" i="146"/>
  <c r="O129" i="146"/>
  <c r="N130" i="146"/>
  <c r="N31" i="146"/>
  <c r="N39" i="146"/>
  <c r="N47" i="146"/>
  <c r="N55" i="146"/>
  <c r="N63" i="146"/>
  <c r="N72" i="146"/>
  <c r="O80" i="146"/>
  <c r="N94" i="146"/>
  <c r="N110" i="146"/>
  <c r="O151" i="146"/>
  <c r="O171" i="146"/>
  <c r="N34" i="146"/>
  <c r="N42" i="146"/>
  <c r="N50" i="146"/>
  <c r="N67" i="146"/>
  <c r="N70" i="146"/>
  <c r="N88" i="146"/>
  <c r="N375" i="146"/>
  <c r="N372" i="146"/>
  <c r="N377" i="146"/>
  <c r="N374" i="146"/>
  <c r="N376" i="146"/>
  <c r="N373" i="146"/>
  <c r="N364" i="146"/>
  <c r="N356" i="146"/>
  <c r="N348" i="146"/>
  <c r="N340" i="146"/>
  <c r="N332" i="146"/>
  <c r="N324" i="146"/>
  <c r="N316" i="146"/>
  <c r="N369" i="146"/>
  <c r="N361" i="146"/>
  <c r="N353" i="146"/>
  <c r="N345" i="146"/>
  <c r="N337" i="146"/>
  <c r="N329" i="146"/>
  <c r="N321" i="146"/>
  <c r="N366" i="146"/>
  <c r="N358" i="146"/>
  <c r="N350" i="146"/>
  <c r="N342" i="146"/>
  <c r="N334" i="146"/>
  <c r="N326" i="146"/>
  <c r="N318" i="146"/>
  <c r="N379" i="146"/>
  <c r="N371" i="146"/>
  <c r="N363" i="146"/>
  <c r="N355" i="146"/>
  <c r="N347" i="146"/>
  <c r="N339" i="146"/>
  <c r="N331" i="146"/>
  <c r="N368" i="146"/>
  <c r="N360" i="146"/>
  <c r="N352" i="146"/>
  <c r="N344" i="146"/>
  <c r="N336" i="146"/>
  <c r="N328" i="146"/>
  <c r="N320" i="146"/>
  <c r="N365" i="146"/>
  <c r="N357" i="146"/>
  <c r="N341" i="146"/>
  <c r="N330" i="146"/>
  <c r="N312" i="146"/>
  <c r="N309" i="146"/>
  <c r="N301" i="146"/>
  <c r="N293" i="146"/>
  <c r="N285" i="146"/>
  <c r="N277" i="146"/>
  <c r="N362" i="146"/>
  <c r="N359" i="146"/>
  <c r="N349" i="146"/>
  <c r="N338" i="146"/>
  <c r="N322" i="146"/>
  <c r="N306" i="146"/>
  <c r="N298" i="146"/>
  <c r="N290" i="146"/>
  <c r="N282" i="146"/>
  <c r="N274" i="146"/>
  <c r="N266" i="146"/>
  <c r="N258" i="146"/>
  <c r="N346" i="146"/>
  <c r="N370" i="146"/>
  <c r="N367" i="146"/>
  <c r="N308" i="146"/>
  <c r="N300" i="146"/>
  <c r="N292" i="146"/>
  <c r="N284" i="146"/>
  <c r="N276" i="146"/>
  <c r="N268" i="146"/>
  <c r="N378" i="146"/>
  <c r="N335" i="146"/>
  <c r="N315" i="146"/>
  <c r="N314" i="146"/>
  <c r="N310" i="146"/>
  <c r="N302" i="146"/>
  <c r="N294" i="146"/>
  <c r="N286" i="146"/>
  <c r="N278" i="146"/>
  <c r="N270" i="146"/>
  <c r="N262" i="146"/>
  <c r="N343" i="146"/>
  <c r="N325" i="146"/>
  <c r="N317" i="146"/>
  <c r="N313" i="146"/>
  <c r="N307" i="146"/>
  <c r="N299" i="146"/>
  <c r="N291" i="146"/>
  <c r="N354" i="146"/>
  <c r="N351" i="146"/>
  <c r="N333" i="146"/>
  <c r="N319" i="146"/>
  <c r="N251" i="146"/>
  <c r="N243" i="146"/>
  <c r="N235" i="146"/>
  <c r="N227" i="146"/>
  <c r="N219" i="146"/>
  <c r="N211" i="146"/>
  <c r="N203" i="146"/>
  <c r="N195" i="146"/>
  <c r="N187" i="146"/>
  <c r="N179" i="146"/>
  <c r="N171" i="146"/>
  <c r="N163" i="146"/>
  <c r="N155" i="146"/>
  <c r="N147" i="146"/>
  <c r="N139" i="146"/>
  <c r="N323" i="146"/>
  <c r="N305" i="146"/>
  <c r="N280" i="146"/>
  <c r="N273" i="146"/>
  <c r="N259" i="146"/>
  <c r="N256" i="146"/>
  <c r="N248" i="146"/>
  <c r="N240" i="146"/>
  <c r="N327" i="146"/>
  <c r="N303" i="146"/>
  <c r="N296" i="146"/>
  <c r="N264" i="146"/>
  <c r="N253" i="146"/>
  <c r="N245" i="146"/>
  <c r="N237" i="146"/>
  <c r="N229" i="146"/>
  <c r="N221" i="146"/>
  <c r="N213" i="146"/>
  <c r="N205" i="146"/>
  <c r="N197" i="146"/>
  <c r="N189" i="146"/>
  <c r="N181" i="146"/>
  <c r="N173" i="146"/>
  <c r="N165" i="146"/>
  <c r="N157" i="146"/>
  <c r="N149" i="146"/>
  <c r="N289" i="146"/>
  <c r="N281" i="146"/>
  <c r="N265" i="146"/>
  <c r="N263" i="146"/>
  <c r="N250" i="146"/>
  <c r="N242" i="146"/>
  <c r="N234" i="146"/>
  <c r="N226" i="146"/>
  <c r="N218" i="146"/>
  <c r="N210" i="146"/>
  <c r="N202" i="146"/>
  <c r="N194" i="146"/>
  <c r="N287" i="146"/>
  <c r="N275" i="146"/>
  <c r="N267" i="146"/>
  <c r="N255" i="146"/>
  <c r="N247" i="146"/>
  <c r="N239" i="146"/>
  <c r="N231" i="146"/>
  <c r="N223" i="146"/>
  <c r="N215" i="146"/>
  <c r="N207" i="146"/>
  <c r="N199" i="146"/>
  <c r="N191" i="146"/>
  <c r="N183" i="146"/>
  <c r="N175" i="146"/>
  <c r="N167" i="146"/>
  <c r="N159" i="146"/>
  <c r="N151" i="146"/>
  <c r="N143" i="146"/>
  <c r="N311" i="146"/>
  <c r="N304" i="146"/>
  <c r="N271" i="146"/>
  <c r="N269" i="146"/>
  <c r="N261" i="146"/>
  <c r="N297" i="146"/>
  <c r="N283" i="146"/>
  <c r="N295" i="146"/>
  <c r="N246" i="146"/>
  <c r="N230" i="146"/>
  <c r="N225" i="146"/>
  <c r="N224" i="146"/>
  <c r="N212" i="146"/>
  <c r="N198" i="146"/>
  <c r="N193" i="146"/>
  <c r="N192" i="146"/>
  <c r="N190" i="146"/>
  <c r="N170" i="146"/>
  <c r="N148" i="146"/>
  <c r="N135" i="146"/>
  <c r="N127" i="146"/>
  <c r="N119" i="146"/>
  <c r="N111" i="146"/>
  <c r="N103" i="146"/>
  <c r="N95" i="146"/>
  <c r="N87" i="146"/>
  <c r="N79" i="146"/>
  <c r="N71" i="146"/>
  <c r="N288" i="146"/>
  <c r="N279" i="146"/>
  <c r="N257" i="146"/>
  <c r="N254" i="146"/>
  <c r="N236" i="146"/>
  <c r="N172" i="146"/>
  <c r="N153" i="146"/>
  <c r="N152" i="146"/>
  <c r="N150" i="146"/>
  <c r="N132" i="146"/>
  <c r="N124" i="146"/>
  <c r="N116" i="146"/>
  <c r="N244" i="146"/>
  <c r="N233" i="146"/>
  <c r="N232" i="146"/>
  <c r="N220" i="146"/>
  <c r="N206" i="146"/>
  <c r="N201" i="146"/>
  <c r="N200" i="146"/>
  <c r="N177" i="146"/>
  <c r="N176" i="146"/>
  <c r="N174" i="146"/>
  <c r="N154" i="146"/>
  <c r="N138" i="146"/>
  <c r="N129" i="146"/>
  <c r="N121" i="146"/>
  <c r="N113" i="146"/>
  <c r="N105" i="146"/>
  <c r="N97" i="146"/>
  <c r="N89" i="146"/>
  <c r="N81" i="146"/>
  <c r="N73" i="146"/>
  <c r="N65" i="146"/>
  <c r="N57" i="146"/>
  <c r="N272" i="146"/>
  <c r="N260" i="146"/>
  <c r="N252" i="146"/>
  <c r="N241" i="146"/>
  <c r="N178" i="146"/>
  <c r="N156" i="146"/>
  <c r="N134" i="146"/>
  <c r="N249" i="146"/>
  <c r="N228" i="146"/>
  <c r="N214" i="146"/>
  <c r="N209" i="146"/>
  <c r="N208" i="146"/>
  <c r="N196" i="146"/>
  <c r="N180" i="146"/>
  <c r="N161" i="146"/>
  <c r="N160" i="146"/>
  <c r="N158" i="146"/>
  <c r="N137" i="146"/>
  <c r="N131" i="146"/>
  <c r="N123" i="146"/>
  <c r="N115" i="146"/>
  <c r="N107" i="146"/>
  <c r="N99" i="146"/>
  <c r="N91" i="146"/>
  <c r="N83" i="146"/>
  <c r="N75" i="146"/>
  <c r="N185" i="146"/>
  <c r="N184" i="146"/>
  <c r="N182" i="146"/>
  <c r="N162" i="146"/>
  <c r="N222" i="146"/>
  <c r="N217" i="146"/>
  <c r="N216" i="146"/>
  <c r="N204" i="146"/>
  <c r="N186" i="146"/>
  <c r="N164" i="146"/>
  <c r="N145" i="146"/>
  <c r="N144" i="146"/>
  <c r="N142" i="146"/>
  <c r="N141" i="146"/>
  <c r="N133" i="146"/>
  <c r="N125" i="146"/>
  <c r="N117" i="146"/>
  <c r="N109" i="146"/>
  <c r="N101" i="146"/>
  <c r="N93" i="146"/>
  <c r="N238" i="146"/>
  <c r="N188" i="146"/>
  <c r="N169" i="146"/>
  <c r="N168" i="146"/>
  <c r="N166" i="146"/>
  <c r="N146" i="146"/>
  <c r="N29" i="146"/>
  <c r="N37" i="146"/>
  <c r="N45" i="146"/>
  <c r="N53" i="146"/>
  <c r="N59" i="146"/>
  <c r="N64" i="146"/>
  <c r="N68" i="146"/>
  <c r="N69" i="146"/>
  <c r="O78" i="146"/>
  <c r="O90" i="146"/>
  <c r="N98" i="146"/>
  <c r="O106" i="146"/>
  <c r="N112" i="146"/>
  <c r="O121" i="146"/>
  <c r="N122" i="146"/>
  <c r="O124" i="146"/>
  <c r="N126" i="146"/>
  <c r="O136" i="146"/>
  <c r="O138" i="146"/>
  <c r="O157" i="146"/>
  <c r="N15" i="146"/>
  <c r="N17" i="146"/>
  <c r="N19" i="146"/>
  <c r="N21" i="146"/>
  <c r="N23" i="146"/>
  <c r="N25" i="146"/>
  <c r="N27" i="146"/>
  <c r="N32" i="146"/>
  <c r="N40" i="146"/>
  <c r="N48" i="146"/>
  <c r="N56" i="146"/>
  <c r="N60" i="146"/>
  <c r="O72" i="146"/>
  <c r="O76" i="146"/>
  <c r="N86" i="146"/>
  <c r="N92" i="146"/>
  <c r="O100" i="146"/>
  <c r="N108" i="146"/>
  <c r="O130" i="146"/>
  <c r="O178" i="146"/>
  <c r="O252" i="146"/>
  <c r="O154" i="146"/>
  <c r="O172" i="146"/>
  <c r="O194" i="146"/>
  <c r="O207" i="146"/>
  <c r="O226" i="146"/>
  <c r="O244" i="146"/>
  <c r="O255" i="146"/>
  <c r="O262" i="146"/>
  <c r="O306" i="146"/>
  <c r="O236" i="146"/>
  <c r="O170" i="146"/>
  <c r="O188" i="146"/>
  <c r="O199" i="146"/>
  <c r="O218" i="146"/>
  <c r="O231" i="146"/>
  <c r="O247" i="146"/>
  <c r="O265" i="146"/>
  <c r="O270" i="146"/>
  <c r="O146" i="146"/>
  <c r="O164" i="146"/>
  <c r="O204" i="146"/>
  <c r="O239" i="146"/>
  <c r="O186" i="146"/>
  <c r="O210" i="146"/>
  <c r="O223" i="146"/>
  <c r="O250" i="146"/>
  <c r="O282" i="146"/>
  <c r="O162" i="146"/>
  <c r="O180" i="146"/>
  <c r="O196" i="146"/>
  <c r="O228" i="146"/>
  <c r="O242" i="146"/>
  <c r="O253" i="146"/>
  <c r="O261" i="146"/>
  <c r="O156" i="146"/>
  <c r="O202" i="146"/>
  <c r="O215" i="146"/>
  <c r="O234" i="146"/>
  <c r="O245" i="146"/>
  <c r="O258" i="146"/>
  <c r="O281" i="146"/>
  <c r="O273" i="146"/>
  <c r="O296" i="146"/>
  <c r="O298" i="146"/>
  <c r="O283" i="146"/>
  <c r="O307" i="146"/>
  <c r="O312" i="146"/>
  <c r="O267" i="146"/>
  <c r="O271" i="146"/>
  <c r="O275" i="146"/>
  <c r="O290" i="146"/>
  <c r="O297" i="146"/>
  <c r="O299" i="146"/>
  <c r="O311" i="146"/>
  <c r="O339" i="146"/>
  <c r="O323" i="146"/>
  <c r="O331" i="146"/>
  <c r="O342" i="146"/>
  <c r="O355" i="146"/>
  <c r="O357" i="146"/>
  <c r="O334" i="146"/>
  <c r="O349" i="146"/>
  <c r="O341" i="146"/>
  <c r="O317" i="146"/>
  <c r="O333" i="146"/>
  <c r="O315" i="146"/>
  <c r="O358" i="146"/>
  <c r="O347" i="146"/>
  <c r="O363" i="146"/>
  <c r="O365" i="146"/>
  <c r="O378" i="146"/>
  <c r="W11" i="152"/>
  <c r="K23" i="150"/>
  <c r="O11" i="150" s="1"/>
  <c r="P11" i="150" s="1"/>
  <c r="V11" i="152"/>
  <c r="Q18" i="151"/>
  <c r="P377" i="146" l="1"/>
  <c r="P374" i="146"/>
  <c r="P379" i="146"/>
  <c r="P376" i="146"/>
  <c r="P378" i="146"/>
  <c r="P375" i="146"/>
  <c r="P372" i="146"/>
  <c r="P366" i="146"/>
  <c r="P358" i="146"/>
  <c r="P350" i="146"/>
  <c r="P342" i="146"/>
  <c r="P334" i="146"/>
  <c r="P326" i="146"/>
  <c r="P318" i="146"/>
  <c r="P371" i="146"/>
  <c r="P363" i="146"/>
  <c r="P355" i="146"/>
  <c r="P347" i="146"/>
  <c r="P339" i="146"/>
  <c r="P331" i="146"/>
  <c r="P323" i="146"/>
  <c r="P368" i="146"/>
  <c r="P360" i="146"/>
  <c r="P352" i="146"/>
  <c r="P344" i="146"/>
  <c r="P336" i="146"/>
  <c r="P328" i="146"/>
  <c r="P320" i="146"/>
  <c r="P365" i="146"/>
  <c r="P357" i="146"/>
  <c r="P349" i="146"/>
  <c r="P341" i="146"/>
  <c r="P333" i="146"/>
  <c r="P325" i="146"/>
  <c r="P370" i="146"/>
  <c r="P362" i="146"/>
  <c r="P354" i="146"/>
  <c r="P346" i="146"/>
  <c r="P338" i="146"/>
  <c r="P330" i="146"/>
  <c r="P322" i="146"/>
  <c r="P367" i="146"/>
  <c r="P359" i="146"/>
  <c r="P351" i="146"/>
  <c r="P373" i="146"/>
  <c r="P337" i="146"/>
  <c r="P321" i="146"/>
  <c r="P311" i="146"/>
  <c r="P303" i="146"/>
  <c r="P295" i="146"/>
  <c r="P287" i="146"/>
  <c r="P279" i="146"/>
  <c r="P271" i="146"/>
  <c r="P369" i="146"/>
  <c r="P364" i="146"/>
  <c r="P345" i="146"/>
  <c r="P308" i="146"/>
  <c r="P300" i="146"/>
  <c r="P292" i="146"/>
  <c r="P284" i="146"/>
  <c r="P276" i="146"/>
  <c r="P268" i="146"/>
  <c r="P260" i="146"/>
  <c r="P327" i="146"/>
  <c r="P335" i="146"/>
  <c r="P314" i="146"/>
  <c r="P310" i="146"/>
  <c r="P302" i="146"/>
  <c r="P294" i="146"/>
  <c r="P286" i="146"/>
  <c r="P278" i="146"/>
  <c r="P270" i="146"/>
  <c r="P343" i="146"/>
  <c r="P353" i="146"/>
  <c r="P332" i="146"/>
  <c r="P319" i="146"/>
  <c r="P317" i="146"/>
  <c r="P316" i="146"/>
  <c r="P313" i="146"/>
  <c r="P304" i="146"/>
  <c r="P296" i="146"/>
  <c r="P288" i="146"/>
  <c r="P280" i="146"/>
  <c r="P272" i="146"/>
  <c r="P264" i="146"/>
  <c r="P340" i="146"/>
  <c r="P312" i="146"/>
  <c r="P309" i="146"/>
  <c r="P301" i="146"/>
  <c r="P293" i="146"/>
  <c r="P285" i="146"/>
  <c r="P361" i="146"/>
  <c r="P356" i="146"/>
  <c r="P348" i="146"/>
  <c r="P329" i="146"/>
  <c r="P305" i="146"/>
  <c r="P291" i="146"/>
  <c r="P273" i="146"/>
  <c r="P253" i="146"/>
  <c r="P245" i="146"/>
  <c r="P237" i="146"/>
  <c r="P229" i="146"/>
  <c r="P221" i="146"/>
  <c r="P213" i="146"/>
  <c r="P205" i="146"/>
  <c r="P197" i="146"/>
  <c r="P189" i="146"/>
  <c r="P181" i="146"/>
  <c r="P173" i="146"/>
  <c r="P165" i="146"/>
  <c r="P157" i="146"/>
  <c r="P149" i="146"/>
  <c r="P141" i="146"/>
  <c r="P298" i="146"/>
  <c r="P250" i="146"/>
  <c r="P242" i="146"/>
  <c r="P234" i="146"/>
  <c r="P289" i="146"/>
  <c r="P281" i="146"/>
  <c r="P265" i="146"/>
  <c r="P263" i="146"/>
  <c r="P258" i="146"/>
  <c r="P255" i="146"/>
  <c r="P247" i="146"/>
  <c r="P239" i="146"/>
  <c r="P231" i="146"/>
  <c r="P223" i="146"/>
  <c r="P215" i="146"/>
  <c r="P207" i="146"/>
  <c r="P199" i="146"/>
  <c r="P191" i="146"/>
  <c r="P183" i="146"/>
  <c r="P175" i="146"/>
  <c r="P167" i="146"/>
  <c r="P159" i="146"/>
  <c r="P151" i="146"/>
  <c r="P143" i="146"/>
  <c r="P299" i="146"/>
  <c r="P275" i="146"/>
  <c r="P274" i="146"/>
  <c r="P269" i="146"/>
  <c r="P267" i="146"/>
  <c r="P266" i="146"/>
  <c r="P262" i="146"/>
  <c r="P261" i="146"/>
  <c r="P252" i="146"/>
  <c r="P244" i="146"/>
  <c r="P236" i="146"/>
  <c r="P228" i="146"/>
  <c r="P220" i="146"/>
  <c r="P212" i="146"/>
  <c r="P204" i="146"/>
  <c r="P196" i="146"/>
  <c r="P315" i="146"/>
  <c r="P306" i="146"/>
  <c r="P257" i="146"/>
  <c r="P249" i="146"/>
  <c r="P241" i="146"/>
  <c r="P233" i="146"/>
  <c r="P225" i="146"/>
  <c r="P217" i="146"/>
  <c r="P209" i="146"/>
  <c r="P201" i="146"/>
  <c r="P193" i="146"/>
  <c r="P185" i="146"/>
  <c r="P177" i="146"/>
  <c r="P169" i="146"/>
  <c r="P161" i="146"/>
  <c r="P153" i="146"/>
  <c r="P145" i="146"/>
  <c r="P324" i="146"/>
  <c r="P297" i="146"/>
  <c r="P283" i="146"/>
  <c r="P282" i="146"/>
  <c r="P277" i="146"/>
  <c r="P254" i="146"/>
  <c r="P307" i="146"/>
  <c r="P290" i="146"/>
  <c r="P243" i="146"/>
  <c r="P218" i="146"/>
  <c r="P206" i="146"/>
  <c r="P174" i="146"/>
  <c r="P172" i="146"/>
  <c r="P171" i="146"/>
  <c r="P152" i="146"/>
  <c r="P138" i="146"/>
  <c r="P129" i="146"/>
  <c r="P121" i="146"/>
  <c r="P113" i="146"/>
  <c r="P105" i="146"/>
  <c r="P97" i="146"/>
  <c r="P89" i="146"/>
  <c r="P81" i="146"/>
  <c r="P73" i="146"/>
  <c r="P259" i="146"/>
  <c r="P251" i="146"/>
  <c r="P232" i="146"/>
  <c r="P219" i="146"/>
  <c r="P200" i="146"/>
  <c r="P176" i="146"/>
  <c r="P154" i="146"/>
  <c r="P134" i="146"/>
  <c r="P126" i="146"/>
  <c r="P118" i="146"/>
  <c r="P110" i="146"/>
  <c r="P240" i="146"/>
  <c r="P226" i="146"/>
  <c r="P214" i="146"/>
  <c r="P194" i="146"/>
  <c r="P178" i="146"/>
  <c r="P158" i="146"/>
  <c r="P156" i="146"/>
  <c r="P155" i="146"/>
  <c r="P137" i="146"/>
  <c r="P131" i="146"/>
  <c r="P123" i="146"/>
  <c r="P115" i="146"/>
  <c r="P107" i="146"/>
  <c r="P99" i="146"/>
  <c r="P91" i="146"/>
  <c r="P83" i="146"/>
  <c r="P75" i="146"/>
  <c r="P67" i="146"/>
  <c r="P59" i="146"/>
  <c r="P248" i="146"/>
  <c r="P227" i="146"/>
  <c r="P208" i="146"/>
  <c r="P195" i="146"/>
  <c r="P182" i="146"/>
  <c r="P180" i="146"/>
  <c r="P179" i="146"/>
  <c r="P160" i="146"/>
  <c r="P222" i="146"/>
  <c r="P202" i="146"/>
  <c r="P184" i="146"/>
  <c r="P162" i="146"/>
  <c r="P142" i="146"/>
  <c r="P136" i="146"/>
  <c r="P133" i="146"/>
  <c r="P125" i="146"/>
  <c r="P117" i="146"/>
  <c r="P109" i="146"/>
  <c r="P101" i="146"/>
  <c r="P93" i="146"/>
  <c r="P85" i="146"/>
  <c r="P77" i="146"/>
  <c r="P69" i="146"/>
  <c r="P238" i="146"/>
  <c r="P216" i="146"/>
  <c r="P203" i="146"/>
  <c r="P186" i="146"/>
  <c r="P166" i="146"/>
  <c r="P164" i="146"/>
  <c r="P163" i="146"/>
  <c r="P246" i="146"/>
  <c r="P230" i="146"/>
  <c r="P210" i="146"/>
  <c r="P198" i="146"/>
  <c r="P190" i="146"/>
  <c r="P188" i="146"/>
  <c r="P187" i="146"/>
  <c r="P168" i="146"/>
  <c r="P146" i="146"/>
  <c r="P140" i="146"/>
  <c r="P135" i="146"/>
  <c r="P127" i="146"/>
  <c r="P119" i="146"/>
  <c r="P111" i="146"/>
  <c r="P103" i="146"/>
  <c r="P95" i="146"/>
  <c r="P256" i="146"/>
  <c r="P235" i="146"/>
  <c r="P224" i="146"/>
  <c r="P211" i="146"/>
  <c r="P192" i="146"/>
  <c r="P170" i="146"/>
  <c r="P150" i="146"/>
  <c r="P148" i="146"/>
  <c r="P147" i="146"/>
  <c r="P122" i="146"/>
  <c r="P112" i="146"/>
  <c r="P98" i="146"/>
  <c r="P87" i="146"/>
  <c r="P68" i="146"/>
  <c r="P50" i="146"/>
  <c r="P42" i="146"/>
  <c r="P34" i="146"/>
  <c r="T14" i="146"/>
  <c r="T26" i="146" s="1"/>
  <c r="T27" i="146" s="1"/>
  <c r="P104" i="146"/>
  <c r="P88" i="146"/>
  <c r="P70" i="146"/>
  <c r="P63" i="146"/>
  <c r="P55" i="146"/>
  <c r="P47" i="146"/>
  <c r="P39" i="146"/>
  <c r="P31" i="146"/>
  <c r="P132" i="146"/>
  <c r="P116" i="146"/>
  <c r="P94" i="146"/>
  <c r="P74" i="146"/>
  <c r="P72" i="146"/>
  <c r="P71" i="146"/>
  <c r="P58" i="146"/>
  <c r="P52" i="146"/>
  <c r="P44" i="146"/>
  <c r="P36" i="146"/>
  <c r="P28" i="146"/>
  <c r="P26" i="146"/>
  <c r="P24" i="146"/>
  <c r="P22" i="146"/>
  <c r="P20" i="146"/>
  <c r="P18" i="146"/>
  <c r="P16" i="146"/>
  <c r="P139" i="146"/>
  <c r="P130" i="146"/>
  <c r="P120" i="146"/>
  <c r="P100" i="146"/>
  <c r="P76" i="146"/>
  <c r="P66" i="146"/>
  <c r="P62" i="146"/>
  <c r="P49" i="146"/>
  <c r="P41" i="146"/>
  <c r="P33" i="146"/>
  <c r="P144" i="146"/>
  <c r="P106" i="146"/>
  <c r="P90" i="146"/>
  <c r="P124" i="146"/>
  <c r="P114" i="146"/>
  <c r="P96" i="146"/>
  <c r="P82" i="146"/>
  <c r="P80" i="146"/>
  <c r="P79" i="146"/>
  <c r="P57" i="146"/>
  <c r="P51" i="146"/>
  <c r="P43" i="146"/>
  <c r="P35" i="146"/>
  <c r="P128" i="146"/>
  <c r="P102" i="146"/>
  <c r="P84" i="146"/>
  <c r="P65" i="146"/>
  <c r="P60" i="146"/>
  <c r="P56" i="146"/>
  <c r="P48" i="146"/>
  <c r="P40" i="146"/>
  <c r="P32" i="146"/>
  <c r="P27" i="146"/>
  <c r="P25" i="146"/>
  <c r="P23" i="146"/>
  <c r="P21" i="146"/>
  <c r="P19" i="146"/>
  <c r="P17" i="146"/>
  <c r="P15" i="146"/>
  <c r="P108" i="146"/>
  <c r="P92" i="146"/>
  <c r="P86" i="146"/>
  <c r="P64" i="146"/>
  <c r="P53" i="146"/>
  <c r="P45" i="146"/>
  <c r="P37" i="146"/>
  <c r="P29" i="146"/>
  <c r="P78" i="146"/>
  <c r="P54" i="146"/>
  <c r="P30" i="146"/>
  <c r="P61" i="146"/>
  <c r="P46" i="146"/>
  <c r="P38" i="146"/>
  <c r="C17" i="146"/>
  <c r="B18" i="146"/>
  <c r="B19" i="146" l="1"/>
  <c r="C18" i="146"/>
  <c r="C19" i="146" l="1"/>
  <c r="B20" i="146"/>
  <c r="B21" i="146" l="1"/>
  <c r="C20" i="146"/>
  <c r="C21" i="146" l="1"/>
  <c r="B22" i="146"/>
  <c r="B23" i="146" l="1"/>
  <c r="C22" i="146"/>
  <c r="C23" i="146" l="1"/>
  <c r="B24" i="146"/>
  <c r="B25" i="146" l="1"/>
  <c r="C24" i="146"/>
  <c r="C25" i="146" l="1"/>
  <c r="B26" i="146"/>
  <c r="B27" i="146" l="1"/>
  <c r="C26" i="146"/>
  <c r="C27" i="146" l="1"/>
  <c r="B28" i="146"/>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B69" i="146" l="1"/>
  <c r="C68"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C100" i="146" l="1"/>
  <c r="B101"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C116" i="146" l="1"/>
  <c r="B117"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B149" i="146" l="1"/>
  <c r="C148"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B181" i="146" l="1"/>
  <c r="C180"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B213" i="146" l="1"/>
  <c r="C212"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B229" i="146" l="1"/>
  <c r="C228"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B245" i="146" l="1"/>
  <c r="C244"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B277" i="146" l="1"/>
  <c r="C276"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B293" i="146" l="1"/>
  <c r="C292"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B309" i="146" l="1"/>
  <c r="C308"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B321" i="146" l="1"/>
  <c r="C320" i="146"/>
  <c r="C321" i="146" l="1"/>
  <c r="B322" i="146"/>
  <c r="C322" i="146" l="1"/>
  <c r="B323" i="146"/>
  <c r="B324" i="146" l="1"/>
  <c r="C323" i="146"/>
  <c r="C324" i="146" l="1"/>
  <c r="B325"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C340" i="146" l="1"/>
  <c r="B341" i="146"/>
  <c r="B342" i="146" l="1"/>
  <c r="C341" i="146"/>
  <c r="C342" i="146" l="1"/>
  <c r="B343" i="146"/>
  <c r="B344" i="146" l="1"/>
  <c r="C343" i="146"/>
  <c r="B345" i="146" l="1"/>
  <c r="C344" i="146"/>
  <c r="C345" i="146" l="1"/>
  <c r="B346" i="146"/>
  <c r="B347" i="146" l="1"/>
  <c r="C346" i="146"/>
  <c r="B348" i="146" l="1"/>
  <c r="C347" i="146"/>
  <c r="C348" i="146" l="1"/>
  <c r="B349" i="146"/>
  <c r="B350" i="146" l="1"/>
  <c r="C349" i="146"/>
  <c r="C350" i="146" l="1"/>
  <c r="B351" i="146"/>
  <c r="B352" i="146" l="1"/>
  <c r="C351" i="146"/>
  <c r="B353" i="146" l="1"/>
  <c r="C352" i="146"/>
  <c r="C353" i="146" l="1"/>
  <c r="B354" i="146"/>
  <c r="B355" i="146" l="1"/>
  <c r="C354" i="146"/>
  <c r="B356" i="146" l="1"/>
  <c r="C355" i="146"/>
  <c r="B357" i="146" l="1"/>
  <c r="C356" i="146"/>
  <c r="B358" i="146" l="1"/>
  <c r="C357" i="146"/>
  <c r="C358" i="146" l="1"/>
  <c r="B359" i="146"/>
  <c r="B360" i="146" l="1"/>
  <c r="C359" i="146"/>
  <c r="B361" i="146" l="1"/>
  <c r="C360" i="146"/>
  <c r="C361" i="146" l="1"/>
  <c r="B362" i="146"/>
  <c r="B363" i="146" l="1"/>
  <c r="C362" i="146"/>
  <c r="B364" i="146" l="1"/>
  <c r="C363" i="146"/>
  <c r="B365" i="146" l="1"/>
  <c r="C364" i="146"/>
  <c r="B366" i="146" l="1"/>
  <c r="C365" i="146"/>
  <c r="C366" i="146" l="1"/>
  <c r="B367" i="146"/>
  <c r="B368" i="146" l="1"/>
  <c r="C367" i="146"/>
  <c r="B369" i="146" l="1"/>
  <c r="C368" i="146"/>
  <c r="C369" i="146" l="1"/>
  <c r="B370" i="146"/>
  <c r="B371" i="146" l="1"/>
  <c r="C370" i="146"/>
  <c r="B372" i="146" l="1"/>
  <c r="C371" i="146"/>
  <c r="C372" i="146" l="1"/>
  <c r="B373" i="146"/>
  <c r="B374" i="146" l="1"/>
  <c r="C373" i="146"/>
  <c r="B375" i="146" l="1"/>
  <c r="C374" i="146"/>
  <c r="B376" i="146" l="1"/>
  <c r="C375" i="146"/>
  <c r="B377" i="146" l="1"/>
  <c r="C376" i="146"/>
  <c r="C377" i="146" l="1"/>
  <c r="B378" i="146"/>
  <c r="C378" i="146" l="1"/>
  <c r="B379" i="146"/>
  <c r="C379" i="146" s="1"/>
  <c r="T24" i="146" l="1"/>
  <c r="T22" i="146"/>
  <c r="T16" i="146"/>
  <c r="T19" i="146"/>
  <c r="T23" i="146"/>
  <c r="T17" i="146"/>
  <c r="T18" i="146"/>
  <c r="T20" i="146"/>
  <c r="T15" i="146"/>
  <c r="T25" i="146"/>
  <c r="T21" i="146"/>
  <c r="R74" i="138" l="1"/>
  <c r="R73" i="138"/>
  <c r="R72" i="138"/>
  <c r="R71" i="138"/>
  <c r="R70" i="138"/>
  <c r="R67" i="138"/>
  <c r="R66" i="138"/>
  <c r="R65" i="138"/>
  <c r="R64" i="138"/>
  <c r="R63" i="138"/>
  <c r="R60" i="138"/>
  <c r="R59" i="138"/>
  <c r="R58" i="138"/>
  <c r="R57" i="138"/>
  <c r="R56" i="138"/>
  <c r="R55" i="138"/>
  <c r="R54" i="138"/>
  <c r="R51" i="138"/>
  <c r="R50" i="138"/>
  <c r="R49" i="138"/>
  <c r="R48" i="138"/>
  <c r="R47" i="138"/>
  <c r="R44" i="138"/>
  <c r="R43" i="138"/>
  <c r="R42" i="138"/>
  <c r="R41" i="138"/>
  <c r="R40" i="138"/>
  <c r="R37" i="138"/>
  <c r="R36" i="138"/>
  <c r="R35" i="138"/>
  <c r="R34" i="138"/>
  <c r="R33" i="138"/>
  <c r="R27" i="138"/>
  <c r="R24" i="138"/>
  <c r="R23" i="138"/>
  <c r="R22" i="138"/>
  <c r="R21" i="138"/>
  <c r="R20" i="138"/>
  <c r="E33" i="13" l="1"/>
  <c r="F33" i="13" s="1"/>
  <c r="F32" i="13"/>
  <c r="E32" i="13"/>
  <c r="F31" i="13"/>
  <c r="E31" i="13"/>
  <c r="C22" i="13"/>
  <c r="C21" i="13"/>
  <c r="C20" i="13"/>
  <c r="C19" i="13"/>
  <c r="C18" i="13"/>
  <c r="C17" i="13"/>
  <c r="C16" i="13"/>
  <c r="C15" i="13"/>
  <c r="C14" i="13"/>
  <c r="C13" i="13"/>
  <c r="C12" i="13"/>
  <c r="D41" i="13" l="1"/>
  <c r="AI65" i="155"/>
  <c r="AH64" i="155"/>
  <c r="AE64" i="155"/>
  <c r="AH65" i="155"/>
  <c r="AF65" i="155"/>
  <c r="AG65" i="155"/>
  <c r="AF64" i="155"/>
  <c r="AG62" i="155"/>
  <c r="AE65" i="155"/>
  <c r="AI63" i="155"/>
  <c r="AF62" i="155"/>
  <c r="AG64" i="155" l="1"/>
  <c r="AE62" i="155"/>
  <c r="AH63" i="155"/>
  <c r="AH62" i="155"/>
  <c r="AI62" i="155"/>
  <c r="AE63" i="155"/>
  <c r="AF63" i="155"/>
  <c r="AI64" i="155"/>
  <c r="AG63" i="155"/>
  <c r="P13" i="96"/>
  <c r="Q13"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Q260" i="92"/>
  <c r="Q262" i="92"/>
  <c r="Q264" i="92"/>
  <c r="Q266" i="92"/>
  <c r="Q268" i="92"/>
  <c r="Q270" i="92"/>
  <c r="Q272" i="92"/>
  <c r="Q274" i="92"/>
  <c r="Q276" i="92"/>
  <c r="Q278" i="92"/>
  <c r="Q280" i="92"/>
  <c r="Q282" i="92"/>
  <c r="Q284" i="92"/>
  <c r="Q286" i="92"/>
  <c r="Q288" i="92"/>
  <c r="Q290" i="92"/>
  <c r="Q292" i="92"/>
  <c r="Q294" i="92"/>
  <c r="Q296" i="92"/>
  <c r="Q298" i="92"/>
  <c r="Q300" i="92"/>
  <c r="Q302" i="92"/>
  <c r="Q304" i="92"/>
  <c r="Q306" i="92"/>
  <c r="Q308" i="92"/>
  <c r="Q310" i="92"/>
  <c r="Q312" i="92"/>
  <c r="Q314" i="92"/>
  <c r="Q316" i="92"/>
  <c r="Q318" i="92"/>
  <c r="Q320" i="92"/>
  <c r="Q322" i="92"/>
  <c r="Q324" i="92"/>
  <c r="Q326" i="92"/>
  <c r="Q261" i="92"/>
  <c r="Q265" i="92"/>
  <c r="Q269" i="92"/>
  <c r="Q273" i="92"/>
  <c r="Q277" i="92"/>
  <c r="Q281" i="92"/>
  <c r="Q285" i="92"/>
  <c r="Q289" i="92"/>
  <c r="Q293" i="92"/>
  <c r="Q297" i="92"/>
  <c r="Q301" i="92"/>
  <c r="Q305" i="92"/>
  <c r="Q309" i="92"/>
  <c r="Q313" i="92"/>
  <c r="Q317" i="92"/>
  <c r="Q321" i="92"/>
  <c r="Q325" i="92"/>
  <c r="Q329" i="92"/>
  <c r="Q333" i="92"/>
  <c r="Q337" i="92"/>
  <c r="P259" i="92"/>
  <c r="Q259" i="92"/>
  <c r="P260" i="92"/>
  <c r="P267" i="92"/>
  <c r="P269" i="92"/>
  <c r="P271" i="92"/>
  <c r="P273" i="92"/>
  <c r="P279" i="92"/>
  <c r="Q279" i="92"/>
  <c r="Q283" i="92"/>
  <c r="P285" i="92"/>
  <c r="Q291" i="92"/>
  <c r="P292" i="92"/>
  <c r="P295" i="92"/>
  <c r="P299" i="92"/>
  <c r="P302" i="92"/>
  <c r="Q303" i="92"/>
  <c r="P304" i="92"/>
  <c r="Q307" i="92"/>
  <c r="P311" i="92"/>
  <c r="Q311" i="92"/>
  <c r="P315" i="92"/>
  <c r="P317" i="92"/>
  <c r="P318" i="92"/>
  <c r="P320" i="92"/>
  <c r="Q328" i="92"/>
  <c r="P329" i="92"/>
  <c r="P330" i="92"/>
  <c r="Q330" i="92"/>
  <c r="P331" i="92"/>
  <c r="Q331" i="92"/>
  <c r="Q332" i="92"/>
  <c r="P333" i="92"/>
  <c r="Q334" i="92"/>
  <c r="Q336" i="92"/>
  <c r="P261" i="92"/>
  <c r="P263" i="92"/>
  <c r="P265" i="92"/>
  <c r="P275" i="92"/>
  <c r="P277" i="92"/>
  <c r="P281" i="92"/>
  <c r="P283" i="92"/>
  <c r="P287" i="92"/>
  <c r="P289" i="92"/>
  <c r="P291" i="92"/>
  <c r="P293" i="92"/>
  <c r="P297" i="92"/>
  <c r="P301" i="92"/>
  <c r="P303" i="92"/>
  <c r="P305" i="92"/>
  <c r="P307" i="92"/>
  <c r="P309" i="92"/>
  <c r="P313" i="92"/>
  <c r="P319" i="92"/>
  <c r="P321" i="92"/>
  <c r="P323" i="92"/>
  <c r="P325" i="92"/>
  <c r="P327" i="92"/>
  <c r="P335" i="92"/>
  <c r="P337" i="92"/>
  <c r="P262" i="92"/>
  <c r="Q263" i="92"/>
  <c r="P264" i="92"/>
  <c r="P266" i="92"/>
  <c r="Q267" i="92"/>
  <c r="P268" i="92"/>
  <c r="P270" i="92"/>
  <c r="Q271" i="92"/>
  <c r="P272" i="92"/>
  <c r="P274" i="92"/>
  <c r="Q275" i="92"/>
  <c r="P276" i="92"/>
  <c r="P278" i="92"/>
  <c r="P280" i="92"/>
  <c r="P282" i="92"/>
  <c r="P284" i="92"/>
  <c r="P286" i="92"/>
  <c r="Q287" i="92"/>
  <c r="P288" i="92"/>
  <c r="P290" i="92"/>
  <c r="P294" i="92"/>
  <c r="Q295" i="92"/>
  <c r="P296" i="92"/>
  <c r="P298" i="92"/>
  <c r="Q299" i="92"/>
  <c r="P300" i="92"/>
  <c r="P306" i="92"/>
  <c r="P308" i="92"/>
  <c r="P310" i="92"/>
  <c r="P312" i="92"/>
  <c r="P314" i="92"/>
  <c r="Q315" i="92"/>
  <c r="P316" i="92"/>
  <c r="Q319" i="92"/>
  <c r="P322" i="92"/>
  <c r="Q323" i="92"/>
  <c r="P324" i="92"/>
  <c r="P326" i="92"/>
  <c r="Q327" i="92"/>
  <c r="P328" i="92"/>
  <c r="P332" i="92"/>
  <c r="P334" i="92"/>
  <c r="Q335" i="92"/>
  <c r="P336" i="92"/>
  <c r="Q147" i="93" l="1"/>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O14" i="89" l="1"/>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63" i="89" s="1"/>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O89" i="89"/>
  <c r="O90" i="89" s="1"/>
  <c r="O91" i="89" s="1"/>
  <c r="O92" i="89" s="1"/>
  <c r="O93" i="89" s="1"/>
  <c r="O94" i="89" s="1"/>
  <c r="O95" i="89" s="1"/>
  <c r="O96" i="89" s="1"/>
  <c r="O97" i="89" s="1"/>
  <c r="O98" i="89" s="1"/>
  <c r="O99" i="89" s="1"/>
  <c r="O100" i="89" s="1"/>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88" i="89"/>
  <c r="O125" i="89"/>
  <c r="O126" i="89" s="1"/>
  <c r="O127" i="89" s="1"/>
  <c r="O128" i="89" s="1"/>
  <c r="O129" i="89" s="1"/>
  <c r="O130" i="89" s="1"/>
  <c r="O131" i="89" s="1"/>
  <c r="O132" i="89" s="1"/>
  <c r="O133" i="89" s="1"/>
  <c r="O134" i="89" s="1"/>
  <c r="O135" i="89" s="1"/>
  <c r="O136" i="89" s="1"/>
  <c r="O137" i="89" s="1"/>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P157" i="89"/>
  <c r="P156" i="89"/>
  <c r="P155" i="89"/>
  <c r="P120" i="89"/>
  <c r="P119" i="89"/>
  <c r="P118" i="89"/>
  <c r="P82" i="89"/>
  <c r="P83" i="89"/>
  <c r="P81" i="89"/>
  <c r="AI113" i="69" l="1"/>
  <c r="AH113" i="69"/>
  <c r="AG113" i="69"/>
  <c r="AF113" i="69"/>
  <c r="AE113" i="69"/>
  <c r="AI106" i="69"/>
  <c r="AH106" i="69"/>
  <c r="AG106" i="69"/>
  <c r="AF106" i="69"/>
  <c r="AE106" i="69"/>
  <c r="AI99" i="69"/>
  <c r="AH99" i="69"/>
  <c r="AG99" i="69"/>
  <c r="AF99" i="69"/>
  <c r="AE99" i="69"/>
  <c r="AI92" i="69"/>
  <c r="AH92" i="69"/>
  <c r="AG92" i="69"/>
  <c r="AF92" i="69"/>
  <c r="AE92" i="69"/>
  <c r="AI85" i="69"/>
  <c r="AH85" i="69"/>
  <c r="AG85" i="69"/>
  <c r="AF85" i="69"/>
  <c r="AE85" i="69"/>
  <c r="AI78" i="69"/>
  <c r="AH78" i="69"/>
  <c r="AG78" i="69"/>
  <c r="AF78" i="69"/>
  <c r="AE78" i="69"/>
  <c r="AI71" i="69"/>
  <c r="AH71" i="69"/>
  <c r="AG71" i="69"/>
  <c r="AF71" i="69"/>
  <c r="AE71" i="69"/>
  <c r="AI61" i="69"/>
  <c r="AH61" i="69"/>
  <c r="AG61" i="69"/>
  <c r="AF61" i="69"/>
  <c r="AE61" i="69"/>
  <c r="AI54" i="69"/>
  <c r="AH54" i="69"/>
  <c r="AG54" i="69"/>
  <c r="AF54" i="69"/>
  <c r="AE54" i="69"/>
  <c r="AI47" i="69"/>
  <c r="AH47" i="69"/>
  <c r="AG47" i="69"/>
  <c r="AF47" i="69"/>
  <c r="AE47" i="69"/>
  <c r="AI40" i="69"/>
  <c r="AH40" i="69"/>
  <c r="AG40" i="69"/>
  <c r="AF40" i="69"/>
  <c r="AE40" i="69"/>
  <c r="AI33" i="69"/>
  <c r="AH33" i="69"/>
  <c r="AG33" i="69"/>
  <c r="AF33" i="69"/>
  <c r="AE33" i="69"/>
  <c r="AI26" i="69"/>
  <c r="AH26" i="69"/>
  <c r="AG26" i="69"/>
  <c r="AF26" i="69"/>
  <c r="AE26" i="69"/>
  <c r="AI19" i="69"/>
  <c r="AH19" i="69"/>
  <c r="AG19" i="69"/>
  <c r="AF19" i="69"/>
  <c r="AE19" i="69"/>
  <c r="AI45" i="70"/>
  <c r="AH45" i="70"/>
  <c r="AG45" i="70"/>
  <c r="AF45" i="70"/>
  <c r="AE45" i="70"/>
  <c r="AI42" i="70"/>
  <c r="AH42" i="70"/>
  <c r="AG42" i="70"/>
  <c r="AF42" i="70"/>
  <c r="AE42" i="70"/>
  <c r="AI39" i="70"/>
  <c r="AH39" i="70"/>
  <c r="AG39" i="70"/>
  <c r="AF39" i="70"/>
  <c r="AE39" i="70"/>
  <c r="AI36" i="70"/>
  <c r="AH36" i="70"/>
  <c r="AG36" i="70"/>
  <c r="AF36" i="70"/>
  <c r="AE36" i="70"/>
  <c r="AI33" i="70"/>
  <c r="AH33" i="70"/>
  <c r="AG33" i="70"/>
  <c r="AF33" i="70"/>
  <c r="AE33" i="70"/>
  <c r="AI27" i="70"/>
  <c r="AH27" i="70"/>
  <c r="AG27" i="70"/>
  <c r="AF27" i="70"/>
  <c r="AE27" i="70"/>
  <c r="AI24" i="70"/>
  <c r="AH24" i="70"/>
  <c r="AG24" i="70"/>
  <c r="AF24" i="70"/>
  <c r="AE24" i="70"/>
  <c r="AI21" i="70"/>
  <c r="AH21" i="70"/>
  <c r="AG21" i="70"/>
  <c r="AF21" i="70"/>
  <c r="AE21" i="70"/>
  <c r="AI18" i="70"/>
  <c r="AH18" i="70"/>
  <c r="AG18" i="70"/>
  <c r="AF18" i="70"/>
  <c r="AE18" i="70"/>
  <c r="AI15" i="70"/>
  <c r="AH15" i="70"/>
  <c r="AG15" i="70"/>
  <c r="AF15" i="70"/>
  <c r="AE15" i="70"/>
  <c r="A2" i="147" l="1"/>
  <c r="A2" i="174"/>
  <c r="A2" i="94"/>
  <c r="A2" i="118"/>
  <c r="A2" i="152"/>
  <c r="A2" i="144"/>
  <c r="A2" i="154"/>
  <c r="A2" i="74"/>
  <c r="A2" i="71"/>
  <c r="A2" i="73"/>
  <c r="A2" i="80"/>
  <c r="A2" i="14"/>
  <c r="A2" i="149"/>
  <c r="A2" i="141"/>
  <c r="A2" i="92"/>
  <c r="A2" i="78"/>
  <c r="A2" i="146"/>
  <c r="A2" i="131"/>
  <c r="A2" i="88"/>
  <c r="A2" i="95"/>
  <c r="A2" i="67"/>
  <c r="A2" i="75"/>
  <c r="A2" i="96"/>
  <c r="A2" i="70"/>
  <c r="A2" i="63"/>
  <c r="A2" i="61"/>
  <c r="A2" i="65"/>
  <c r="A2" i="150"/>
  <c r="A2" i="115"/>
  <c r="A2" i="132"/>
  <c r="A2" i="151"/>
  <c r="A2" i="143"/>
  <c r="A2" i="116"/>
  <c r="A2" i="93"/>
  <c r="A2" i="64"/>
  <c r="A2" i="69"/>
  <c r="A2" i="72"/>
  <c r="A2" i="157"/>
  <c r="A2" i="13"/>
  <c r="A2" i="148"/>
  <c r="A2" i="138"/>
  <c r="A2" i="176"/>
  <c r="A2" i="91"/>
  <c r="A2" i="83"/>
  <c r="A2" i="62"/>
  <c r="A2" i="155"/>
  <c r="A2" i="145"/>
  <c r="A2" i="89"/>
  <c r="A2" i="90"/>
  <c r="A2" i="81"/>
  <c r="A2" i="76"/>
  <c r="A2" i="142"/>
  <c r="A2" i="98"/>
  <c r="A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Newby</author>
  </authors>
  <commentList>
    <comment ref="C12" authorId="0" shapeId="0" xr:uid="{24B6092F-FE6F-4E3A-BE45-4C915E7A9D0B}">
      <text>
        <r>
          <rPr>
            <b/>
            <sz val="9"/>
            <color indexed="81"/>
            <rFont val="Tahoma"/>
            <family val="2"/>
          </rPr>
          <t xml:space="preserve">Required for Table 7.6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<sst xmlns="http://schemas.openxmlformats.org/spreadsheetml/2006/main" count="39588" uniqueCount="3177">
  <si>
    <t xml:space="preserve"> </t>
  </si>
  <si>
    <t>Opex</t>
  </si>
  <si>
    <t>£m</t>
  </si>
  <si>
    <t>No.</t>
  </si>
  <si>
    <t>Other Capex</t>
  </si>
  <si>
    <t>Unit</t>
  </si>
  <si>
    <t>Net Costs</t>
  </si>
  <si>
    <t>Capex</t>
  </si>
  <si>
    <t>Checks</t>
  </si>
  <si>
    <t>Expenditure Group 1</t>
  </si>
  <si>
    <t>Expenditure Group 2</t>
  </si>
  <si>
    <t>Direct Opex</t>
  </si>
  <si>
    <t>Cost</t>
  </si>
  <si>
    <t>Date of Submission:</t>
  </si>
  <si>
    <t>Regulatory Reporting Pack</t>
  </si>
  <si>
    <t>Regulatory Reporting Pack Template</t>
  </si>
  <si>
    <t>Please put an 'X' in this column for each table completed</t>
  </si>
  <si>
    <t>Reference</t>
  </si>
  <si>
    <t>Changes Log</t>
  </si>
  <si>
    <t>Version submitted</t>
  </si>
  <si>
    <t>Additional information submitted with this RIIO Pack or earlier</t>
  </si>
  <si>
    <t>A</t>
  </si>
  <si>
    <t>B</t>
  </si>
  <si>
    <t>C</t>
  </si>
  <si>
    <t>D</t>
  </si>
  <si>
    <t>E</t>
  </si>
  <si>
    <t>F</t>
  </si>
  <si>
    <t>G</t>
  </si>
  <si>
    <t>H</t>
  </si>
  <si>
    <t>I</t>
  </si>
  <si>
    <t>J</t>
  </si>
  <si>
    <t>K</t>
  </si>
  <si>
    <t>L</t>
  </si>
  <si>
    <t>M</t>
  </si>
  <si>
    <t>N</t>
  </si>
  <si>
    <t>Contents</t>
  </si>
  <si>
    <t>Lists</t>
  </si>
  <si>
    <t>Universal Data</t>
  </si>
  <si>
    <t>Totex</t>
  </si>
  <si>
    <t>Version Submission Control</t>
  </si>
  <si>
    <t>Date of Submission</t>
  </si>
  <si>
    <t>Calculation</t>
  </si>
  <si>
    <t>Output</t>
  </si>
  <si>
    <t>Cell intentionally blank</t>
  </si>
  <si>
    <t>Value</t>
  </si>
  <si>
    <t>Error checking</t>
  </si>
  <si>
    <t>Annotation</t>
  </si>
  <si>
    <t>Cell Format Key</t>
  </si>
  <si>
    <t>Imported Value</t>
  </si>
  <si>
    <t>RRP Version</t>
  </si>
  <si>
    <t>Sheet Name</t>
  </si>
  <si>
    <t>Changes Made</t>
  </si>
  <si>
    <t>Change Made By</t>
  </si>
  <si>
    <t>Company Name:</t>
  </si>
  <si>
    <t>Company Short Name:</t>
  </si>
  <si>
    <t>Submitted Date:</t>
  </si>
  <si>
    <t>Reporting Year - 1</t>
  </si>
  <si>
    <t>Reporting Year:</t>
  </si>
  <si>
    <t>Reporting Year + 1</t>
  </si>
  <si>
    <t>Reporting Year + 2</t>
  </si>
  <si>
    <t>Reporting Year + 3</t>
  </si>
  <si>
    <t>Reporting Year + 4</t>
  </si>
  <si>
    <t>Reporting Year + 5</t>
  </si>
  <si>
    <t>Gross Costs</t>
  </si>
  <si>
    <t>Reporting Year</t>
  </si>
  <si>
    <t>Version Number:</t>
  </si>
  <si>
    <t>Type</t>
  </si>
  <si>
    <t>Cover</t>
  </si>
  <si>
    <t>TIM</t>
  </si>
  <si>
    <t>Outputs</t>
  </si>
  <si>
    <t>Projects</t>
  </si>
  <si>
    <t>Project Name</t>
  </si>
  <si>
    <t>[TO BE ADDED]</t>
  </si>
  <si>
    <t>RIIO-GT2</t>
  </si>
  <si>
    <t xml:space="preserve"> Name:</t>
  </si>
  <si>
    <t>Input</t>
  </si>
  <si>
    <t>End of Sheet</t>
  </si>
  <si>
    <t>Indirects</t>
  </si>
  <si>
    <t>Quarry &amp; Loss</t>
  </si>
  <si>
    <t>TO</t>
  </si>
  <si>
    <t>Sterilised Minerals</t>
  </si>
  <si>
    <t>Loss of Development</t>
  </si>
  <si>
    <t>Drainage</t>
  </si>
  <si>
    <t>Full &amp; Final Settlement</t>
  </si>
  <si>
    <t>Loss of Crop</t>
  </si>
  <si>
    <t>Annual</t>
  </si>
  <si>
    <t>Workload</t>
  </si>
  <si>
    <t>Costs</t>
  </si>
  <si>
    <t>&lt;2022</t>
  </si>
  <si>
    <t>Spare13</t>
  </si>
  <si>
    <t>Spare12</t>
  </si>
  <si>
    <t>Spare11</t>
  </si>
  <si>
    <t>Spare10</t>
  </si>
  <si>
    <t>Spare9</t>
  </si>
  <si>
    <t>Spare8</t>
  </si>
  <si>
    <t>Spare7</t>
  </si>
  <si>
    <t>Spare6</t>
  </si>
  <si>
    <t>Spare5</t>
  </si>
  <si>
    <t>Spare4</t>
  </si>
  <si>
    <t>Spare3</t>
  </si>
  <si>
    <t>Spare2</t>
  </si>
  <si>
    <t>Spare1</t>
  </si>
  <si>
    <t>Project Ref</t>
  </si>
  <si>
    <t>PCFM</t>
  </si>
  <si>
    <t>PCD</t>
  </si>
  <si>
    <t>Sub Cat3</t>
  </si>
  <si>
    <t>Sub Cat2</t>
  </si>
  <si>
    <t>Sub Cat1</t>
  </si>
  <si>
    <t>Cost Cat</t>
  </si>
  <si>
    <t>Cap/Op</t>
  </si>
  <si>
    <t>Cost Area</t>
  </si>
  <si>
    <t>TO/SO</t>
  </si>
  <si>
    <t>RIIO-T2</t>
  </si>
  <si>
    <t>RIIO-T1</t>
  </si>
  <si>
    <t>Physical Security Opex</t>
  </si>
  <si>
    <t>Owned Sites</t>
  </si>
  <si>
    <t>Net Op Costs</t>
  </si>
  <si>
    <t>Physical Security</t>
  </si>
  <si>
    <t>Shared sites</t>
  </si>
  <si>
    <t>Shared Sites</t>
  </si>
  <si>
    <t>TO Opex</t>
  </si>
  <si>
    <t>BSC</t>
  </si>
  <si>
    <t>IT &amp; telecoms</t>
  </si>
  <si>
    <t>Property management</t>
  </si>
  <si>
    <t>HR &amp; non-operational training</t>
  </si>
  <si>
    <t>Finance, audit &amp; regulation</t>
  </si>
  <si>
    <t>Insurance</t>
  </si>
  <si>
    <t>Procurement</t>
  </si>
  <si>
    <t>CEO &amp; group management</t>
  </si>
  <si>
    <t>CAI</t>
  </si>
  <si>
    <t>Primary</t>
  </si>
  <si>
    <t>Project Management</t>
  </si>
  <si>
    <t>Network Design &amp; Engineering</t>
  </si>
  <si>
    <t>Engineering Management &amp; Clerical Support</t>
  </si>
  <si>
    <t>Secondary</t>
  </si>
  <si>
    <t>Operational IT &amp; Telecoms</t>
  </si>
  <si>
    <t>System mapping</t>
  </si>
  <si>
    <t>Network Policy (incl. R&amp;D)</t>
  </si>
  <si>
    <t>Health, Safety &amp; Environment</t>
  </si>
  <si>
    <t>Operational Training</t>
  </si>
  <si>
    <t>Stores &amp; Logistics</t>
  </si>
  <si>
    <t>Vehicles &amp; Transport</t>
  </si>
  <si>
    <t>Market Facilitation</t>
  </si>
  <si>
    <t>Network Planning</t>
  </si>
  <si>
    <t>Faults</t>
  </si>
  <si>
    <t>Planned Inspections &amp; Maintenance</t>
  </si>
  <si>
    <t>Pension Costs</t>
  </si>
  <si>
    <t>Pensions</t>
  </si>
  <si>
    <t>Costs outwith Totex</t>
  </si>
  <si>
    <t>Non-TIM</t>
  </si>
  <si>
    <t>Pass Through</t>
  </si>
  <si>
    <t>Provisions Movements</t>
  </si>
  <si>
    <t>Costs of Excluded, Consented and De Minimis Services</t>
  </si>
  <si>
    <t>Rebranding Company Assets</t>
  </si>
  <si>
    <t>Related Party Margins Disallowed</t>
  </si>
  <si>
    <t>Fines and Penalties</t>
  </si>
  <si>
    <t>Bad Debts</t>
  </si>
  <si>
    <t>Xoserve</t>
  </si>
  <si>
    <t>Network Innovation Costs</t>
  </si>
  <si>
    <t>Licence Fees</t>
  </si>
  <si>
    <t>Scottish Independent Undertakings</t>
  </si>
  <si>
    <t>Security (Armed Guards)</t>
  </si>
  <si>
    <t>TO Non-operational Capex</t>
  </si>
  <si>
    <t>Start Date</t>
  </si>
  <si>
    <t>End Date</t>
  </si>
  <si>
    <t>IT &amp; Telecoms</t>
  </si>
  <si>
    <t>Non Op Capex</t>
  </si>
  <si>
    <t>IT&amp;Telecoms</t>
  </si>
  <si>
    <t>Other IT projects &lt;£1m</t>
  </si>
  <si>
    <t>Vehicles</t>
  </si>
  <si>
    <t>ICE</t>
  </si>
  <si>
    <t>EV</t>
  </si>
  <si>
    <t>Non Operational Property</t>
  </si>
  <si>
    <t>Building Refurbishment</t>
  </si>
  <si>
    <t>EV Charging Infrastructure</t>
  </si>
  <si>
    <t>Small Tools, Equipment, Plant &amp; Machinery</t>
  </si>
  <si>
    <t>Strategic Spares</t>
  </si>
  <si>
    <t>Non-Strategic Spares</t>
  </si>
  <si>
    <t>Pension scheme admin &amp; PPF Levy</t>
  </si>
  <si>
    <t>Pension Deficit Payments relating to Established Deficit</t>
  </si>
  <si>
    <t>Cost_Movements</t>
  </si>
  <si>
    <t>Network Data</t>
  </si>
  <si>
    <t>Provisions</t>
  </si>
  <si>
    <t>Activity Indicators</t>
  </si>
  <si>
    <t>Year on Year Cost Movements</t>
  </si>
  <si>
    <t>SO</t>
  </si>
  <si>
    <t>Related Party Transactions</t>
  </si>
  <si>
    <t>Allowed</t>
  </si>
  <si>
    <t>Related Party</t>
  </si>
  <si>
    <t>Not Allowed</t>
  </si>
  <si>
    <t>Entity</t>
  </si>
  <si>
    <t>ETO</t>
  </si>
  <si>
    <t>ESO</t>
  </si>
  <si>
    <t>GTO</t>
  </si>
  <si>
    <t>GSO</t>
  </si>
  <si>
    <t>Group</t>
  </si>
  <si>
    <t>Opening Balance</t>
  </si>
  <si>
    <t>Cash Utilisation</t>
  </si>
  <si>
    <t>Unwinding of discount</t>
  </si>
  <si>
    <t>Other Movements</t>
  </si>
  <si>
    <t>Closing Balance</t>
  </si>
  <si>
    <t>Description</t>
  </si>
  <si>
    <t>n/a</t>
  </si>
  <si>
    <t>Property Management</t>
  </si>
  <si>
    <t>Non Reg - Other Group</t>
  </si>
  <si>
    <t>Non Reg - External Customer</t>
  </si>
  <si>
    <t>HR &amp; non-opertional training</t>
  </si>
  <si>
    <t>SO Opex</t>
  </si>
  <si>
    <t>TO Direct Opex</t>
  </si>
  <si>
    <t>Network Operating Costs</t>
  </si>
  <si>
    <t>tbc</t>
  </si>
  <si>
    <t>Operational Property</t>
  </si>
  <si>
    <t>SO Non-operational Capex</t>
  </si>
  <si>
    <t>TO Totex</t>
  </si>
  <si>
    <t>NARMt</t>
  </si>
  <si>
    <t>BTRt</t>
  </si>
  <si>
    <t>KLSt</t>
  </si>
  <si>
    <t>NLAt</t>
  </si>
  <si>
    <t>CEPt</t>
  </si>
  <si>
    <t>RAt</t>
  </si>
  <si>
    <t>FIOCt</t>
  </si>
  <si>
    <t>CROTt</t>
  </si>
  <si>
    <t>CRITt</t>
  </si>
  <si>
    <t>Capitalisation rate 1:</t>
  </si>
  <si>
    <t>Actual load related capex expenditure</t>
  </si>
  <si>
    <t>Actual asset replacement capex expenditure</t>
  </si>
  <si>
    <t>Actual other capex expenditure</t>
  </si>
  <si>
    <t>Actual non-load (opex)</t>
  </si>
  <si>
    <t>Actual indirects (opex)</t>
  </si>
  <si>
    <t>Actual non-operational capex</t>
  </si>
  <si>
    <t>Capitalisation rate 2:</t>
  </si>
  <si>
    <t>Actual Totex</t>
  </si>
  <si>
    <t>ALC</t>
  </si>
  <si>
    <t>ARC</t>
  </si>
  <si>
    <t>AOC</t>
  </si>
  <si>
    <t>ACO</t>
  </si>
  <si>
    <t>AIO</t>
  </si>
  <si>
    <t>ANC</t>
  </si>
  <si>
    <t>ALCU</t>
  </si>
  <si>
    <t>ARCU</t>
  </si>
  <si>
    <t>AOCU</t>
  </si>
  <si>
    <t>ACOU</t>
  </si>
  <si>
    <t>AIOU</t>
  </si>
  <si>
    <t>ANCU</t>
  </si>
  <si>
    <t>SO Totex</t>
  </si>
  <si>
    <t>Actual controllable opex</t>
  </si>
  <si>
    <t>SOANC</t>
  </si>
  <si>
    <t>SOACO</t>
  </si>
  <si>
    <t>Business Support Allocation</t>
  </si>
  <si>
    <t>Site</t>
  </si>
  <si>
    <t>Activity</t>
  </si>
  <si>
    <t>Asset</t>
  </si>
  <si>
    <t>Hatton</t>
  </si>
  <si>
    <t>Warrington</t>
  </si>
  <si>
    <t>Peterborough</t>
  </si>
  <si>
    <t>Compressor</t>
  </si>
  <si>
    <t>Churchover</t>
  </si>
  <si>
    <t>Bacton</t>
  </si>
  <si>
    <t>Bishop Auckland</t>
  </si>
  <si>
    <t>Pipeline</t>
  </si>
  <si>
    <t>Scope</t>
  </si>
  <si>
    <t>Unit B</t>
  </si>
  <si>
    <t>Redundant Assets PCD</t>
  </si>
  <si>
    <t>Redundant Assets</t>
  </si>
  <si>
    <t>Non Load</t>
  </si>
  <si>
    <t>Other Asset Health</t>
  </si>
  <si>
    <t>Incentives</t>
  </si>
  <si>
    <t>Status</t>
  </si>
  <si>
    <t>Planned</t>
  </si>
  <si>
    <t>Other Costs</t>
  </si>
  <si>
    <t>SO Direct Opex</t>
  </si>
  <si>
    <t>Cyber Resilience</t>
  </si>
  <si>
    <t>Cyber Resilience IT</t>
  </si>
  <si>
    <t>Cyber Resilience OT</t>
  </si>
  <si>
    <t>Baseline</t>
  </si>
  <si>
    <t>Network Capability</t>
  </si>
  <si>
    <t>Load Related</t>
  </si>
  <si>
    <t>Entry</t>
  </si>
  <si>
    <t>Exit</t>
  </si>
  <si>
    <t>Offtakes</t>
  </si>
  <si>
    <t>Compressor Emissions</t>
  </si>
  <si>
    <t>Non Load Related</t>
  </si>
  <si>
    <t>Other Non Load</t>
  </si>
  <si>
    <t>Tactical Access</t>
  </si>
  <si>
    <t>Changing Customer Needs</t>
  </si>
  <si>
    <t>Recompression</t>
  </si>
  <si>
    <t>Methane Detection &amp; Quantification</t>
  </si>
  <si>
    <t>Customer Contributions</t>
  </si>
  <si>
    <t>St Fergus FEED</t>
  </si>
  <si>
    <t>Wormington FEED</t>
  </si>
  <si>
    <t>Kings Lynn</t>
  </si>
  <si>
    <t>Bacton Site Redevelopment FEED</t>
  </si>
  <si>
    <t>Kings Lynn Subsidence FEED</t>
  </si>
  <si>
    <t>Decommissioning</t>
  </si>
  <si>
    <t>Stopples</t>
  </si>
  <si>
    <t>GRAID</t>
  </si>
  <si>
    <t>Uncertainty Mechanism</t>
  </si>
  <si>
    <t>Wormington</t>
  </si>
  <si>
    <t>St Fergus</t>
  </si>
  <si>
    <t>Asset Health</t>
  </si>
  <si>
    <t>Cabs</t>
  </si>
  <si>
    <t>Cab Infrastructure</t>
  </si>
  <si>
    <t>Fire Suppression Systems</t>
  </si>
  <si>
    <t>Civils</t>
  </si>
  <si>
    <t>Pipe Supports/ Pits and Ducting</t>
  </si>
  <si>
    <t>Security and Fencing, Access and Buildings</t>
  </si>
  <si>
    <t>Treatment and Drainage, Tanks and Bunds</t>
  </si>
  <si>
    <t>Gas Generator Power Train</t>
  </si>
  <si>
    <t>Variable Speed Drive</t>
  </si>
  <si>
    <t>Vent System</t>
  </si>
  <si>
    <t>Electrical</t>
  </si>
  <si>
    <t>Site Electrical Systems</t>
  </si>
  <si>
    <t>Standby Power Supplies</t>
  </si>
  <si>
    <t>Pipelines</t>
  </si>
  <si>
    <t>Depth of Cover</t>
  </si>
  <si>
    <t>Impact Sleeves</t>
  </si>
  <si>
    <t>Pig Traps</t>
  </si>
  <si>
    <t>Pipeline, Coating and CP</t>
  </si>
  <si>
    <t>Watercourse Crossings</t>
  </si>
  <si>
    <t>Plant &amp; Equipment</t>
  </si>
  <si>
    <t>Above Ground Pipework, Cladding and CP Systems</t>
  </si>
  <si>
    <t>Filters, Scrubbers and Preheaters</t>
  </si>
  <si>
    <t>Pressure Reduction, Flow Control and Slamshut Systems</t>
  </si>
  <si>
    <t>Valves</t>
  </si>
  <si>
    <t>A22.08.1.1</t>
  </si>
  <si>
    <t>Air Intake Major Refurb</t>
  </si>
  <si>
    <t>A22.08.1.2</t>
  </si>
  <si>
    <t>Air Intake Minor Refurb</t>
  </si>
  <si>
    <t>A22.08.1.3</t>
  </si>
  <si>
    <t>Air Intake Replacement</t>
  </si>
  <si>
    <t>A22.08.1.10</t>
  </si>
  <si>
    <t>Exhaust Minor Refurb</t>
  </si>
  <si>
    <t>A22.08.1.11</t>
  </si>
  <si>
    <t>Exhaust Replacement</t>
  </si>
  <si>
    <t>A22.08.1.9</t>
  </si>
  <si>
    <t>Exhaust Major Refurb</t>
  </si>
  <si>
    <t>A22.08.1.4</t>
  </si>
  <si>
    <t>Cab Ventilation Major Refurb</t>
  </si>
  <si>
    <t>A22.08.1.5</t>
  </si>
  <si>
    <t>Cab Ventilation Minor Refurb</t>
  </si>
  <si>
    <t>A22.08.1.6</t>
  </si>
  <si>
    <t>Cab Ventilation Replacement</t>
  </si>
  <si>
    <t>A22.22.1.9</t>
  </si>
  <si>
    <t>A22.08.1.12</t>
  </si>
  <si>
    <t>Cab Structure Major Refurbishment</t>
  </si>
  <si>
    <t>A22.08.1.7</t>
  </si>
  <si>
    <t>Cab Structure Minor Refurb</t>
  </si>
  <si>
    <t>A22.08.1.8</t>
  </si>
  <si>
    <t>Cab Structure Replacement</t>
  </si>
  <si>
    <t>A22.22.1.1</t>
  </si>
  <si>
    <t>A22.22.2.8</t>
  </si>
  <si>
    <t>Minor remediation works</t>
  </si>
  <si>
    <t>A22.03.3.3</t>
  </si>
  <si>
    <t>Fire water ringmain replacement</t>
  </si>
  <si>
    <t>A22.08.2.1</t>
  </si>
  <si>
    <t>Fire Suppression Major Refurb</t>
  </si>
  <si>
    <t>A22.08.2.2</t>
  </si>
  <si>
    <t>Fire Suppression Minor Refurb</t>
  </si>
  <si>
    <t>A22.08.2.3</t>
  </si>
  <si>
    <t>Fire Suppression Replacement of Electric Water Pump System</t>
  </si>
  <si>
    <t>A22.08.2.4</t>
  </si>
  <si>
    <t>Fire Suppression Replacement of Nitrogen Bottle System (MAU)</t>
  </si>
  <si>
    <t>A22.22.1.12</t>
  </si>
  <si>
    <t>A22.03.2.10</t>
  </si>
  <si>
    <t>A22.03.2.11</t>
  </si>
  <si>
    <t>Monitoring of Structural Integrity Assets</t>
  </si>
  <si>
    <t>A22.03.2.12</t>
  </si>
  <si>
    <t>Major remediation works</t>
  </si>
  <si>
    <t>A22.18.1.1</t>
  </si>
  <si>
    <t>A22.18.1.2</t>
  </si>
  <si>
    <t>A22.18.1.3</t>
  </si>
  <si>
    <t>Relifing of Site Ducting</t>
  </si>
  <si>
    <t>A22.22.2.5</t>
  </si>
  <si>
    <t>Damaged ducting covers - Replacement</t>
  </si>
  <si>
    <t>A22.03.2.13</t>
  </si>
  <si>
    <t>A22.03.2.15</t>
  </si>
  <si>
    <t>A22.03.2.17</t>
  </si>
  <si>
    <t>A22.18.1.10</t>
  </si>
  <si>
    <t>Relifing of Pipe Supports &amp; Pits at Compressor Sites (Concrete)</t>
  </si>
  <si>
    <t>A22.18.1.11</t>
  </si>
  <si>
    <t>Relifing of Pipe Supports &amp; Pits at Compressor Sites  (Hydro Demolition)</t>
  </si>
  <si>
    <t>A22.18.1.12</t>
  </si>
  <si>
    <t>Relifing of Pipe Supports &amp; Pits at AGIs - Replace Concrete pipe supports</t>
  </si>
  <si>
    <t>A22.18.1.13</t>
  </si>
  <si>
    <t>Relifing of Pipe supports and pits AGI sites - Inspect, Remove Frame &amp; Cover &amp; Backfill</t>
  </si>
  <si>
    <t>A22.18.1.14</t>
  </si>
  <si>
    <t>Relifing of Pipe supports and pits AGI sites - Remove Chamber Walls, Inspect &amp; Backfill</t>
  </si>
  <si>
    <t>A22.18.1.4</t>
  </si>
  <si>
    <t>A22.18.1.5</t>
  </si>
  <si>
    <t>A22.18.1.6</t>
  </si>
  <si>
    <t>Relifing of Pipe Supports &amp; Pits at Compressor Sites (Steel)</t>
  </si>
  <si>
    <t>A22.18.1.7</t>
  </si>
  <si>
    <t>Relifing of Pipe Supports at AGIs – Replace Steel pipe supports</t>
  </si>
  <si>
    <t>A22.18.1.8</t>
  </si>
  <si>
    <t>Replacement of Pipeline Spring Hangers at Compressor Sites</t>
  </si>
  <si>
    <t>A22.18.1.9</t>
  </si>
  <si>
    <t>Mitigation of Settlement</t>
  </si>
  <si>
    <t>A22.03.2.1</t>
  </si>
  <si>
    <t>A22.03.2.2</t>
  </si>
  <si>
    <t>A22.03.2.3</t>
  </si>
  <si>
    <t>A22.18.2.1</t>
  </si>
  <si>
    <t>A22.18.2.2</t>
  </si>
  <si>
    <t>A22.18.2.3</t>
  </si>
  <si>
    <t>G2/G3 Access Platforms &amp; Stairs Relifing</t>
  </si>
  <si>
    <t>A22.18.2.4</t>
  </si>
  <si>
    <t>Site Access Roads and Paths Major Refurb</t>
  </si>
  <si>
    <t>A22.22.2.2</t>
  </si>
  <si>
    <t>Access Road Monitoring &amp; Replacement</t>
  </si>
  <si>
    <t>A22.03.2.4</t>
  </si>
  <si>
    <t>A22.03.2.5</t>
  </si>
  <si>
    <t>A22.03.2.6</t>
  </si>
  <si>
    <t>A22.18.2.5</t>
  </si>
  <si>
    <t>A22.18.2.6</t>
  </si>
  <si>
    <t>A22.18.2.7</t>
  </si>
  <si>
    <t>Buildings &amp; Enclosures at AGIs Major Refurb</t>
  </si>
  <si>
    <t>A22.18.2.8</t>
  </si>
  <si>
    <t>Relifing of Buildings &amp; Enclosures at Compressor Sites</t>
  </si>
  <si>
    <t>A22.18.2.10</t>
  </si>
  <si>
    <t>A22.18.2.11</t>
  </si>
  <si>
    <t>Security - Fences and Gates - AGI (Minor Works)</t>
  </si>
  <si>
    <t>A22.18.2.12</t>
  </si>
  <si>
    <t>Security - Fences and Gates - Compressor</t>
  </si>
  <si>
    <t>A22.18.2.9</t>
  </si>
  <si>
    <t>A22.22.2.7</t>
  </si>
  <si>
    <t>ISS software, cameras and monitors - Replacement</t>
  </si>
  <si>
    <t>A22.03.2.7</t>
  </si>
  <si>
    <t>A22.03.2.8</t>
  </si>
  <si>
    <t>A22.03.2.9</t>
  </si>
  <si>
    <t>A22.18.3.1</t>
  </si>
  <si>
    <t>A22.18.3.2</t>
  </si>
  <si>
    <t>A22.18.3.3</t>
  </si>
  <si>
    <t>Damaged and Broken Drainage Assets at AGIs Minor Refurb</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</si>
  <si>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</si>
  <si>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</si>
  <si>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</si>
  <si>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</si>
  <si>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</si>
  <si>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</si>
  <si>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</si>
  <si>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</si>
  <si>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</si>
  <si>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</si>
  <si>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</si>
  <si>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</si>
  <si>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</si>
  <si>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</si>
  <si>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</si>
  <si>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</si>
  <si>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</si>
  <si>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</si>
  <si>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</si>
  <si>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</si>
  <si>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</si>
  <si>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</si>
  <si>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</si>
  <si>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</si>
  <si>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</si>
  <si>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</si>
  <si>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</si>
  <si>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</si>
  <si>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</si>
  <si>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</si>
  <si>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</si>
  <si>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</si>
  <si>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</si>
  <si>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</si>
  <si>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</si>
  <si>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</si>
  <si>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</si>
  <si>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</si>
  <si>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</si>
  <si>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</si>
  <si>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</si>
  <si>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</si>
  <si>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</si>
  <si>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</si>
  <si>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</si>
  <si>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</si>
  <si>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</si>
  <si>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</si>
  <si>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</si>
  <si>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</si>
  <si>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</si>
  <si>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</si>
  <si>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</si>
  <si>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</si>
  <si>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</si>
  <si>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Replacement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</si>
  <si>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</si>
  <si>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</si>
  <si>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</si>
  <si>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</si>
  <si>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</si>
  <si>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</si>
  <si>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</si>
  <si>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</si>
  <si>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</si>
  <si>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</si>
  <si>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</si>
  <si>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</si>
  <si>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</si>
  <si>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</si>
  <si>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</si>
  <si>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</si>
  <si>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</si>
  <si>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</si>
  <si>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</si>
  <si>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</si>
  <si>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</si>
  <si>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</si>
  <si>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</si>
  <si>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</si>
  <si>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</si>
  <si>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</si>
  <si>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</si>
  <si>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</si>
  <si>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</si>
  <si>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</si>
  <si>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</si>
  <si>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</si>
  <si>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</si>
  <si>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</si>
  <si>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</si>
  <si>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</si>
  <si>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</si>
  <si>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</si>
  <si>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</si>
  <si>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</si>
  <si>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</si>
  <si>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</si>
  <si>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</si>
  <si>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</si>
  <si>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</si>
  <si>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</si>
  <si>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</si>
  <si>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</si>
  <si>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</si>
  <si>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</si>
  <si>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</si>
  <si>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</si>
  <si>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</si>
  <si>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</si>
  <si>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</si>
  <si>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</si>
  <si>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</si>
  <si>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</si>
  <si>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</si>
  <si>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</si>
  <si>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</si>
  <si>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</si>
  <si>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</si>
  <si>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</si>
  <si>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</si>
  <si>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</si>
  <si>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</si>
  <si>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</si>
  <si>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</si>
  <si>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</si>
  <si>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</si>
  <si>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</si>
  <si>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</si>
  <si>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</si>
  <si>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</si>
  <si>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</si>
  <si>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</si>
  <si>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</si>
  <si>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</si>
  <si>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</si>
  <si>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</si>
  <si>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</si>
  <si>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</si>
  <si>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</si>
  <si>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</si>
  <si>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</si>
  <si>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</si>
  <si>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</si>
  <si>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</si>
  <si>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</si>
  <si>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</si>
  <si>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</si>
  <si>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</si>
  <si>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</si>
  <si>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</si>
  <si>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</si>
  <si>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</si>
  <si>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Auxillary Equipment Major Refurb</t>
  </si>
  <si>
    <t>A22.20.1.6</t>
  </si>
  <si>
    <t>Auxillary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</si>
  <si>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</si>
  <si>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</si>
  <si>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</si>
  <si>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</si>
  <si>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</si>
  <si>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</si>
  <si>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</si>
  <si>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</si>
  <si>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</si>
  <si>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</si>
  <si>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</si>
  <si>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</si>
  <si>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</si>
  <si>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</si>
  <si>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</si>
  <si>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</si>
  <si>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</si>
  <si>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</si>
  <si>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</si>
  <si>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</si>
  <si>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</si>
  <si>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</si>
  <si>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</si>
  <si>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</si>
  <si>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</si>
  <si>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</si>
  <si>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</si>
  <si>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</si>
  <si>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</si>
  <si>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</si>
  <si>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</si>
  <si>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</si>
  <si>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</si>
  <si>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</si>
  <si>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</si>
  <si>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</si>
  <si>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</si>
  <si>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</si>
  <si>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</si>
  <si>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</si>
  <si>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</si>
  <si>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</si>
  <si>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</si>
  <si>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</si>
  <si>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</si>
  <si>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</si>
  <si>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</si>
  <si>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</si>
  <si>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</si>
  <si>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</si>
  <si>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</si>
  <si>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</si>
  <si>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</si>
  <si>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</si>
  <si>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</si>
  <si>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</si>
  <si>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</si>
  <si>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</si>
  <si>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</si>
  <si>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</si>
  <si>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</si>
  <si>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</si>
  <si>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</si>
  <si>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</si>
  <si>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</si>
  <si>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</si>
  <si>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</si>
  <si>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</si>
  <si>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</si>
  <si>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</si>
  <si>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</si>
  <si>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</si>
  <si>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</si>
  <si>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</si>
  <si>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</si>
  <si>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</si>
  <si>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</si>
  <si>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</si>
  <si>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</si>
  <si>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</si>
  <si>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</si>
  <si>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</si>
  <si>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</si>
  <si>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</si>
  <si>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</si>
  <si>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</si>
  <si>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</si>
  <si>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</si>
  <si>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</si>
  <si>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</si>
  <si>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</si>
  <si>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</si>
  <si>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</si>
  <si>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</si>
  <si>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</si>
  <si>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</si>
  <si>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</si>
  <si>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</si>
  <si>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</si>
  <si>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</si>
  <si>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</si>
  <si>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</si>
  <si>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</si>
  <si>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</si>
  <si>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</si>
  <si>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</si>
  <si>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</si>
  <si>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</si>
  <si>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</si>
  <si>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</si>
  <si>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</si>
  <si>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</si>
  <si>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</si>
  <si>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</si>
  <si>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</si>
  <si>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</si>
  <si>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</si>
  <si>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</si>
  <si>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</si>
  <si>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</si>
  <si>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</si>
  <si>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</si>
  <si>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</si>
  <si>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</si>
  <si>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</si>
  <si>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</si>
  <si>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</si>
  <si>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</si>
  <si>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</si>
  <si>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</si>
  <si>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</si>
  <si>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</si>
  <si>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</si>
  <si>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</si>
  <si>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</si>
  <si>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</si>
  <si>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</si>
  <si>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</si>
  <si>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</si>
  <si>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</si>
  <si>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</si>
  <si>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</si>
  <si>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</si>
  <si>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</si>
  <si>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</si>
  <si>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</si>
  <si>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</si>
  <si>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</si>
  <si>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</si>
  <si>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</si>
  <si>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</si>
  <si>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</si>
  <si>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</si>
  <si>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</si>
  <si>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</si>
  <si>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</si>
  <si>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</si>
  <si>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</si>
  <si>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</si>
  <si>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</si>
  <si>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</si>
  <si>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</si>
  <si>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</si>
  <si>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</si>
  <si>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</si>
  <si>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</si>
  <si>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</si>
  <si>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</si>
  <si>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</si>
  <si>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</si>
  <si>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</si>
  <si>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</si>
  <si>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</si>
  <si>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</si>
  <si>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</si>
  <si>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</si>
  <si>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</si>
  <si>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</si>
  <si>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</si>
  <si>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</si>
  <si>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</si>
  <si>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</si>
  <si>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</si>
  <si>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</si>
  <si>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</si>
  <si>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</si>
  <si>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</si>
  <si>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</si>
  <si>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</si>
  <si>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</si>
  <si>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</si>
  <si>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</si>
  <si>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</si>
  <si>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</si>
  <si>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</si>
  <si>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</si>
  <si>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</si>
  <si>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</si>
  <si>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</si>
  <si>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</si>
  <si>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</si>
  <si>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</si>
  <si>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</si>
  <si>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</si>
  <si>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</si>
  <si>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</si>
  <si>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</si>
  <si>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</si>
  <si>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</si>
  <si>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</si>
  <si>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</si>
  <si>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</si>
  <si>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</si>
  <si>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</si>
  <si>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</si>
  <si>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</si>
  <si>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</si>
  <si>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</si>
  <si>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</si>
  <si>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</si>
  <si>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</si>
  <si>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</si>
  <si>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</si>
  <si>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</si>
  <si>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</si>
  <si>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</si>
  <si>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</si>
  <si>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</si>
  <si>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</si>
  <si>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</si>
  <si>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</si>
  <si>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</si>
  <si>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</si>
  <si>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</si>
  <si>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</si>
  <si>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</si>
  <si>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</si>
  <si>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</si>
  <si>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</si>
  <si>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</si>
  <si>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Non-Lead Assets</t>
  </si>
  <si>
    <t>NARM</t>
  </si>
  <si>
    <t/>
  </si>
  <si>
    <t>UID</t>
  </si>
  <si>
    <t>03 - AIR INTAKE</t>
  </si>
  <si>
    <t>04 - EXHAUSTS</t>
  </si>
  <si>
    <t>06 - CAB VENTILATION</t>
  </si>
  <si>
    <t>09 - CIVIL ASSETS (BUILDINGS/ENCLOSURES)</t>
  </si>
  <si>
    <t>20 - FIRE SUPPRESSION</t>
  </si>
  <si>
    <t>10 - CIVIL ASSETS (DUCTING)</t>
  </si>
  <si>
    <t>12 - CIVIL ASSETS (PIPE SUPPORTS)</t>
  </si>
  <si>
    <t>08 - CIVIL ASSETS (ACCESS)</t>
  </si>
  <si>
    <t>39 - SECURITY</t>
  </si>
  <si>
    <t>07 - CIVIL ASSETS (DRAINAGE)</t>
  </si>
  <si>
    <t>13 - FUEL TANKS &amp; BUNDS</t>
  </si>
  <si>
    <t>14 - COMPRESSOR</t>
  </si>
  <si>
    <t>23 - GAS GENERATOR</t>
  </si>
  <si>
    <t>34 - POWER TURBINE</t>
  </si>
  <si>
    <t>42 - ELECTRICAL VARIABLE SPEED DRIVE</t>
  </si>
  <si>
    <t>41 - VENT SYSTEM</t>
  </si>
  <si>
    <t>16 - ELECTRICAL (INCUDING STANDBY GENERATORS)</t>
  </si>
  <si>
    <t>17 - ELECTRICAL (SAFE SHUTDOWN)</t>
  </si>
  <si>
    <t>24 - IMPACT PROTECTION</t>
  </si>
  <si>
    <t>31 - PIG TRAP</t>
  </si>
  <si>
    <t>15 - CATHODIC PROTECTION</t>
  </si>
  <si>
    <t>33 - BELOW GROUND PIPE COATING</t>
  </si>
  <si>
    <t>25 - RIVER CROSSINGS</t>
  </si>
  <si>
    <t>01 - CLADDING</t>
  </si>
  <si>
    <t>32 - ABOVE GROUND PIPE COATING</t>
  </si>
  <si>
    <t>18 - FILTER / SCRUBBERS</t>
  </si>
  <si>
    <t>35 - PREHEATERS</t>
  </si>
  <si>
    <t>21 - FLOW OR PRESSURE REGULATORS</t>
  </si>
  <si>
    <t>47 - SLAMSHUT SYSTEM</t>
  </si>
  <si>
    <t>43 - LOCALLY ACTUATED VALVES</t>
  </si>
  <si>
    <t>44 - NON RETURN VALVES</t>
  </si>
  <si>
    <t>45 - REMOTE ISOLATION VALVES</t>
  </si>
  <si>
    <t>46 - PROCESS VALVES</t>
  </si>
  <si>
    <t>Asset Health - Projects</t>
  </si>
  <si>
    <t>3rd Party Income / contribution received</t>
  </si>
  <si>
    <t>Contributions</t>
  </si>
  <si>
    <t>SIF Funding by project</t>
  </si>
  <si>
    <t>GWh</t>
  </si>
  <si>
    <t>April</t>
  </si>
  <si>
    <t>May</t>
  </si>
  <si>
    <t>June</t>
  </si>
  <si>
    <t>July</t>
  </si>
  <si>
    <t>August</t>
  </si>
  <si>
    <t>September</t>
  </si>
  <si>
    <t>October</t>
  </si>
  <si>
    <t>November</t>
  </si>
  <si>
    <t>December</t>
  </si>
  <si>
    <t>January</t>
  </si>
  <si>
    <t>February</t>
  </si>
  <si>
    <t>March</t>
  </si>
  <si>
    <t>Actual flows at system entry points</t>
  </si>
  <si>
    <t>Easington</t>
  </si>
  <si>
    <t>Bacton IP (BI)</t>
  </si>
  <si>
    <t>Bacton UKCS (BU)</t>
  </si>
  <si>
    <t>Isle of Grain</t>
  </si>
  <si>
    <t>Milford Haven</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</si>
  <si>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</si>
  <si>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</si>
  <si>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</si>
  <si>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</si>
  <si>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</si>
  <si>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</si>
  <si>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</si>
  <si>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</si>
  <si>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</si>
  <si>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</si>
  <si>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</si>
  <si>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</si>
  <si>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</si>
  <si>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</si>
  <si>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</si>
  <si>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</si>
  <si>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</si>
  <si>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</si>
  <si>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</si>
  <si>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</si>
  <si>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</si>
  <si>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</si>
  <si>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</si>
  <si>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</si>
  <si>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</si>
  <si>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Actual NTS demand (by LDZ)</t>
  </si>
  <si>
    <t>Scotland</t>
  </si>
  <si>
    <t>Northern</t>
  </si>
  <si>
    <t>North West</t>
  </si>
  <si>
    <t>North East</t>
  </si>
  <si>
    <t>East Midlands</t>
  </si>
  <si>
    <t>West Midlands</t>
  </si>
  <si>
    <t>Wales North</t>
  </si>
  <si>
    <t>Wales South</t>
  </si>
  <si>
    <t>Eastern</t>
  </si>
  <si>
    <t>North Thames</t>
  </si>
  <si>
    <t>South East</t>
  </si>
  <si>
    <t>Sothern</t>
  </si>
  <si>
    <t>South West</t>
  </si>
  <si>
    <t>Interconnector export</t>
  </si>
  <si>
    <t>Moffat</t>
  </si>
  <si>
    <t>IUK</t>
  </si>
  <si>
    <t>NTS direct connect industrials (by LDZ)</t>
  </si>
  <si>
    <t>NTS direct connect power stations (by LDZ)</t>
  </si>
  <si>
    <t>Storage</t>
  </si>
  <si>
    <t>Shrinkage</t>
  </si>
  <si>
    <t>Forecast Scenarios</t>
  </si>
  <si>
    <t>Scenario 1</t>
  </si>
  <si>
    <t>Scenario 2</t>
  </si>
  <si>
    <t>Scenario 3</t>
  </si>
  <si>
    <t>Scenario 4</t>
  </si>
  <si>
    <t>RIIO-&gt;T2</t>
  </si>
  <si>
    <t>scenario name</t>
  </si>
  <si>
    <t>entry point</t>
  </si>
  <si>
    <t>TO - IT</t>
  </si>
  <si>
    <t>SO - IT</t>
  </si>
  <si>
    <t>TO - OT</t>
  </si>
  <si>
    <t>East</t>
  </si>
  <si>
    <t>West</t>
  </si>
  <si>
    <t>Investigation / Repair</t>
  </si>
  <si>
    <t>Environmental provision</t>
  </si>
  <si>
    <t>Emission provision</t>
  </si>
  <si>
    <t>Restructuring provision - Dilap + UKOM</t>
  </si>
  <si>
    <t>Crop &amp; Quarry provision</t>
  </si>
  <si>
    <t>Pex Restructuring provision</t>
  </si>
  <si>
    <r>
      <t xml:space="preserve">Adjust ongoing pension costs for IAS 19 PV accrual </t>
    </r>
    <r>
      <rPr>
        <sz val="10"/>
        <color rgb="FFFF0000"/>
        <rFont val="Verdana"/>
        <family val="2"/>
      </rPr>
      <t>(-ve)</t>
    </r>
  </si>
  <si>
    <t>Pension Deficit Payments relating to post cut off data service</t>
  </si>
  <si>
    <t>Pipeline data</t>
  </si>
  <si>
    <t>NTS Demand</t>
  </si>
  <si>
    <t>GWh/day</t>
  </si>
  <si>
    <t>Highest daily total demand</t>
  </si>
  <si>
    <t>NTS demand</t>
  </si>
  <si>
    <t>Peak day demand by LDZ2</t>
  </si>
  <si>
    <t>Peak day demand by LDZ</t>
  </si>
  <si>
    <t>Southern</t>
  </si>
  <si>
    <t>Number of transmission system incidents</t>
  </si>
  <si>
    <t>Transmission system incidents</t>
  </si>
  <si>
    <t>No</t>
  </si>
  <si>
    <t>NTS Demand &amp; System performance</t>
  </si>
  <si>
    <t>All other demands' peak day demand</t>
  </si>
  <si>
    <t>Peak day NTS shrinkage</t>
  </si>
  <si>
    <t>Compressor Stn</t>
  </si>
  <si>
    <t>Total Operating Hours</t>
  </si>
  <si>
    <t xml:space="preserve">St Fergus </t>
  </si>
  <si>
    <t>1A</t>
  </si>
  <si>
    <t>1B</t>
  </si>
  <si>
    <t>1C</t>
  </si>
  <si>
    <t>1D</t>
  </si>
  <si>
    <t>2A</t>
  </si>
  <si>
    <t>2B</t>
  </si>
  <si>
    <t>2D</t>
  </si>
  <si>
    <t>Aberdeen</t>
  </si>
  <si>
    <t>Kirriemuir</t>
  </si>
  <si>
    <t>Avonbridge</t>
  </si>
  <si>
    <t>Wooler</t>
  </si>
  <si>
    <t>Carnforth</t>
  </si>
  <si>
    <t>Nether Kellet</t>
  </si>
  <si>
    <t>Wisbech</t>
  </si>
  <si>
    <t>Huntingdon</t>
  </si>
  <si>
    <t>Diss</t>
  </si>
  <si>
    <t>Cambridge</t>
  </si>
  <si>
    <t>Alrewas</t>
  </si>
  <si>
    <t>Aylesbury</t>
  </si>
  <si>
    <t>Lockerley</t>
  </si>
  <si>
    <t>Felindre</t>
  </si>
  <si>
    <t>Hrs</t>
  </si>
  <si>
    <t>Hours Unavailable (Unplanned)</t>
  </si>
  <si>
    <t>Actual Operating Hours</t>
  </si>
  <si>
    <t>CO2 Emitted by Gas Compressors</t>
  </si>
  <si>
    <t>CO2 Emissions</t>
  </si>
  <si>
    <t>1A {W}</t>
  </si>
  <si>
    <t>1B {W}</t>
  </si>
  <si>
    <t>2A {E}</t>
  </si>
  <si>
    <t>2B {E}</t>
  </si>
  <si>
    <t>Chelmsford</t>
  </si>
  <si>
    <t>T/CO2</t>
  </si>
  <si>
    <t>T/NOx</t>
  </si>
  <si>
    <t>Methane emitted from plant</t>
  </si>
  <si>
    <t>NOx Emissions</t>
  </si>
  <si>
    <t>Methane Emissions</t>
  </si>
  <si>
    <t>Associated Equipment</t>
  </si>
  <si>
    <t>T/CH4</t>
  </si>
  <si>
    <t>Number of emissions events (ventings, escapes, etc.) from pipeline network</t>
  </si>
  <si>
    <t>Number of emissions events  (ventings, escapes, etc.) from associated equipment</t>
  </si>
  <si>
    <t>Maximum Flow</t>
  </si>
  <si>
    <t>Maximum flow GWh/day</t>
  </si>
  <si>
    <t>Bacton Site Redevelopment</t>
  </si>
  <si>
    <t>Kings Lynn Subsidence</t>
  </si>
  <si>
    <t>Direct</t>
  </si>
  <si>
    <t>Materials</t>
  </si>
  <si>
    <t>Main works contractor</t>
  </si>
  <si>
    <t>Direct Company Costs</t>
  </si>
  <si>
    <t>Engineering Design</t>
  </si>
  <si>
    <t>Indirect company costs</t>
  </si>
  <si>
    <t>Peterborough FEED</t>
  </si>
  <si>
    <t>Hatton Full Project</t>
  </si>
  <si>
    <t>Direct/Shared Investment</t>
  </si>
  <si>
    <t>STEPM</t>
  </si>
  <si>
    <t>Compressor Utilisation</t>
  </si>
  <si>
    <t>Dispose/Abandon</t>
  </si>
  <si>
    <t>Unit Power Source</t>
  </si>
  <si>
    <t>Thermal Rating (MW)</t>
  </si>
  <si>
    <t>Efficiency</t>
  </si>
  <si>
    <t>Unit Power Rating</t>
  </si>
  <si>
    <t>Primary Driver</t>
  </si>
  <si>
    <t>Replacement Unit</t>
  </si>
  <si>
    <t>Unit/site max flow mcm/day</t>
  </si>
  <si>
    <t>Running Hours limitations (500hrs, 2023,2030)</t>
  </si>
  <si>
    <t>Operational Date</t>
  </si>
  <si>
    <t>Compressor Asset Data</t>
  </si>
  <si>
    <t>Decommissioned Units</t>
  </si>
  <si>
    <t>Drive Type Make / Model</t>
  </si>
  <si>
    <t>PT Last Overhaul Date</t>
  </si>
  <si>
    <t>GG Last Overhaul Date</t>
  </si>
  <si>
    <t>PT Forecast Next Overhaul Date</t>
  </si>
  <si>
    <t>PT Hours until next overhaul</t>
  </si>
  <si>
    <t>GG Forecast Next Overhaul Date</t>
  </si>
  <si>
    <t>GG Hours until next overhaul</t>
  </si>
  <si>
    <t>Planned Unavailability (Hours)</t>
  </si>
  <si>
    <t>Unplanned Unavailability (Hours)</t>
  </si>
  <si>
    <t>Compressor Performance and Utilisation</t>
  </si>
  <si>
    <t>Indirect</t>
  </si>
  <si>
    <t>Specialist services</t>
  </si>
  <si>
    <t>Vendor package costs</t>
  </si>
  <si>
    <t>Risk / Contingency</t>
  </si>
  <si>
    <t>Kings Lynn FEED</t>
  </si>
  <si>
    <t>null</t>
  </si>
  <si>
    <t>Total</t>
  </si>
  <si>
    <t>CCTV system</t>
  </si>
  <si>
    <t>PID system</t>
  </si>
  <si>
    <t>AACS system</t>
  </si>
  <si>
    <t>Security lighting</t>
  </si>
  <si>
    <t>PSUP Capex</t>
  </si>
  <si>
    <t>New Sites</t>
  </si>
  <si>
    <t>Physical Security Capex</t>
  </si>
  <si>
    <t>Allocation methodology</t>
  </si>
  <si>
    <t>Capex Summary</t>
  </si>
  <si>
    <t>Regulatory Year 2021-22</t>
  </si>
  <si>
    <t>Operating Margins Overall Cost</t>
  </si>
  <si>
    <t>Details of Operating Margins Purchasing Activities and Exchange Trades</t>
  </si>
  <si>
    <r>
      <t>OMC</t>
    </r>
    <r>
      <rPr>
        <b/>
        <vertAlign val="subscript"/>
        <sz val="10"/>
        <color indexed="8"/>
        <rFont val="Arial"/>
        <family val="2"/>
      </rPr>
      <t>t</t>
    </r>
  </si>
  <si>
    <t>(£m)</t>
  </si>
  <si>
    <t>(GWh)</t>
  </si>
  <si>
    <t>Regulatory Year 2021/22</t>
  </si>
  <si>
    <t>Cumulative Actual Data</t>
  </si>
  <si>
    <t>Operating margins</t>
  </si>
  <si>
    <t>NTS shrinkage (prompt)</t>
  </si>
  <si>
    <t>NTS shrinkage (gas trades)</t>
  </si>
  <si>
    <t>NTS shrinkage (elec trades)</t>
  </si>
  <si>
    <t>GHG Venting data</t>
  </si>
  <si>
    <t>TO PCDs</t>
  </si>
  <si>
    <t>SO PCDs</t>
  </si>
  <si>
    <t>TO Reopeners</t>
  </si>
  <si>
    <t>SO Reopeners</t>
  </si>
  <si>
    <t>TO pass through</t>
  </si>
  <si>
    <t>SO pass through</t>
  </si>
  <si>
    <t>TO Indirects</t>
  </si>
  <si>
    <t>SO Indirects</t>
  </si>
  <si>
    <t>Resilience</t>
  </si>
  <si>
    <t>Pipeline Data</t>
  </si>
  <si>
    <t>Demand &amp; Capability</t>
  </si>
  <si>
    <t>Demand Performance</t>
  </si>
  <si>
    <t>Compressor Assets</t>
  </si>
  <si>
    <t>Environment</t>
  </si>
  <si>
    <t>NIA</t>
  </si>
  <si>
    <t>SIF</t>
  </si>
  <si>
    <t>Customer Satisfaction</t>
  </si>
  <si>
    <t>BCF</t>
  </si>
  <si>
    <t>NIC</t>
  </si>
  <si>
    <t>Reopener pipeline log</t>
  </si>
  <si>
    <t xml:space="preserve">UAG volume in the relevant month divided by total Shrinkage Gas volume in the relevant month (percentage of gas volume related to UAG) multiplied by the Shrinkage Gas Costs (GC) for the relevant month </t>
  </si>
  <si>
    <t xml:space="preserve">Total costs incurred in the provision of unaccounted for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</si>
  <si>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</si>
  <si>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CV shrinkage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</si>
  <si>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</si>
  <si>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compression gas </t>
  </si>
  <si>
    <t>* The total costs incurred in the provision of the respective shrinkage components have been determined on the basis of the following:</t>
  </si>
  <si>
    <r>
      <t>'</t>
    </r>
    <r>
      <rPr>
        <b/>
        <sz val="12"/>
        <color rgb="FFFF0000"/>
        <rFont val="Arial"/>
        <family val="2"/>
      </rPr>
      <t>x</t>
    </r>
    <r>
      <rPr>
        <sz val="12"/>
        <color indexed="8"/>
        <rFont val="Arial"/>
        <family val="2"/>
      </rPr>
      <t xml:space="preserve">' indicates cells that would be populated with </t>
    </r>
    <r>
      <rPr>
        <b/>
        <sz val="12"/>
        <color indexed="8"/>
        <rFont val="Arial"/>
        <family val="2"/>
      </rPr>
      <t>forecast</t>
    </r>
    <r>
      <rPr>
        <sz val="12"/>
        <color indexed="8"/>
        <rFont val="Arial"/>
        <family val="2"/>
      </rPr>
      <t xml:space="preserve"> data at the end of 'Q2 13'</t>
    </r>
  </si>
  <si>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 at the end of 'Q2 13'</t>
    </r>
  </si>
  <si>
    <t>As an illustration:</t>
  </si>
  <si>
    <t xml:space="preserve">'Forecast' values are based upon the best information currently available and are provided in good faith. These values are subject to change in the event that further information becomes available during the course of the Formula Year.   </t>
  </si>
  <si>
    <t>The below applies to the monthly reporting packs only (not the annual RRP).</t>
  </si>
  <si>
    <t>Any amendments to previously published figures will be highlighted below.</t>
  </si>
  <si>
    <t>For actual Prompt Volume/Price target information see (prompt) worksheet</t>
  </si>
  <si>
    <t>x</t>
  </si>
  <si>
    <t>Mth</t>
  </si>
  <si>
    <t>Supplier and market charges</t>
  </si>
  <si>
    <t>Distribution Use of System costs</t>
  </si>
  <si>
    <t>Non Energy Costs</t>
  </si>
  <si>
    <t xml:space="preserve">UK Emissions Trading Scheme </t>
  </si>
  <si>
    <t>Ann</t>
  </si>
  <si>
    <t>Actual NTS Electricity Shrinkage Costs</t>
  </si>
  <si>
    <t>Actual NTS Gas Shrinkage Costs</t>
  </si>
  <si>
    <t>Average NTS Gas Shrinkage Costs</t>
  </si>
  <si>
    <t xml:space="preserve">"Worst Case Scenario" NTS Gas Shrinkage Procurement </t>
  </si>
  <si>
    <t xml:space="preserve">"Best Case Scenario" NTS Gas Shrinkage Procurement </t>
  </si>
  <si>
    <t>NTS Shrinkage - Shrinkage Procurement Reporting</t>
  </si>
  <si>
    <t>Qtr</t>
  </si>
  <si>
    <t>Sea</t>
  </si>
  <si>
    <t xml:space="preserve">Quarterly Forecast Gas Volumes </t>
  </si>
  <si>
    <t>Seasonal Forecast Gas Volumes</t>
  </si>
  <si>
    <t>NTS Shrinkage - Gas Volumes Methodology (Costs and Volumes)</t>
  </si>
  <si>
    <t>Total Costs of procurement of electricity</t>
  </si>
  <si>
    <r>
      <t>ECC</t>
    </r>
    <r>
      <rPr>
        <vertAlign val="subscript"/>
        <sz val="12"/>
        <color indexed="8"/>
        <rFont val="Arial"/>
        <family val="2"/>
      </rPr>
      <t>t,q</t>
    </r>
  </si>
  <si>
    <t>Total costs incurred in the provision of unaccounted for shrinkage gas*</t>
  </si>
  <si>
    <t>Total costs incurred in the provision of CV shrinkage gas*</t>
  </si>
  <si>
    <t>Total costs incurred in the provision of compression gas*</t>
  </si>
  <si>
    <t>Total Shrinkage Costs less ECC</t>
  </si>
  <si>
    <r>
      <t>GC</t>
    </r>
    <r>
      <rPr>
        <vertAlign val="subscript"/>
        <sz val="12"/>
        <color indexed="8"/>
        <rFont val="Arial"/>
        <family val="2"/>
      </rPr>
      <t>t,q</t>
    </r>
  </si>
  <si>
    <t>System costs (GC + ECC)</t>
  </si>
  <si>
    <r>
      <t>SC</t>
    </r>
    <r>
      <rPr>
        <vertAlign val="subscript"/>
        <sz val="12"/>
        <color indexed="8"/>
        <rFont val="Arial"/>
        <family val="2"/>
      </rPr>
      <t>t</t>
    </r>
  </si>
  <si>
    <t>Data supporting system costs calculation</t>
  </si>
  <si>
    <t>EOY</t>
  </si>
  <si>
    <t>Cum Bal</t>
  </si>
  <si>
    <t>Reporting frequency
(Mth / Qtr / Ann)</t>
  </si>
  <si>
    <t>DESCRIPTION</t>
  </si>
  <si>
    <t>LICENCE TERM</t>
  </si>
  <si>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</si>
  <si>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</si>
  <si>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t>Day</t>
  </si>
  <si>
    <t>DAILY DATA</t>
  </si>
  <si>
    <t>Totals&gt;&gt;</t>
  </si>
  <si>
    <t>TOTALS</t>
  </si>
  <si>
    <t>Monthly Breakdown Totals (cost £m)</t>
  </si>
  <si>
    <t>Cost £</t>
  </si>
  <si>
    <t>Volume (Therms)</t>
  </si>
  <si>
    <t>Exercise price (p/th)</t>
  </si>
  <si>
    <t>End</t>
  </si>
  <si>
    <t>Start</t>
  </si>
  <si>
    <t>Vol Units</t>
  </si>
  <si>
    <t>Volume</t>
  </si>
  <si>
    <t>Buy/Sell</t>
  </si>
  <si>
    <t>Trade Date</t>
  </si>
  <si>
    <t>Book</t>
  </si>
  <si>
    <t>Ref</t>
  </si>
  <si>
    <t>Buy Sell</t>
  </si>
  <si>
    <t>Monthly Breakdown Totals (volume therms)</t>
  </si>
  <si>
    <t>Trades</t>
  </si>
  <si>
    <t>Volume (MWh)</t>
  </si>
  <si>
    <t>Exercise Price (£/MWh)</t>
  </si>
  <si>
    <t>Monthly Breakdown Totals (volume MWh)</t>
  </si>
  <si>
    <t>Cumulative total</t>
  </si>
  <si>
    <r>
      <t>RBIR</t>
    </r>
    <r>
      <rPr>
        <b/>
        <vertAlign val="subscript"/>
        <sz val="10"/>
        <rFont val="Arial"/>
        <family val="2"/>
      </rPr>
      <t>t</t>
    </r>
  </si>
  <si>
    <t>Residual Gas Balancing Incentive Revenue</t>
  </si>
  <si>
    <t>(£)</t>
  </si>
  <si>
    <t>(mcm)</t>
  </si>
  <si>
    <t>(%)</t>
  </si>
  <si>
    <t>(p/kWh)</t>
  </si>
  <si>
    <r>
      <t>STIP</t>
    </r>
    <r>
      <rPr>
        <b/>
        <vertAlign val="subscript"/>
        <sz val="10"/>
        <rFont val="Arial"/>
        <family val="2"/>
      </rPr>
      <t>t</t>
    </r>
  </si>
  <si>
    <r>
      <t>DLIP</t>
    </r>
    <r>
      <rPr>
        <b/>
        <vertAlign val="subscript"/>
        <sz val="10"/>
        <rFont val="Arial"/>
        <family val="2"/>
      </rPr>
      <t>t,d</t>
    </r>
  </si>
  <si>
    <r>
      <t>LPM</t>
    </r>
    <r>
      <rPr>
        <b/>
        <vertAlign val="subscript"/>
        <sz val="10"/>
        <rFont val="Arial"/>
        <family val="2"/>
      </rPr>
      <t>t,d</t>
    </r>
  </si>
  <si>
    <r>
      <t>CLP</t>
    </r>
    <r>
      <rPr>
        <b/>
        <vertAlign val="subscript"/>
        <sz val="10"/>
        <rFont val="Arial"/>
        <family val="2"/>
      </rPr>
      <t>t,d</t>
    </r>
  </si>
  <si>
    <r>
      <t>OLP</t>
    </r>
    <r>
      <rPr>
        <b/>
        <vertAlign val="subscript"/>
        <sz val="10"/>
        <rFont val="Arial"/>
        <family val="2"/>
      </rPr>
      <t>t,d</t>
    </r>
  </si>
  <si>
    <r>
      <t>DPIP</t>
    </r>
    <r>
      <rPr>
        <b/>
        <vertAlign val="subscript"/>
        <sz val="10"/>
        <rFont val="Arial"/>
        <family val="2"/>
      </rPr>
      <t>t,d</t>
    </r>
  </si>
  <si>
    <r>
      <t>PPM</t>
    </r>
    <r>
      <rPr>
        <b/>
        <vertAlign val="subscript"/>
        <sz val="10"/>
        <rFont val="Arial"/>
        <family val="2"/>
      </rPr>
      <t>t,d</t>
    </r>
  </si>
  <si>
    <r>
      <t>TMISP</t>
    </r>
    <r>
      <rPr>
        <b/>
        <vertAlign val="subscript"/>
        <sz val="10"/>
        <rFont val="Arial"/>
        <family val="2"/>
      </rPr>
      <t>t,d</t>
    </r>
  </si>
  <si>
    <r>
      <t>TMIBP</t>
    </r>
    <r>
      <rPr>
        <b/>
        <vertAlign val="subscript"/>
        <sz val="10"/>
        <rFont val="Arial"/>
        <family val="2"/>
      </rPr>
      <t>t,d</t>
    </r>
  </si>
  <si>
    <r>
      <t>SAP</t>
    </r>
    <r>
      <rPr>
        <b/>
        <vertAlign val="subscript"/>
        <sz val="10"/>
        <rFont val="Arial"/>
        <family val="2"/>
      </rPr>
      <t>t,d</t>
    </r>
  </si>
  <si>
    <t>Daily sum of Incentive Payments</t>
  </si>
  <si>
    <t>Cumulative incentive payment</t>
  </si>
  <si>
    <t>Daily incentive payment</t>
  </si>
  <si>
    <t>Daily linepack performance measure</t>
  </si>
  <si>
    <t>Total NTS linepack on day d+1</t>
  </si>
  <si>
    <t>Total NTS linepack on day d</t>
  </si>
  <si>
    <t>Daily price performance measure</t>
  </si>
  <si>
    <t>Lowest market offer price</t>
  </si>
  <si>
    <t>Highest market offer price</t>
  </si>
  <si>
    <t xml:space="preserve">System  Average Price </t>
  </si>
  <si>
    <t>Reporting month</t>
  </si>
  <si>
    <t>Daily Linepack Incentive Payment</t>
  </si>
  <si>
    <t>Daily Price Incentive Payment</t>
  </si>
  <si>
    <t>Non-Shoulder Months</t>
  </si>
  <si>
    <t>Shoulder Months</t>
  </si>
  <si>
    <t>Cumulative Total</t>
  </si>
  <si>
    <t>Cumulative average error</t>
  </si>
  <si>
    <t>Cumulative balance</t>
  </si>
  <si>
    <t>Monthly value</t>
  </si>
  <si>
    <r>
      <t>DADF</t>
    </r>
    <r>
      <rPr>
        <b/>
        <vertAlign val="subscript"/>
        <sz val="10"/>
        <rFont val="Arial"/>
        <family val="2"/>
      </rPr>
      <t>d</t>
    </r>
  </si>
  <si>
    <r>
      <t>AD</t>
    </r>
    <r>
      <rPr>
        <b/>
        <vertAlign val="subscript"/>
        <sz val="9"/>
        <rFont val="Arial"/>
        <family val="2"/>
      </rPr>
      <t>d</t>
    </r>
  </si>
  <si>
    <r>
      <t>QDAIR</t>
    </r>
    <r>
      <rPr>
        <b/>
        <vertAlign val="subscript"/>
        <sz val="10"/>
        <rFont val="Arial"/>
        <family val="2"/>
      </rPr>
      <t>t</t>
    </r>
  </si>
  <si>
    <t>Day ahead forecast NTS throughput value</t>
  </si>
  <si>
    <t>Actual NTS throughput</t>
  </si>
  <si>
    <t>Regulatory Year</t>
  </si>
  <si>
    <t>Day Ahead Demand Forecasting Incentive Revenue</t>
  </si>
  <si>
    <t>Quality of Demand Information Incentive Revenue (d-1)</t>
  </si>
  <si>
    <t>Day Ahead Incentive Revenue</t>
  </si>
  <si>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</si>
  <si>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r>
      <t>DIY</t>
    </r>
    <r>
      <rPr>
        <b/>
        <vertAlign val="subscript"/>
        <sz val="10"/>
        <rFont val="Arial"/>
        <family val="2"/>
      </rPr>
      <t>t</t>
    </r>
  </si>
  <si>
    <r>
      <t>DFA</t>
    </r>
    <r>
      <rPr>
        <b/>
        <vertAlign val="subscript"/>
        <sz val="10"/>
        <rFont val="Arial"/>
        <family val="2"/>
      </rPr>
      <t>t</t>
    </r>
  </si>
  <si>
    <r>
      <t>DFSA</t>
    </r>
    <r>
      <rPr>
        <b/>
        <vertAlign val="subscript"/>
        <sz val="10"/>
        <rFont val="Arial"/>
        <family val="2"/>
      </rPr>
      <t>t</t>
    </r>
    <r>
      <rPr>
        <sz val="10"/>
        <rFont val="Arial"/>
        <family val="2"/>
      </rPr>
      <t/>
    </r>
  </si>
  <si>
    <r>
      <t>DFSA</t>
    </r>
    <r>
      <rPr>
        <b/>
        <vertAlign val="subscript"/>
        <sz val="10"/>
        <rFont val="Arial"/>
        <family val="2"/>
      </rPr>
      <t>t-1</t>
    </r>
  </si>
  <si>
    <r>
      <t>AIC</t>
    </r>
    <r>
      <rPr>
        <b/>
        <vertAlign val="subscript"/>
        <sz val="10"/>
        <rFont val="Arial"/>
        <family val="2"/>
      </rPr>
      <t>t</t>
    </r>
    <r>
      <rPr>
        <b/>
        <sz val="10"/>
        <rFont val="Arial"/>
        <family val="2"/>
      </rPr>
      <t xml:space="preserve"> </t>
    </r>
  </si>
  <si>
    <r>
      <t>AIC</t>
    </r>
    <r>
      <rPr>
        <b/>
        <vertAlign val="subscript"/>
        <sz val="10"/>
        <rFont val="Arial"/>
        <family val="2"/>
      </rPr>
      <t>t-1</t>
    </r>
  </si>
  <si>
    <r>
      <t>DFSA</t>
    </r>
    <r>
      <rPr>
        <b/>
        <vertAlign val="subscript"/>
        <sz val="10"/>
        <rFont val="Arial"/>
        <family val="2"/>
      </rPr>
      <t>t</t>
    </r>
  </si>
  <si>
    <r>
      <t>ASF</t>
    </r>
    <r>
      <rPr>
        <b/>
        <vertAlign val="subscript"/>
        <sz val="10"/>
        <rFont val="Arial"/>
        <family val="2"/>
      </rPr>
      <t>d,t</t>
    </r>
  </si>
  <si>
    <t>Days in Formula Year</t>
  </si>
  <si>
    <t>Day ahead demand forecasting adjustment to date</t>
  </si>
  <si>
    <t>Demand Forecasting short-cycle adjustment to date</t>
  </si>
  <si>
    <t>Demand Forecasting short-cycle adjustment for Previous Formula Year</t>
  </si>
  <si>
    <t>Average Daily Injection Capability to date</t>
  </si>
  <si>
    <t>Average Daily Injection Capability for Previous Formula Year</t>
  </si>
  <si>
    <t>Day ahead demand forecasting adjustment</t>
  </si>
  <si>
    <t>Demand Forecasting short-cycle adjustment</t>
  </si>
  <si>
    <t>Average annual capability of short cycle storage facilities</t>
  </si>
  <si>
    <t>Tables 7.9 and 7.10 are still required for the monthly SO incentive submission, but not required for the end of year RRP submission.</t>
  </si>
  <si>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</si>
  <si>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r>
      <t>DF</t>
    </r>
    <r>
      <rPr>
        <b/>
        <vertAlign val="subscript"/>
        <sz val="10"/>
        <rFont val="Arial"/>
        <family val="2"/>
      </rPr>
      <t>d-5</t>
    </r>
  </si>
  <si>
    <r>
      <t>DF</t>
    </r>
    <r>
      <rPr>
        <b/>
        <vertAlign val="subscript"/>
        <sz val="10"/>
        <rFont val="Arial"/>
        <family val="2"/>
      </rPr>
      <t>d-4</t>
    </r>
  </si>
  <si>
    <r>
      <t>DF</t>
    </r>
    <r>
      <rPr>
        <b/>
        <vertAlign val="subscript"/>
        <sz val="10"/>
        <rFont val="Arial"/>
        <family val="2"/>
      </rPr>
      <t>d-3</t>
    </r>
  </si>
  <si>
    <r>
      <t>DF</t>
    </r>
    <r>
      <rPr>
        <b/>
        <vertAlign val="subscript"/>
        <sz val="10"/>
        <rFont val="Arial"/>
        <family val="2"/>
      </rPr>
      <t>d-2</t>
    </r>
  </si>
  <si>
    <t>Demand Forecast NTS throughput value</t>
  </si>
  <si>
    <t>D-2 to D-5 demand forecasting average error</t>
  </si>
  <si>
    <t>Two to Five Days Ahead Demand Forecasting</t>
  </si>
  <si>
    <t>Cumulative value</t>
  </si>
  <si>
    <t>(£/tonne)</t>
  </si>
  <si>
    <t>(tonnes)</t>
  </si>
  <si>
    <r>
      <t>GHGIR</t>
    </r>
    <r>
      <rPr>
        <b/>
        <vertAlign val="subscript"/>
        <sz val="10"/>
        <rFont val="Arial"/>
        <family val="2"/>
      </rPr>
      <t>t</t>
    </r>
  </si>
  <si>
    <r>
      <t>VEP</t>
    </r>
    <r>
      <rPr>
        <b/>
        <vertAlign val="subscript"/>
        <sz val="10"/>
        <rFont val="Arial"/>
        <family val="2"/>
      </rPr>
      <t>t</t>
    </r>
  </si>
  <si>
    <r>
      <t>VIRP</t>
    </r>
    <r>
      <rPr>
        <b/>
        <vertAlign val="subscript"/>
        <sz val="10"/>
        <rFont val="Arial"/>
        <family val="2"/>
      </rPr>
      <t>t</t>
    </r>
  </si>
  <si>
    <r>
      <t>VIT</t>
    </r>
    <r>
      <rPr>
        <b/>
        <vertAlign val="subscript"/>
        <sz val="10"/>
        <rFont val="Arial"/>
        <family val="2"/>
      </rPr>
      <t>t</t>
    </r>
  </si>
  <si>
    <r>
      <t>VIPM</t>
    </r>
    <r>
      <rPr>
        <b/>
        <vertAlign val="subscript"/>
        <sz val="10"/>
        <rFont val="Arial"/>
        <family val="2"/>
      </rPr>
      <t>t</t>
    </r>
  </si>
  <si>
    <t>Greenhouse Gas Emissions Incentive Revenue</t>
  </si>
  <si>
    <t>Venting Emissions Performance</t>
  </si>
  <si>
    <t>Incentive reference price (in £/tonne of natural gas vented)</t>
  </si>
  <si>
    <t>Annual Venting Incentive target (tonnes)</t>
  </si>
  <si>
    <t>Natural Gas Vented from Compressors in each month</t>
  </si>
  <si>
    <t>Electric</t>
  </si>
  <si>
    <t>Unit C</t>
  </si>
  <si>
    <t xml:space="preserve">Natural Gas </t>
  </si>
  <si>
    <t>Unit A</t>
  </si>
  <si>
    <t>St. Fergus</t>
  </si>
  <si>
    <t>Unit 3B</t>
  </si>
  <si>
    <t>Unit 3A</t>
  </si>
  <si>
    <t>Unit 2D</t>
  </si>
  <si>
    <t>Unit 2B</t>
  </si>
  <si>
    <t>Unit 2A</t>
  </si>
  <si>
    <t>Unit 1D</t>
  </si>
  <si>
    <t>Unit 1C</t>
  </si>
  <si>
    <t>Unit 1B</t>
  </si>
  <si>
    <t>Unit 1A</t>
  </si>
  <si>
    <t>Kirremuir</t>
  </si>
  <si>
    <t>Unit E</t>
  </si>
  <si>
    <t>Unit D</t>
  </si>
  <si>
    <t>Power source</t>
  </si>
  <si>
    <t>Compressor station</t>
  </si>
  <si>
    <t>Venting per unit</t>
  </si>
  <si>
    <t>Site Vents</t>
  </si>
  <si>
    <t>ESD vents</t>
  </si>
  <si>
    <t>Operational process vents</t>
  </si>
  <si>
    <t>Dynamic seal emissions</t>
  </si>
  <si>
    <t>Static seal emissions</t>
  </si>
  <si>
    <t>Fuel gas purge &amp; vents</t>
  </si>
  <si>
    <t xml:space="preserve">Start-up process gas purge </t>
  </si>
  <si>
    <t>Starter vents</t>
  </si>
  <si>
    <t>Venting cause</t>
  </si>
  <si>
    <t>Time taken to Complete 
(Days)</t>
  </si>
  <si>
    <t xml:space="preserve">Length of Run
 (km) </t>
  </si>
  <si>
    <t xml:space="preserve">Type of ILI Undertaken 
(Short/Long) </t>
  </si>
  <si>
    <t>Date</t>
  </si>
  <si>
    <t>In-Line Inspection Reporting</t>
  </si>
  <si>
    <t>Floor</t>
  </si>
  <si>
    <t>Cap</t>
  </si>
  <si>
    <r>
      <t>MDI</t>
    </r>
    <r>
      <rPr>
        <vertAlign val="subscript"/>
        <sz val="11"/>
        <color indexed="8"/>
        <rFont val="Calibri"/>
        <family val="2"/>
      </rPr>
      <t>t</t>
    </r>
  </si>
  <si>
    <r>
      <t>MDINP</t>
    </r>
    <r>
      <rPr>
        <vertAlign val="subscript"/>
        <sz val="11"/>
        <color indexed="8"/>
        <rFont val="Calibri"/>
        <family val="2"/>
      </rPr>
      <t>t</t>
    </r>
  </si>
  <si>
    <r>
      <t>MDA</t>
    </r>
    <r>
      <rPr>
        <vertAlign val="subscript"/>
        <sz val="11"/>
        <color indexed="8"/>
        <rFont val="Calibri"/>
        <family val="2"/>
      </rPr>
      <t>t</t>
    </r>
  </si>
  <si>
    <r>
      <t>MADT</t>
    </r>
    <r>
      <rPr>
        <vertAlign val="subscript"/>
        <sz val="11"/>
        <color indexed="8"/>
        <rFont val="Calibri"/>
        <family val="2"/>
      </rPr>
      <t>t</t>
    </r>
  </si>
  <si>
    <r>
      <t>TQM</t>
    </r>
    <r>
      <rPr>
        <vertAlign val="subscript"/>
        <sz val="11"/>
        <color indexed="8"/>
        <rFont val="Calibri"/>
        <family val="2"/>
      </rPr>
      <t>t</t>
    </r>
  </si>
  <si>
    <r>
      <t>MDIRV</t>
    </r>
    <r>
      <rPr>
        <vertAlign val="subscript"/>
        <sz val="11"/>
        <color indexed="8"/>
        <rFont val="Calibri"/>
        <family val="2"/>
      </rPr>
      <t>t</t>
    </r>
  </si>
  <si>
    <r>
      <t>MPMV</t>
    </r>
    <r>
      <rPr>
        <vertAlign val="subscript"/>
        <sz val="11"/>
        <color indexed="8"/>
        <rFont val="Calibri"/>
        <family val="2"/>
      </rPr>
      <t>t</t>
    </r>
  </si>
  <si>
    <r>
      <t>MDV</t>
    </r>
    <r>
      <rPr>
        <vertAlign val="subscript"/>
        <sz val="11"/>
        <color indexed="8"/>
        <rFont val="Calibri"/>
        <family val="2"/>
      </rPr>
      <t>t</t>
    </r>
  </si>
  <si>
    <r>
      <t>MDT</t>
    </r>
    <r>
      <rPr>
        <vertAlign val="subscript"/>
        <sz val="11"/>
        <color indexed="8"/>
        <rFont val="Calibri"/>
        <family val="2"/>
      </rPr>
      <t>t</t>
    </r>
  </si>
  <si>
    <r>
      <t>MCIR</t>
    </r>
    <r>
      <rPr>
        <vertAlign val="subscript"/>
        <sz val="11"/>
        <color indexed="8"/>
        <rFont val="Calibri"/>
        <family val="2"/>
      </rPr>
      <t>t</t>
    </r>
  </si>
  <si>
    <r>
      <t>MCIPM</t>
    </r>
    <r>
      <rPr>
        <vertAlign val="subscript"/>
        <sz val="11"/>
        <color indexed="8"/>
        <rFont val="Calibri"/>
        <family val="2"/>
      </rPr>
      <t>t</t>
    </r>
  </si>
  <si>
    <r>
      <t>MCICD</t>
    </r>
    <r>
      <rPr>
        <vertAlign val="subscript"/>
        <sz val="11"/>
        <color indexed="8"/>
        <rFont val="Calibri"/>
        <family val="2"/>
      </rPr>
      <t>t</t>
    </r>
  </si>
  <si>
    <r>
      <t>MCITD</t>
    </r>
    <r>
      <rPr>
        <vertAlign val="subscript"/>
        <sz val="11"/>
        <color indexed="8"/>
        <rFont val="Calibri"/>
        <family val="2"/>
      </rPr>
      <t>t</t>
    </r>
  </si>
  <si>
    <r>
      <t>MW</t>
    </r>
    <r>
      <rPr>
        <vertAlign val="subscript"/>
        <sz val="11"/>
        <color indexed="8"/>
        <rFont val="Calibri"/>
        <family val="2"/>
      </rPr>
      <t>t</t>
    </r>
  </si>
  <si>
    <t>Incentive Revenue (£m)</t>
  </si>
  <si>
    <t>Performance Measure</t>
  </si>
  <si>
    <t xml:space="preserve"> Year to Date Advice Notice Days (non-RVO)</t>
  </si>
  <si>
    <t>Advice Notice Days Target</t>
  </si>
  <si>
    <t>Total Quantity of Customer Impacting Work</t>
  </si>
  <si>
    <t xml:space="preserve"> Year to Date Maintenance Days Used </t>
  </si>
  <si>
    <t>Forecast Annual Days Used Target</t>
  </si>
  <si>
    <t xml:space="preserve">Performance Measure </t>
  </si>
  <si>
    <t xml:space="preserve">Year to Date Number of Days Changed </t>
  </si>
  <si>
    <t>Year to Date Advice Notice Days Changed</t>
  </si>
  <si>
    <t xml:space="preserve">Year to Date Maintenance Plan Days Changed </t>
  </si>
  <si>
    <t xml:space="preserve">Forecast Change Target (Days) </t>
  </si>
  <si>
    <t xml:space="preserve">Forecast Annual Advice Notice Days  </t>
  </si>
  <si>
    <t xml:space="preserve">Forecast Annual Maintenance Days </t>
  </si>
  <si>
    <t xml:space="preserve">Maintenance Days Incentive (non-RVO) </t>
  </si>
  <si>
    <t>Maintenance Days Incentive (RVO)</t>
  </si>
  <si>
    <t xml:space="preserve">Maintenance Change Incentive </t>
  </si>
  <si>
    <t>Data as at Month end</t>
  </si>
  <si>
    <t>Greenhouse gas emissions venting data</t>
  </si>
  <si>
    <t>Maintenance incentive revenue</t>
  </si>
  <si>
    <t>Greenhouse gas emissions incentive revenue</t>
  </si>
  <si>
    <t>Demand forecasting adjustment</t>
  </si>
  <si>
    <t>Residual balancing data</t>
  </si>
  <si>
    <t>Units</t>
  </si>
  <si>
    <t>Constraint management revenues</t>
  </si>
  <si>
    <t>RNOEC</t>
  </si>
  <si>
    <t xml:space="preserve">Sale of Non-obligated capacity forming accelerated release </t>
  </si>
  <si>
    <t>RAREnCA</t>
  </si>
  <si>
    <t>Locational sell actions</t>
  </si>
  <si>
    <t>RLOC</t>
  </si>
  <si>
    <t>Physical renomination incentive charges</t>
  </si>
  <si>
    <t>Sale of Non-obligated Exit Capacity</t>
  </si>
  <si>
    <t>RNOExC</t>
  </si>
  <si>
    <t>Any further revenues derived by the licensee that the Authority directs to include</t>
  </si>
  <si>
    <t>RADD</t>
  </si>
  <si>
    <t>Constraint management costs</t>
  </si>
  <si>
    <t>Operational buying back of entry capacity</t>
  </si>
  <si>
    <t>EnCMOpC</t>
  </si>
  <si>
    <t>Locational buy actions</t>
  </si>
  <si>
    <t>Turnup or turndown contracts</t>
  </si>
  <si>
    <t>Operational Buying back of exit capacity</t>
  </si>
  <si>
    <t>ExCMOpC</t>
  </si>
  <si>
    <t xml:space="preserve">Offtake reductions </t>
  </si>
  <si>
    <t>Costs arising from exceeding max permitted offtake rate</t>
  </si>
  <si>
    <t>ExBBCNLRA</t>
  </si>
  <si>
    <t>Costs arising from aggregate overrun</t>
  </si>
  <si>
    <t>Costs arising where a Maintenance Day has been notified</t>
  </si>
  <si>
    <t>Costs arising where the User is required to reimburse the licensee</t>
  </si>
  <si>
    <t>Investment constraint management costs (entry)</t>
  </si>
  <si>
    <t>EnCMInvC</t>
  </si>
  <si>
    <t>Investment constraint management (exit)</t>
  </si>
  <si>
    <t>ExCMInvC</t>
  </si>
  <si>
    <t>Scaleback</t>
  </si>
  <si>
    <t>Gas Day</t>
  </si>
  <si>
    <t>Location</t>
  </si>
  <si>
    <t>Entry/Exit</t>
  </si>
  <si>
    <t>Total Sold Quantity of Interruptible/Off-Peak (kWh)</t>
  </si>
  <si>
    <t>Entry/Exit Flows (mcm)</t>
  </si>
  <si>
    <t>Scaleback (Time &amp; Date)</t>
  </si>
  <si>
    <t>Scaleback (%)</t>
  </si>
  <si>
    <t>Total Vol Curtailed (kWh)</t>
  </si>
  <si>
    <t>Remaining Sold Quantity (kWh)</t>
  </si>
  <si>
    <t>Restored (Time &amp; Date)</t>
  </si>
  <si>
    <t>Other Comments</t>
  </si>
  <si>
    <t>Locational Trades</t>
  </si>
  <si>
    <t>Locational Trade (Buy/Sell)</t>
  </si>
  <si>
    <t>No. of locational bids offered/taken</t>
  </si>
  <si>
    <t>Price Range</t>
  </si>
  <si>
    <t>Total Vol (kWh)</t>
  </si>
  <si>
    <t>Total Value (£)</t>
  </si>
  <si>
    <t>Operational Buyback of Capacity</t>
  </si>
  <si>
    <t>Days Applicable</t>
  </si>
  <si>
    <t>Contract Summary</t>
  </si>
  <si>
    <t>Gas Constraints</t>
  </si>
  <si>
    <t>Gas Constraint events</t>
  </si>
  <si>
    <t>4.1</t>
  </si>
  <si>
    <t>4.2</t>
  </si>
  <si>
    <t>4.3</t>
  </si>
  <si>
    <t>4.4</t>
  </si>
  <si>
    <t>4.5</t>
  </si>
  <si>
    <t>4.6</t>
  </si>
  <si>
    <t>4.7</t>
  </si>
  <si>
    <t>4.8</t>
  </si>
  <si>
    <t>5.1</t>
  </si>
  <si>
    <t>5.2</t>
  </si>
  <si>
    <t>5.3</t>
  </si>
  <si>
    <t>5.4</t>
  </si>
  <si>
    <t>5.5</t>
  </si>
  <si>
    <t>5.6</t>
  </si>
  <si>
    <t>5.7</t>
  </si>
  <si>
    <t>5.8</t>
  </si>
  <si>
    <t>6.1</t>
  </si>
  <si>
    <t>6.2</t>
  </si>
  <si>
    <t>6.3</t>
  </si>
  <si>
    <t>6.4</t>
  </si>
  <si>
    <t>6.5</t>
  </si>
  <si>
    <t>6.6</t>
  </si>
  <si>
    <t>6.7</t>
  </si>
  <si>
    <t>6.8</t>
  </si>
  <si>
    <t>%</t>
  </si>
  <si>
    <t>number</t>
  </si>
  <si>
    <t>ILI Digs</t>
  </si>
  <si>
    <t>Annual predicted anomaly interventions</t>
  </si>
  <si>
    <t>Actual annual anomaly interventions required</t>
  </si>
  <si>
    <t>Annual anomaly interventions analysed, mitigation identified, and implemented</t>
  </si>
  <si>
    <t>Forecast Annual Maintenance Workload Days</t>
  </si>
  <si>
    <t>2019/20</t>
  </si>
  <si>
    <t>FY 19/20</t>
  </si>
  <si>
    <t>Formula Year 2019/20</t>
  </si>
  <si>
    <t>Asset Health - Costs</t>
  </si>
  <si>
    <t>Asset Health - Workload</t>
  </si>
  <si>
    <t>Major Projects</t>
  </si>
  <si>
    <t>IT Asset Refresh</t>
  </si>
  <si>
    <t>Technical Asset Refresh</t>
  </si>
  <si>
    <t>National Grid Gas Plc</t>
  </si>
  <si>
    <t>TO Price Control Deliverables</t>
  </si>
  <si>
    <t>2021/22</t>
  </si>
  <si>
    <t>2022/23</t>
  </si>
  <si>
    <t>2023/24</t>
  </si>
  <si>
    <t>2024/25</t>
  </si>
  <si>
    <t>2025/26</t>
  </si>
  <si>
    <t>Baseline Allowed NARM Expenditure</t>
  </si>
  <si>
    <t>Allowance</t>
  </si>
  <si>
    <t>SpC 3.1</t>
  </si>
  <si>
    <t>£m 18/19 prices</t>
  </si>
  <si>
    <t>Adjustment</t>
  </si>
  <si>
    <t>Cyber resilience OT Price Control Deliverable and use it or lose it allowance</t>
  </si>
  <si>
    <r>
      <t>CROTA</t>
    </r>
    <r>
      <rPr>
        <vertAlign val="subscript"/>
        <sz val="10"/>
        <color theme="1"/>
        <rFont val="Verdana"/>
        <family val="2"/>
      </rPr>
      <t>t</t>
    </r>
  </si>
  <si>
    <t>SpC 3.2</t>
  </si>
  <si>
    <t>Cyber Resilience OT PCD and UIOLI</t>
  </si>
  <si>
    <t>Cyber resilience IT Price Control Deliverable</t>
  </si>
  <si>
    <r>
      <t>CRITA</t>
    </r>
    <r>
      <rPr>
        <vertAlign val="subscript"/>
        <sz val="10"/>
        <color theme="1"/>
        <rFont val="Verdana"/>
        <family val="2"/>
      </rPr>
      <t>t</t>
    </r>
  </si>
  <si>
    <t>SpC 3.3</t>
  </si>
  <si>
    <t>Cyber Resilience IT Price Control Deliverable</t>
  </si>
  <si>
    <t>Physical security Price Control Deliverable</t>
  </si>
  <si>
    <t>SpC 3.4</t>
  </si>
  <si>
    <t>Net zero and Re-opener development fund use it or lose it allowance</t>
  </si>
  <si>
    <t>SpC 3.5</t>
  </si>
  <si>
    <t>Net Zero And Re-opener Development Fund UIOLI</t>
  </si>
  <si>
    <t>Bacton terminal site redevelopment Price Control Deliverable</t>
  </si>
  <si>
    <t>SpC 3.10</t>
  </si>
  <si>
    <t>Bacton terminal site redevelopment PCD</t>
  </si>
  <si>
    <t>Compressor emissions Price Control Deliverable</t>
  </si>
  <si>
    <t>SpC 3.11</t>
  </si>
  <si>
    <t>King's Lynn subsidence Price Control Deliverable</t>
  </si>
  <si>
    <t>SpC 3.12</t>
  </si>
  <si>
    <t>Funded incremental obligated capacity Price Control Deliverable</t>
  </si>
  <si>
    <t>SpC 3.13</t>
  </si>
  <si>
    <t>Funded incremental obligated capacity PCD</t>
  </si>
  <si>
    <t>Asset health - non lead assets Price Control Deliverable</t>
  </si>
  <si>
    <t>SpC 3.15</t>
  </si>
  <si>
    <t>Redundant Assets Price Control Deliverable</t>
  </si>
  <si>
    <t>SpC 3.16</t>
  </si>
  <si>
    <t>SO Price Control Deliverables</t>
  </si>
  <si>
    <t>TO Re-openers</t>
  </si>
  <si>
    <t>Cyber Resilience OT Re-opener</t>
  </si>
  <si>
    <r>
      <t>CROTO</t>
    </r>
    <r>
      <rPr>
        <vertAlign val="subscript"/>
        <sz val="12"/>
        <color theme="1"/>
        <rFont val="Verdana"/>
        <family val="2"/>
      </rPr>
      <t>t</t>
    </r>
  </si>
  <si>
    <t xml:space="preserve">Adjustment </t>
  </si>
  <si>
    <t>Cyber Resilience OT Re-Opener</t>
  </si>
  <si>
    <t>Cyber Resilience IT Re-opener</t>
  </si>
  <si>
    <r>
      <t>CRITO</t>
    </r>
    <r>
      <rPr>
        <vertAlign val="subscript"/>
        <sz val="12"/>
        <color theme="1"/>
        <rFont val="Verdana"/>
        <family val="2"/>
      </rPr>
      <t>t</t>
    </r>
  </si>
  <si>
    <t>Cyber Resilience IT Re-Opener</t>
  </si>
  <si>
    <t>Physical Security Re-opener</t>
  </si>
  <si>
    <t>Physical Security Re-Opener</t>
  </si>
  <si>
    <t xml:space="preserve">Net zero Re-opener </t>
  </si>
  <si>
    <t>Bacton terminal site redevelopment Re-opener</t>
  </si>
  <si>
    <t>Bacton terminal site redevelopment Re-Opener</t>
  </si>
  <si>
    <t>Compressor emissions Re-opener</t>
  </si>
  <si>
    <t>Compressor emissions Re-Opener</t>
  </si>
  <si>
    <t>King's Lynn subsidence Re-opener</t>
  </si>
  <si>
    <t>Funded incremental obligated capacity Re-opener</t>
  </si>
  <si>
    <t>Baseline Allowed NARM Re-opener</t>
  </si>
  <si>
    <t>Asset health – non lead assets Re-opener</t>
  </si>
  <si>
    <t>Asset health - non lead assets Re-opener</t>
  </si>
  <si>
    <t>SO Re-openers</t>
  </si>
  <si>
    <r>
      <t>CROTO</t>
    </r>
    <r>
      <rPr>
        <vertAlign val="subscript"/>
        <sz val="10"/>
        <color theme="1"/>
        <rFont val="Verdana"/>
        <family val="2"/>
      </rPr>
      <t>t</t>
    </r>
  </si>
  <si>
    <r>
      <t>CROTRE</t>
    </r>
    <r>
      <rPr>
        <vertAlign val="subscript"/>
        <sz val="10"/>
        <color theme="1"/>
        <rFont val="Verdana"/>
        <family val="2"/>
      </rPr>
      <t>t</t>
    </r>
  </si>
  <si>
    <r>
      <t>CRITO</t>
    </r>
    <r>
      <rPr>
        <vertAlign val="subscript"/>
        <sz val="10"/>
        <color theme="1"/>
        <rFont val="Verdana"/>
        <family val="2"/>
      </rPr>
      <t>t</t>
    </r>
  </si>
  <si>
    <t>Opex escalator</t>
  </si>
  <si>
    <t>TO Opex escalator</t>
  </si>
  <si>
    <t>SpC 3.18</t>
  </si>
  <si>
    <t>BCAI</t>
  </si>
  <si>
    <t>BCAPEX</t>
  </si>
  <si>
    <t>UMTERM calculation</t>
  </si>
  <si>
    <t>Non-operational IT Capex Re-opener</t>
  </si>
  <si>
    <t>SpC 3.7</t>
  </si>
  <si>
    <t>TO Pass through</t>
  </si>
  <si>
    <t>Pass-through costs</t>
  </si>
  <si>
    <t>NTS Transportation Owner Licenced Activity</t>
  </si>
  <si>
    <t>SpC 6.1</t>
  </si>
  <si>
    <t>Prescribed Rates</t>
  </si>
  <si>
    <t>Pension Scheme Established Deficit repair</t>
  </si>
  <si>
    <t>Bad Debt</t>
  </si>
  <si>
    <t>Secretary of State in respect of Policing Costs</t>
  </si>
  <si>
    <t>PARCA Termination Value</t>
  </si>
  <si>
    <t>Gas conveyed to Independent Systems</t>
  </si>
  <si>
    <t>SpC 6.2</t>
  </si>
  <si>
    <t>Hy-Net</t>
  </si>
  <si>
    <t xml:space="preserve">Bad Debt </t>
  </si>
  <si>
    <t xml:space="preserve">Provisional Bad Debt cost </t>
  </si>
  <si>
    <t>Actual Bad Debt cost incurred</t>
  </si>
  <si>
    <t>Interest income accrued adjustment</t>
  </si>
  <si>
    <t>Bad Debt costs incurred</t>
  </si>
  <si>
    <r>
      <t>BDA</t>
    </r>
    <r>
      <rPr>
        <vertAlign val="subscript"/>
        <sz val="10"/>
        <rFont val="Gili"/>
      </rPr>
      <t>t</t>
    </r>
  </si>
  <si>
    <t>Recovered Bad Debt</t>
  </si>
  <si>
    <r>
      <t>RBD</t>
    </r>
    <r>
      <rPr>
        <vertAlign val="subscript"/>
        <sz val="10"/>
        <rFont val="Gili"/>
      </rPr>
      <t>t</t>
    </r>
  </si>
  <si>
    <t>Eligible Bad Debt Costs adjustment</t>
  </si>
  <si>
    <r>
      <t>BD</t>
    </r>
    <r>
      <rPr>
        <b/>
        <vertAlign val="subscript"/>
        <sz val="10"/>
        <rFont val="Gili"/>
      </rPr>
      <t>t</t>
    </r>
  </si>
  <si>
    <t>Gas conveyed to Independent systems</t>
  </si>
  <si>
    <t>Bulk Price Differential</t>
  </si>
  <si>
    <t>Amount to pay Scotland Gas Networks plc</t>
  </si>
  <si>
    <t>Amount to pay Wales &amp; West Utilities Limited</t>
  </si>
  <si>
    <t>Price index for 2018/19</t>
  </si>
  <si>
    <t>Independent Systems</t>
  </si>
  <si>
    <t>ACPSt calculation</t>
  </si>
  <si>
    <t>Scotland Gas Networks plc</t>
  </si>
  <si>
    <t>Forecast price index for year t</t>
  </si>
  <si>
    <t>ACPWt calculation</t>
  </si>
  <si>
    <t>Wales &amp; West Utilities Limited</t>
  </si>
  <si>
    <t xml:space="preserve">Hy-net FEED study </t>
  </si>
  <si>
    <t>Hynet FEED study costs</t>
  </si>
  <si>
    <t>SO Pass through</t>
  </si>
  <si>
    <t>SO Pass-through costs</t>
  </si>
  <si>
    <t>CDSP Costs</t>
  </si>
  <si>
    <t>SpC 6.3</t>
  </si>
  <si>
    <t>Pension Scheme Established Deficit</t>
  </si>
  <si>
    <t xml:space="preserve">SO Bad Debt </t>
  </si>
  <si>
    <r>
      <t>SOBDA</t>
    </r>
    <r>
      <rPr>
        <vertAlign val="subscript"/>
        <sz val="10"/>
        <rFont val="Verdana"/>
        <family val="2"/>
      </rPr>
      <t>t</t>
    </r>
  </si>
  <si>
    <r>
      <t>SORBD</t>
    </r>
    <r>
      <rPr>
        <vertAlign val="subscript"/>
        <sz val="10"/>
        <rFont val="Verdana"/>
        <family val="2"/>
      </rPr>
      <t>t</t>
    </r>
  </si>
  <si>
    <r>
      <t>SOBD</t>
    </r>
    <r>
      <rPr>
        <b/>
        <vertAlign val="subscript"/>
        <sz val="10"/>
        <rFont val="Verdana"/>
        <family val="2"/>
      </rPr>
      <t>t</t>
    </r>
  </si>
  <si>
    <t>CNIA</t>
  </si>
  <si>
    <t>-</t>
  </si>
  <si>
    <t>Customer satisfaction survey ODI</t>
  </si>
  <si>
    <t>SpC 4.2</t>
  </si>
  <si>
    <t>Environmental scorecard ODI</t>
  </si>
  <si>
    <t>SpC 4.3</t>
  </si>
  <si>
    <t>Ex-Ante Base Revenue</t>
  </si>
  <si>
    <t>EABR</t>
  </si>
  <si>
    <t>Revenue adjustment factor</t>
  </si>
  <si>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</si>
  <si>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</si>
  <si>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</si>
  <si>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</si>
  <si>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</si>
  <si>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</si>
  <si>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</si>
  <si>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</si>
  <si>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</si>
  <si>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</si>
  <si>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</si>
  <si>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Customer Satisfaction Survey score</t>
  </si>
  <si>
    <t>CSPt</t>
  </si>
  <si>
    <t>Factor</t>
  </si>
  <si>
    <t>Constraint management incentive revenue</t>
  </si>
  <si>
    <t>SpC 5.5</t>
  </si>
  <si>
    <t xml:space="preserve">Revenue from accelerated release of Incremental Obligated Entry Capacity from sales of Non-Obligated Entry Capacity at an NTS Entry Point </t>
  </si>
  <si>
    <t>Exit Capacity buyback costs</t>
  </si>
  <si>
    <t>Constraint management revenue</t>
  </si>
  <si>
    <t>Constraint Management incentive revenue</t>
  </si>
  <si>
    <t>Constraint management sharing factor</t>
  </si>
  <si>
    <t>CMSF</t>
  </si>
  <si>
    <t>Constraint management target cost</t>
  </si>
  <si>
    <t>CMOpTC</t>
  </si>
  <si>
    <t>Constraint management performance</t>
  </si>
  <si>
    <t>CMOpPM</t>
  </si>
  <si>
    <t>Constraint management investment cost</t>
  </si>
  <si>
    <t>CMInvC</t>
  </si>
  <si>
    <t>Provisonal CMIR</t>
  </si>
  <si>
    <t>Annual lower limit on constraint management incentive revenue</t>
  </si>
  <si>
    <t>Annual upper limit on constraint management incentive revenue</t>
  </si>
  <si>
    <t>CM operational costs for Entry Capacity and Exit Capacity</t>
  </si>
  <si>
    <t>Revenue from day sales of obligated entry capacity</t>
  </si>
  <si>
    <t>Revenue from sale of Interrupible Entry capacity</t>
  </si>
  <si>
    <t>Revenue from curtailed Interruptible Entry capacity</t>
  </si>
  <si>
    <t>Revenue from Non-obligated entry capacity</t>
  </si>
  <si>
    <t xml:space="preserve">Revenue from locational sell actions and physical renomination incentive charges </t>
  </si>
  <si>
    <t>Revenue from the sale of Off-Peak Exit Capacity</t>
  </si>
  <si>
    <t>Revene from the sale of curtailed Off-Peak Exit Capacity</t>
  </si>
  <si>
    <t>Revenue from the sale of Non-obligated Exit Capacity</t>
  </si>
  <si>
    <t>Revenue from on the Day sales of Obligated Exit Capacity</t>
  </si>
  <si>
    <t xml:space="preserve">Any further revenues that the Authority has directed to include </t>
  </si>
  <si>
    <t>Revenue from the sale of Interruptible Entry capacity</t>
  </si>
  <si>
    <t>Remaining sold quantity of Interruptible Entry Capacity after curtailment</t>
  </si>
  <si>
    <t>kWh</t>
  </si>
  <si>
    <t>Sold quantity of Interruptible Entry Capacity</t>
  </si>
  <si>
    <t xml:space="preserve">Revenue from curtailed Interruptible Entry Capacity </t>
  </si>
  <si>
    <t>Remaining sold quantity of Off-Peak Exit Capacity after curtailment</t>
  </si>
  <si>
    <t>Sold quantity of Off-Peak Exit Capacity</t>
  </si>
  <si>
    <t>Revenue from the sale of curtailed Off-Peak Exit Capacity</t>
  </si>
  <si>
    <t>Entry capacity operational CM cost term</t>
  </si>
  <si>
    <t>Exit capacity operational CM cost term</t>
  </si>
  <si>
    <t>Constraint management operational costs</t>
  </si>
  <si>
    <t>Entry capacity investment CM cost term</t>
  </si>
  <si>
    <t>Exit capacity investment CM cost term</t>
  </si>
  <si>
    <t>Constraint management investment costs</t>
  </si>
  <si>
    <t xml:space="preserve">Constraint Management base target </t>
  </si>
  <si>
    <t xml:space="preserve">Variation to the Constraint Management target </t>
  </si>
  <si>
    <t xml:space="preserve">Constraint Management operational target </t>
  </si>
  <si>
    <t>Residual balancing costs</t>
  </si>
  <si>
    <t>SpC 5.6</t>
  </si>
  <si>
    <t>Operating Margin costs</t>
  </si>
  <si>
    <t>Links to '7.1_Operating_margins' of the Cost RRP</t>
  </si>
  <si>
    <t>Shrinkage and compressor elec costs</t>
  </si>
  <si>
    <t>Links to '7.2_NTS_shrinkage' of the Cost RRP</t>
  </si>
  <si>
    <t>Residual balancing incentive revenue</t>
  </si>
  <si>
    <t>Quality of day ahead demand forecasting incentive revenue</t>
  </si>
  <si>
    <t>Green house gas incentive revenue</t>
  </si>
  <si>
    <t>NTS External cost SO Revenue</t>
  </si>
  <si>
    <t>Net Residual Balancing costs</t>
  </si>
  <si>
    <t>Basic Net Neutrality Amount</t>
  </si>
  <si>
    <t>BasicNet</t>
  </si>
  <si>
    <t>Adjustment Net Neutrality Amount</t>
  </si>
  <si>
    <t>AdjustNet</t>
  </si>
  <si>
    <r>
      <t>Residual Gas Balancing Incentive Revenue (RBIR</t>
    </r>
    <r>
      <rPr>
        <b/>
        <vertAlign val="subscript"/>
        <sz val="12"/>
        <color theme="1"/>
        <rFont val="Gili"/>
      </rPr>
      <t>t</t>
    </r>
    <r>
      <rPr>
        <b/>
        <sz val="12"/>
        <color theme="1"/>
        <rFont val="Gili"/>
      </rPr>
      <t>)</t>
    </r>
  </si>
  <si>
    <t>Sum of the total daily incentive payments</t>
  </si>
  <si>
    <t>Maximum residual gas balancing incentive</t>
  </si>
  <si>
    <t>Links to '7.6_Res_Bal_overview' of the Cost RRP</t>
  </si>
  <si>
    <r>
      <t>Total Daily Incentive Payments (STIP</t>
    </r>
    <r>
      <rPr>
        <b/>
        <vertAlign val="subscript"/>
        <sz val="12"/>
        <color theme="1"/>
        <rFont val="Gili"/>
      </rPr>
      <t>t</t>
    </r>
    <r>
      <rPr>
        <b/>
        <sz val="12"/>
        <color theme="1"/>
        <rFont val="Gili"/>
      </rPr>
      <t>)</t>
    </r>
  </si>
  <si>
    <t>Sum of daily price incentive payment</t>
  </si>
  <si>
    <t>Links to '7.7_Res_Bal_Data' of the Cost RRP</t>
  </si>
  <si>
    <t>Sum of daily linepack incentive payment</t>
  </si>
  <si>
    <r>
      <t>Quality of Demand Forecast incentive revenue (QDAIR</t>
    </r>
    <r>
      <rPr>
        <b/>
        <vertAlign val="subscript"/>
        <sz val="12"/>
        <color theme="1"/>
        <rFont val="Gili"/>
      </rPr>
      <t>t</t>
    </r>
    <r>
      <rPr>
        <b/>
        <sz val="12"/>
        <color theme="1"/>
        <rFont val="Gili"/>
      </rPr>
      <t>)</t>
    </r>
  </si>
  <si>
    <t>Day ahead demand forecasting incentivised average forecast error</t>
  </si>
  <si>
    <t>mcm/d</t>
  </si>
  <si>
    <t>mcm</t>
  </si>
  <si>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</si>
  <si>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</si>
  <si>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'7.9_DF_adjustment' of the Cost RRP</t>
  </si>
  <si>
    <t>Actual NTS throughput value</t>
  </si>
  <si>
    <r>
      <t>Demand forecasting short-cycle storage adjustment (DFSA</t>
    </r>
    <r>
      <rPr>
        <b/>
        <vertAlign val="subscript"/>
        <sz val="12"/>
        <color theme="1"/>
        <rFont val="Gili"/>
      </rPr>
      <t>t</t>
    </r>
    <r>
      <rPr>
        <b/>
        <sz val="12"/>
        <color theme="1"/>
        <rFont val="Gili"/>
      </rPr>
      <t>)</t>
    </r>
  </si>
  <si>
    <t>Average annual capability to have gas injected</t>
  </si>
  <si>
    <t>Demand forecasting adjustment continuous improvement factor</t>
  </si>
  <si>
    <t>Demand forecasting short-cycle storage adjustment</t>
  </si>
  <si>
    <r>
      <t>Average annual capability to have gas injected (AIC</t>
    </r>
    <r>
      <rPr>
        <b/>
        <vertAlign val="subscript"/>
        <sz val="12"/>
        <color theme="1"/>
        <rFont val="Gili"/>
      </rPr>
      <t>t</t>
    </r>
    <r>
      <rPr>
        <b/>
        <sz val="12"/>
        <color theme="1"/>
        <rFont val="Gili"/>
      </rPr>
      <t>)</t>
    </r>
  </si>
  <si>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</si>
  <si>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</si>
  <si>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Greenhouse Gas Emissions Incentive Revenue (GHGIR</t>
    </r>
    <r>
      <rPr>
        <b/>
        <vertAlign val="subscript"/>
        <sz val="12"/>
        <color theme="1"/>
        <rFont val="Gili"/>
      </rPr>
      <t>t</t>
    </r>
    <r>
      <rPr>
        <b/>
        <sz val="12"/>
        <color theme="1"/>
        <rFont val="Gili"/>
      </rPr>
      <t>)</t>
    </r>
  </si>
  <si>
    <t xml:space="preserve">Venting emissions performance </t>
  </si>
  <si>
    <t>Links to '7.11_GHG_incentive_revenue' of the Cost RRP</t>
  </si>
  <si>
    <t>Greenhouse gas incentive revenue</t>
  </si>
  <si>
    <r>
      <t>Venting Emissions Performance (VEP</t>
    </r>
    <r>
      <rPr>
        <b/>
        <vertAlign val="subscript"/>
        <sz val="12"/>
        <color theme="1"/>
        <rFont val="Gili"/>
      </rPr>
      <t>t</t>
    </r>
    <r>
      <rPr>
        <b/>
        <sz val="12"/>
        <color theme="1"/>
        <rFont val="Gili"/>
      </rPr>
      <t>)</t>
    </r>
  </si>
  <si>
    <t xml:space="preserve">Venting incentive performance measure </t>
  </si>
  <si>
    <t>tonnes</t>
  </si>
  <si>
    <t>Venting incentive target</t>
  </si>
  <si>
    <t>Venting incentive reference price</t>
  </si>
  <si>
    <t>£/tonne</t>
  </si>
  <si>
    <t>Venting emissions performance</t>
  </si>
  <si>
    <r>
      <t>Venting incentive reference price (VIRP</t>
    </r>
    <r>
      <rPr>
        <b/>
        <vertAlign val="subscript"/>
        <sz val="12"/>
        <color theme="1"/>
        <rFont val="Gili"/>
      </rPr>
      <t>t</t>
    </r>
    <r>
      <rPr>
        <b/>
        <sz val="12"/>
        <color theme="1"/>
        <rFont val="Gili"/>
      </rPr>
      <t>)</t>
    </r>
  </si>
  <si>
    <t>Venting equivalent factor</t>
  </si>
  <si>
    <t>Non-traded carbon price</t>
  </si>
  <si>
    <t>£/tCO2e</t>
  </si>
  <si>
    <t>Venting Incentive Reference Price</t>
  </si>
  <si>
    <r>
      <t>Non-traded carbon price (NTCP</t>
    </r>
    <r>
      <rPr>
        <b/>
        <vertAlign val="subscript"/>
        <sz val="12"/>
        <color theme="1"/>
        <rFont val="Gili"/>
      </rPr>
      <t>t</t>
    </r>
    <r>
      <rPr>
        <b/>
        <sz val="12"/>
        <color theme="1"/>
        <rFont val="Gili"/>
      </rPr>
      <t>)</t>
    </r>
  </si>
  <si>
    <t>Non-traded central carbon price</t>
  </si>
  <si>
    <t xml:space="preserve">Latest non-traded carbon price (£/tCO2e) for month m as in Regulatory Year t as published in advance of month m by the Department for Business, Energy and Industrial Strategy (or any other government department from time to time taking on this responsibility) in year y prices. </t>
  </si>
  <si>
    <t>Inflation factor</t>
  </si>
  <si>
    <r>
      <t xml:space="preserve">Equal to "the arithmetic average of the monthly RPI numbers for July to December (both inclusive) preceding Regulatory Year t" </t>
    </r>
    <r>
      <rPr>
        <i/>
        <u/>
        <sz val="10"/>
        <color theme="1"/>
        <rFont val="Gili"/>
      </rPr>
      <t xml:space="preserve">divided by </t>
    </r>
    <r>
      <rPr>
        <i/>
        <sz val="10"/>
        <color theme="1"/>
        <rFont val="Gili"/>
      </rPr>
      <t xml:space="preserve">"the arithmetic average of the monthly RPI numbers for July to December (both inclusive) preceding year y". </t>
    </r>
  </si>
  <si>
    <t xml:space="preserve">Maintenance Change Incentive Revenue </t>
  </si>
  <si>
    <t>Maintenance Days Incentive Revenue (non-RVO)</t>
  </si>
  <si>
    <t>Maintenance Days Incentive Revenue (RVO)</t>
  </si>
  <si>
    <t xml:space="preserve">Maintenance Incentive Revenue </t>
  </si>
  <si>
    <t>Maintenance change incentive target</t>
  </si>
  <si>
    <t>Days</t>
  </si>
  <si>
    <t xml:space="preserve">Derived in accordance with: [MCITDt = 0.0725 * MWt] where MWt is Maintenance Workload in Days for Regulatory Year t (Links to '7.13_Maintenance_IR' of the Cost RRP). </t>
  </si>
  <si>
    <t>Total of actual Maintenance Change Days</t>
  </si>
  <si>
    <t>Links to '7.13_Maintenance_IR' of the Cost RRP</t>
  </si>
  <si>
    <t>Maintenance change performance measure</t>
  </si>
  <si>
    <t>Maintenance Change Incentive Revenue</t>
  </si>
  <si>
    <t>Advice Notice Day target (non-RVO)</t>
  </si>
  <si>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</si>
  <si>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Advice Notice Days (non-RVO)</t>
  </si>
  <si>
    <t>Maintenance Days incentive performance measure (non-RVO)</t>
  </si>
  <si>
    <t>Maintenance Plan Days target (RVO)</t>
  </si>
  <si>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</si>
  <si>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Maintenance Plan Days (RVO)</t>
  </si>
  <si>
    <t>Total number of Maintenance Plan Days, other than Advice Notice Days, on which the licensee has undertaken Maintenance in respect of Valve Operations in Regulatory Year t. Links to '7.13_Maintenance_IR' of the Cost RRP.</t>
  </si>
  <si>
    <t>Maintenance Days performance measure (RVO)</t>
  </si>
  <si>
    <t>Maintenance Days incentive revenue (RVO)</t>
  </si>
  <si>
    <t>System costs</t>
  </si>
  <si>
    <t>NTS shrinkage costs - gross</t>
  </si>
  <si>
    <t>Shrink</t>
  </si>
  <si>
    <t xml:space="preserve">Less revenues received from 3rd parties  </t>
  </si>
  <si>
    <t>ShrinkInc</t>
  </si>
  <si>
    <t>NTS shrinkage costs - net</t>
  </si>
  <si>
    <t>Compressor electricity costs</t>
  </si>
  <si>
    <t>TO Incentives</t>
  </si>
  <si>
    <t>Other</t>
  </si>
  <si>
    <t>Gas Generator</t>
  </si>
  <si>
    <t>Line Walking / Non-CP Surveying</t>
  </si>
  <si>
    <t>Sleeves</t>
  </si>
  <si>
    <t>Crossings</t>
  </si>
  <si>
    <t>Valve Systems</t>
  </si>
  <si>
    <t>Revenue Streams</t>
  </si>
  <si>
    <t>Licence Terms</t>
  </si>
  <si>
    <t xml:space="preserve">The Constraint Management Cost Allocation Rules (RIIO-2) </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</si>
  <si>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</si>
  <si>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</si>
  <si>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Maintenance activities undertaken (Reg Year) impacting customers and requiring Maintenance Days</t>
  </si>
  <si>
    <t>Maintenance Activity</t>
  </si>
  <si>
    <t>Completed Maintenance Activities</t>
  </si>
  <si>
    <t>Potentially Impacting Activities</t>
  </si>
  <si>
    <t>Impacting Activities</t>
  </si>
  <si>
    <t>Maintenance Days Called</t>
  </si>
  <si>
    <t xml:space="preserve">In Line Inspections </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</si>
  <si>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</si>
  <si>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</si>
  <si>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</si>
  <si>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</si>
  <si>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</si>
  <si>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</si>
  <si>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</si>
  <si>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</si>
  <si>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</si>
  <si>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</si>
  <si>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 xml:space="preserve">Remote Value Operations (RVO) </t>
  </si>
  <si>
    <t>Other (please list below)</t>
  </si>
  <si>
    <t>Changes made (in Reg Year) to Maintenance activities</t>
  </si>
  <si>
    <t>Planned Jobs</t>
  </si>
  <si>
    <t>Completed to plan</t>
  </si>
  <si>
    <t>Completed with amendments</t>
  </si>
  <si>
    <t>Replanned</t>
  </si>
  <si>
    <t>Cancelled</t>
  </si>
  <si>
    <t>(tonnes of Natural Gas)</t>
  </si>
  <si>
    <t>Non-Traded monthly Carbon Price</t>
  </si>
  <si>
    <r>
      <t>NTMCP</t>
    </r>
    <r>
      <rPr>
        <b/>
        <vertAlign val="subscript"/>
        <sz val="10"/>
        <rFont val="Arial"/>
        <family val="2"/>
      </rPr>
      <t>m,t,y</t>
    </r>
  </si>
  <si>
    <t>(£/tCO2e)</t>
  </si>
  <si>
    <t>Inflation Factor</t>
  </si>
  <si>
    <r>
      <t>IF</t>
    </r>
    <r>
      <rPr>
        <b/>
        <vertAlign val="subscript"/>
        <sz val="10"/>
        <rFont val="Arial"/>
        <family val="2"/>
      </rPr>
      <t>m,t,y</t>
    </r>
  </si>
  <si>
    <t>Venting Equivalent Factor</t>
  </si>
  <si>
    <r>
      <t>VF</t>
    </r>
    <r>
      <rPr>
        <b/>
        <vertAlign val="subscript"/>
        <sz val="10"/>
        <rFont val="Arial"/>
        <family val="2"/>
      </rPr>
      <t>t</t>
    </r>
  </si>
  <si>
    <r>
      <t>NTCP</t>
    </r>
    <r>
      <rPr>
        <b/>
        <vertAlign val="subscript"/>
        <sz val="10"/>
        <rFont val="Arial"/>
        <family val="2"/>
      </rPr>
      <t>t</t>
    </r>
  </si>
  <si>
    <t>Sum of total incentive payments to date (£)</t>
  </si>
  <si>
    <t>Final RBIRt</t>
  </si>
  <si>
    <t>Trade</t>
  </si>
  <si>
    <t>Notes</t>
  </si>
  <si>
    <t>Summer-21</t>
  </si>
  <si>
    <t>Q2 21</t>
  </si>
  <si>
    <t>Q3 2021</t>
  </si>
  <si>
    <t>Q4 21</t>
  </si>
  <si>
    <t>Q1 22</t>
  </si>
  <si>
    <t>Winter-21</t>
  </si>
  <si>
    <t xml:space="preserve">Other System Costs (UK ETS + Non Energy Costs) </t>
  </si>
  <si>
    <t>Prompt Gas Volume</t>
  </si>
  <si>
    <t>cont.</t>
  </si>
  <si>
    <t>Stakeholder Satisfaction</t>
  </si>
  <si>
    <t>Survey Results</t>
  </si>
  <si>
    <t>Customer Satisfaction Survey Score</t>
  </si>
  <si>
    <t>Stakeholder Satisfaction Survey Score</t>
  </si>
  <si>
    <t>Customer and Stakeholder Satisfacation Survey Scores</t>
  </si>
  <si>
    <t>System Operator</t>
  </si>
  <si>
    <t>Transmission Operator</t>
  </si>
  <si>
    <t>Baseline Allowances</t>
  </si>
  <si>
    <t>Allowances</t>
  </si>
  <si>
    <t>Uncertainty Mechanism Allowances</t>
  </si>
  <si>
    <t>Exity</t>
  </si>
  <si>
    <t>Non-Load related</t>
  </si>
  <si>
    <t>Emissions Compliance</t>
  </si>
  <si>
    <t>Other Non-Load</t>
  </si>
  <si>
    <t>Business Support</t>
  </si>
  <si>
    <t>Closeley Associated Indirects</t>
  </si>
  <si>
    <t>Quarry and  Loss</t>
  </si>
  <si>
    <t>Pension</t>
  </si>
  <si>
    <t>Non-Operational Capex</t>
  </si>
  <si>
    <t>Resillience</t>
  </si>
  <si>
    <t>Network Opearting Costs</t>
  </si>
  <si>
    <t>Bacton FEED</t>
  </si>
  <si>
    <t>Project Graid</t>
  </si>
  <si>
    <t>Petergorough FEED</t>
  </si>
  <si>
    <t>Non-Load</t>
  </si>
  <si>
    <t>Non Operational Capex</t>
  </si>
  <si>
    <t>Business Support Costs</t>
  </si>
  <si>
    <t>Operational Costs</t>
  </si>
  <si>
    <t>RIIO-2</t>
  </si>
  <si>
    <t>Activity / project unique ref</t>
  </si>
  <si>
    <t>Activity / project name</t>
  </si>
  <si>
    <t>Status (completed, in progress, stopped, other - please specify)</t>
  </si>
  <si>
    <t>Unrecoverable NIA Expenditure (which cannot be recovered as Total NIA Expenditure) by activity / project</t>
  </si>
  <si>
    <t>Network Innovation Allowance to be recovered</t>
  </si>
  <si>
    <t>Unfunded Network Innovation Allowance costs</t>
  </si>
  <si>
    <t>Unrecoverable CNIA Expenditure</t>
  </si>
  <si>
    <t xml:space="preserve">Maximum CNIA that can be recovered </t>
  </si>
  <si>
    <t>Maximum CNIA that can be recovered (CNIAV)</t>
  </si>
  <si>
    <t>CNIA to be recovered (CNIAt)</t>
  </si>
  <si>
    <t>2016/17</t>
  </si>
  <si>
    <t>2017/18</t>
  </si>
  <si>
    <t>2018/19</t>
  </si>
  <si>
    <t>2020/21</t>
  </si>
  <si>
    <t>SIF Halted Project Revenues</t>
  </si>
  <si>
    <t>Reporting Year: (enter 2022 for 2021/22)</t>
  </si>
  <si>
    <t>Version (Number)</t>
  </si>
  <si>
    <t>Reporting Year - 5</t>
  </si>
  <si>
    <t>Reporting Year - 4</t>
  </si>
  <si>
    <t>Reporting Year - 3</t>
  </si>
  <si>
    <t>Reporting Year - 2</t>
  </si>
  <si>
    <t>Error Limit lower than (Rounding)</t>
  </si>
  <si>
    <t>RPI-CPIH Index</t>
  </si>
  <si>
    <t>Financial Year Average (RPI-CPIH)</t>
  </si>
  <si>
    <t>Combined RPI-CPIH real to nominal prices conversion factor</t>
  </si>
  <si>
    <t>Combined RPI-CPIH nominal to real prices conversion factor (2018/19 price base)</t>
  </si>
  <si>
    <t>2026/27</t>
  </si>
  <si>
    <t>Reporting Year's Financial Year Average RPI:</t>
  </si>
  <si>
    <t>NGG</t>
  </si>
  <si>
    <t>High</t>
  </si>
  <si>
    <t>Yes</t>
  </si>
  <si>
    <t>Medium</t>
  </si>
  <si>
    <t>Low</t>
  </si>
  <si>
    <t>Type of</t>
  </si>
  <si>
    <t>Forecast</t>
  </si>
  <si>
    <t>To be used</t>
  </si>
  <si>
    <t>Probability of</t>
  </si>
  <si>
    <t xml:space="preserve">Forecast  Expenditure  (£m, 18/19 price base) </t>
  </si>
  <si>
    <t>Brief Outline of Application</t>
  </si>
  <si>
    <t>Licence</t>
  </si>
  <si>
    <t>Expenditure</t>
  </si>
  <si>
    <t>Project</t>
  </si>
  <si>
    <t>Submission</t>
  </si>
  <si>
    <t>in PCFM?</t>
  </si>
  <si>
    <t>RIIO-3</t>
  </si>
  <si>
    <t>Re-opener Mechanism</t>
  </si>
  <si>
    <t>Condition</t>
  </si>
  <si>
    <t>Term</t>
  </si>
  <si>
    <t>Escalator</t>
  </si>
  <si>
    <t>to be Includeded</t>
  </si>
  <si>
    <t>Yes/No</t>
  </si>
  <si>
    <t>High/Medium/Low</t>
  </si>
  <si>
    <t>2021-22</t>
  </si>
  <si>
    <t>2022-23</t>
  </si>
  <si>
    <t>2023-24</t>
  </si>
  <si>
    <t>2024-25</t>
  </si>
  <si>
    <t>2025-26</t>
  </si>
  <si>
    <t>2026-27</t>
  </si>
  <si>
    <t>2027-28</t>
  </si>
  <si>
    <t>Option</t>
  </si>
  <si>
    <t xml:space="preserve">Bacton Terminal Redevelopment </t>
  </si>
  <si>
    <t>Direct only</t>
  </si>
  <si>
    <t>Bacton Redevelopment (FOSRR)</t>
  </si>
  <si>
    <t xml:space="preserve">Compressor Emissions </t>
  </si>
  <si>
    <t>Wormington FOSR</t>
  </si>
  <si>
    <t xml:space="preserve">King's Lynn FOSR </t>
  </si>
  <si>
    <t>St Fergus FOSR</t>
  </si>
  <si>
    <t>Peterborough FOSR</t>
  </si>
  <si>
    <t>Bacton Redevelopment</t>
  </si>
  <si>
    <t xml:space="preserve">Wormington </t>
  </si>
  <si>
    <t xml:space="preserve">King's Lynn </t>
  </si>
  <si>
    <t xml:space="preserve">Peterborough </t>
  </si>
  <si>
    <t>King's Lynn Subsidence</t>
  </si>
  <si>
    <t>AHt</t>
  </si>
  <si>
    <t>Coordinated Adjustment Mechanism</t>
  </si>
  <si>
    <t>Direct + Indirect</t>
  </si>
  <si>
    <t xml:space="preserve">Uncertain Costs - Pipeline Diversion </t>
  </si>
  <si>
    <t>Uncertain Costs - Quarry &amp; Loss Development Clains</t>
  </si>
  <si>
    <t>Physical Security (PSUP)</t>
  </si>
  <si>
    <t>Direct Capex Only</t>
  </si>
  <si>
    <t>Net Zero (Authority Triggered)</t>
  </si>
  <si>
    <t>Net Zero Pre-Construction &amp; Small Projects (Authority Triggered)</t>
  </si>
  <si>
    <t>Demand and Capability</t>
  </si>
  <si>
    <t>Emissions</t>
  </si>
  <si>
    <t>NOx Emitted by Gas Compressors</t>
  </si>
  <si>
    <t>2.2</t>
  </si>
  <si>
    <t>Interface</t>
  </si>
  <si>
    <t>1.1</t>
  </si>
  <si>
    <t>2.1</t>
  </si>
  <si>
    <t>2.3</t>
  </si>
  <si>
    <t>AH Interventions</t>
  </si>
  <si>
    <t>AH Projects</t>
  </si>
  <si>
    <t>N/A</t>
  </si>
  <si>
    <r>
      <t>CAM</t>
    </r>
    <r>
      <rPr>
        <vertAlign val="subscript"/>
        <sz val="11"/>
        <rFont val="Calibri "/>
      </rPr>
      <t>t</t>
    </r>
  </si>
  <si>
    <t>Funded Incremental Obligated Capacity</t>
  </si>
  <si>
    <r>
      <t>PD</t>
    </r>
    <r>
      <rPr>
        <vertAlign val="subscript"/>
        <sz val="11"/>
        <rFont val="Calibri "/>
      </rPr>
      <t>t</t>
    </r>
  </si>
  <si>
    <r>
      <t>QL</t>
    </r>
    <r>
      <rPr>
        <vertAlign val="subscript"/>
        <sz val="11"/>
        <rFont val="Calibri "/>
      </rPr>
      <t>t</t>
    </r>
  </si>
  <si>
    <r>
      <t>NOIT</t>
    </r>
    <r>
      <rPr>
        <vertAlign val="subscript"/>
        <sz val="11"/>
        <rFont val="Calibri "/>
      </rPr>
      <t>t</t>
    </r>
  </si>
  <si>
    <r>
      <t>NZ</t>
    </r>
    <r>
      <rPr>
        <vertAlign val="subscript"/>
        <sz val="11"/>
        <rFont val="Calibri "/>
      </rPr>
      <t>t</t>
    </r>
  </si>
  <si>
    <r>
      <t>NZP</t>
    </r>
    <r>
      <rPr>
        <vertAlign val="subscript"/>
        <sz val="11"/>
        <rFont val="Calibri "/>
      </rPr>
      <t>t</t>
    </r>
  </si>
  <si>
    <t>Purchasing Activity (e.g. auction, holding contracts, Gas Procurement/Disposal)</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</si>
  <si>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</si>
  <si>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</si>
  <si>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</si>
  <si>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</si>
  <si>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</si>
  <si>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</si>
  <si>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</si>
  <si>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</si>
  <si>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</si>
  <si>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Best Gas Costs (Prompt)</t>
  </si>
  <si>
    <t>Worst Gas Costs (Prompt)</t>
  </si>
  <si>
    <t>Average Gas Costs (Prompt)</t>
  </si>
  <si>
    <t>Gas released
(tonnes of Natural Gas)</t>
  </si>
  <si>
    <t>Cost reclassifications</t>
  </si>
  <si>
    <t>Upward cost pressures</t>
  </si>
  <si>
    <t>Management initiatives</t>
  </si>
  <si>
    <t>PCFM Inputs Summary</t>
  </si>
  <si>
    <t>Variant allowances</t>
  </si>
  <si>
    <r>
      <t>NARM</t>
    </r>
    <r>
      <rPr>
        <vertAlign val="subscript"/>
        <sz val="10"/>
        <color theme="1"/>
        <rFont val="Verdana"/>
        <family val="2"/>
      </rPr>
      <t>t</t>
    </r>
  </si>
  <si>
    <r>
      <t>PSUP</t>
    </r>
    <r>
      <rPr>
        <vertAlign val="subscript"/>
        <sz val="10"/>
        <color theme="1"/>
        <rFont val="Verdana"/>
        <family val="2"/>
      </rPr>
      <t>t</t>
    </r>
  </si>
  <si>
    <r>
      <t>BTR</t>
    </r>
    <r>
      <rPr>
        <vertAlign val="subscript"/>
        <sz val="10"/>
        <color theme="1"/>
        <rFont val="Verdana"/>
        <family val="2"/>
      </rPr>
      <t>t</t>
    </r>
  </si>
  <si>
    <r>
      <t>KLS</t>
    </r>
    <r>
      <rPr>
        <vertAlign val="subscript"/>
        <sz val="10"/>
        <color theme="1"/>
        <rFont val="Verdana"/>
        <family val="2"/>
      </rPr>
      <t>t</t>
    </r>
  </si>
  <si>
    <r>
      <t>NLA</t>
    </r>
    <r>
      <rPr>
        <vertAlign val="subscript"/>
        <sz val="10"/>
        <color theme="1"/>
        <rFont val="Verdana"/>
        <family val="2"/>
      </rPr>
      <t>t</t>
    </r>
  </si>
  <si>
    <r>
      <t>CEP</t>
    </r>
    <r>
      <rPr>
        <vertAlign val="subscript"/>
        <sz val="10"/>
        <color theme="1"/>
        <rFont val="Verdana"/>
        <family val="2"/>
      </rPr>
      <t>t</t>
    </r>
  </si>
  <si>
    <r>
      <t>RA</t>
    </r>
    <r>
      <rPr>
        <vertAlign val="subscript"/>
        <sz val="10"/>
        <color theme="1"/>
        <rFont val="Verdana"/>
        <family val="2"/>
      </rPr>
      <t>t</t>
    </r>
  </si>
  <si>
    <r>
      <t>FIOC</t>
    </r>
    <r>
      <rPr>
        <vertAlign val="subscript"/>
        <sz val="10"/>
        <color theme="1"/>
        <rFont val="Verdana"/>
        <family val="2"/>
      </rPr>
      <t>t</t>
    </r>
  </si>
  <si>
    <t>Cyber Resilience OT Price Control Deliverable and use it or lose it allowance</t>
  </si>
  <si>
    <r>
      <t>CROT</t>
    </r>
    <r>
      <rPr>
        <vertAlign val="subscript"/>
        <sz val="10"/>
        <color theme="1"/>
        <rFont val="Verdana"/>
        <family val="2"/>
      </rPr>
      <t>t</t>
    </r>
  </si>
  <si>
    <r>
      <t>CRIT</t>
    </r>
    <r>
      <rPr>
        <vertAlign val="subscript"/>
        <sz val="10"/>
        <color theme="1"/>
        <rFont val="Verdana"/>
        <family val="2"/>
      </rPr>
      <t>t</t>
    </r>
  </si>
  <si>
    <t>Net Zero And Re-opener Development Fund use it or lose it allowance</t>
  </si>
  <si>
    <r>
      <t>RDF</t>
    </r>
    <r>
      <rPr>
        <vertAlign val="subscript"/>
        <sz val="10"/>
        <color theme="1"/>
        <rFont val="Verdana"/>
        <family val="2"/>
      </rPr>
      <t>t</t>
    </r>
  </si>
  <si>
    <t>Spare PCD 1</t>
  </si>
  <si>
    <t>Spare PCD 2</t>
  </si>
  <si>
    <t>Spare PCD 3</t>
  </si>
  <si>
    <t>NARM Asset Health Re-opener</t>
  </si>
  <si>
    <r>
      <t>NARMAH</t>
    </r>
    <r>
      <rPr>
        <vertAlign val="subscript"/>
        <sz val="10"/>
        <color theme="1"/>
        <rFont val="Verdana"/>
        <family val="2"/>
      </rPr>
      <t>t</t>
    </r>
  </si>
  <si>
    <t>UM</t>
  </si>
  <si>
    <r>
      <t>NOIT</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</si>
  <si>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</si>
  <si>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</si>
  <si>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</si>
  <si>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</si>
  <si>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</si>
  <si>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</si>
  <si>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</si>
  <si>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</si>
  <si>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</si>
  <si>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</si>
  <si>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</si>
  <si>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</si>
  <si>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</si>
  <si>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</si>
  <si>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</si>
  <si>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</si>
  <si>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r>
      <t>BTRE</t>
    </r>
    <r>
      <rPr>
        <vertAlign val="subscript"/>
        <sz val="10"/>
        <color theme="1"/>
        <rFont val="Verdana"/>
        <family val="2"/>
      </rPr>
      <t>t</t>
    </r>
  </si>
  <si>
    <r>
      <t>PSUPRE</t>
    </r>
    <r>
      <rPr>
        <vertAlign val="subscript"/>
        <sz val="10"/>
        <color theme="1"/>
        <rFont val="Verdana"/>
        <family val="2"/>
      </rPr>
      <t>t</t>
    </r>
  </si>
  <si>
    <r>
      <t>CEPRE</t>
    </r>
    <r>
      <rPr>
        <vertAlign val="subscript"/>
        <sz val="10"/>
        <color theme="1"/>
        <rFont val="Verdana"/>
        <family val="2"/>
      </rPr>
      <t>t</t>
    </r>
  </si>
  <si>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</si>
  <si>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</si>
  <si>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</si>
  <si>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</si>
  <si>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</si>
  <si>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</si>
  <si>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r>
      <t>OE</t>
    </r>
    <r>
      <rPr>
        <vertAlign val="subscript"/>
        <sz val="10"/>
        <color theme="1"/>
        <rFont val="Verdana"/>
        <family val="2"/>
      </rPr>
      <t>t</t>
    </r>
  </si>
  <si>
    <t>Spare UM 1</t>
  </si>
  <si>
    <t>Spare UM 2</t>
  </si>
  <si>
    <t>Spare UM 3</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</si>
  <si>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</si>
  <si>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</si>
  <si>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</si>
  <si>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</si>
  <si>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BD</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</si>
  <si>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</si>
  <si>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</si>
  <si>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r>
      <t>IS</t>
    </r>
    <r>
      <rPr>
        <vertAlign val="subscript"/>
        <sz val="10"/>
        <color theme="1"/>
        <rFont val="Verdana"/>
        <family val="2"/>
      </rPr>
      <t>t</t>
    </r>
  </si>
  <si>
    <r>
      <t>Hy</t>
    </r>
    <r>
      <rPr>
        <vertAlign val="subscript"/>
        <sz val="10"/>
        <color theme="1"/>
        <rFont val="Verdana"/>
        <family val="2"/>
      </rPr>
      <t>t</t>
    </r>
  </si>
  <si>
    <t xml:space="preserve">Net Zero Pre-construction Work and Small Net Zero Projects Re-opener </t>
  </si>
  <si>
    <r>
      <t>NZPS</t>
    </r>
    <r>
      <rPr>
        <vertAlign val="subscript"/>
        <sz val="10"/>
        <color theme="1"/>
        <rFont val="Verdana"/>
        <family val="2"/>
      </rPr>
      <t>t</t>
    </r>
  </si>
  <si>
    <t>Incentive Revenue</t>
  </si>
  <si>
    <r>
      <t>CSI</t>
    </r>
    <r>
      <rPr>
        <vertAlign val="subscript"/>
        <sz val="10"/>
        <color theme="1"/>
        <rFont val="Verdana"/>
        <family val="2"/>
      </rPr>
      <t>t</t>
    </r>
  </si>
  <si>
    <r>
      <t>ESI</t>
    </r>
    <r>
      <rPr>
        <vertAlign val="subscript"/>
        <sz val="10"/>
        <color theme="1"/>
        <rFont val="Verdana"/>
        <family val="2"/>
      </rPr>
      <t>t</t>
    </r>
  </si>
  <si>
    <t>Other revenue allowances</t>
  </si>
  <si>
    <t xml:space="preserve">RIIO-2 Network Innovation Allowance
</t>
  </si>
  <si>
    <t>SpC 5.2</t>
  </si>
  <si>
    <r>
      <t>NIA</t>
    </r>
    <r>
      <rPr>
        <vertAlign val="subscript"/>
        <sz val="10"/>
        <color theme="1"/>
        <rFont val="Verdana"/>
        <family val="2"/>
      </rPr>
      <t>t</t>
    </r>
  </si>
  <si>
    <t xml:space="preserve">Carry-over Network Innovation Allowance </t>
  </si>
  <si>
    <t>SpC 5.3</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</si>
  <si>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</si>
  <si>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</si>
  <si>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</si>
  <si>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</si>
  <si>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</si>
  <si>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</si>
  <si>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</si>
  <si>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</si>
  <si>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</si>
  <si>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</si>
  <si>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</si>
  <si>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</si>
  <si>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</si>
  <si>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</si>
  <si>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</si>
  <si>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</si>
  <si>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</si>
  <si>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</si>
  <si>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</si>
  <si>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Pre-vesting directly remunerated services</t>
  </si>
  <si>
    <r>
      <t>PREDRS</t>
    </r>
    <r>
      <rPr>
        <vertAlign val="subscript"/>
        <sz val="10"/>
        <color theme="1"/>
        <rFont val="Verdana"/>
        <family val="2"/>
      </rPr>
      <t>t</t>
    </r>
  </si>
  <si>
    <t>Post-vesting directly remunerated services</t>
  </si>
  <si>
    <r>
      <t>POSDRS</t>
    </r>
    <r>
      <rPr>
        <vertAlign val="subscript"/>
        <sz val="10"/>
        <color theme="1"/>
        <rFont val="Verdana"/>
        <family val="2"/>
      </rPr>
      <t>t</t>
    </r>
  </si>
  <si>
    <t>Other income from directly remenerated services</t>
  </si>
  <si>
    <r>
      <t>OIDRS</t>
    </r>
    <r>
      <rPr>
        <vertAlign val="subscript"/>
        <sz val="10"/>
        <color theme="1"/>
        <rFont val="Verdana"/>
        <family val="2"/>
      </rPr>
      <t>t</t>
    </r>
  </si>
  <si>
    <t>Identified directly remunerated services costs</t>
  </si>
  <si>
    <r>
      <t>IDRS</t>
    </r>
    <r>
      <rPr>
        <vertAlign val="subscript"/>
        <sz val="10"/>
        <color theme="1"/>
        <rFont val="Verdana"/>
        <family val="2"/>
      </rPr>
      <t>t</t>
    </r>
  </si>
  <si>
    <t>SO PCFM Inputs Summary</t>
  </si>
  <si>
    <r>
      <t>CRITRE</t>
    </r>
    <r>
      <rPr>
        <vertAlign val="subscript"/>
        <sz val="10"/>
        <rFont val="Verdana"/>
        <family val="2"/>
      </rPr>
      <t>t</t>
    </r>
  </si>
  <si>
    <t>Net Zero Re-opener</t>
  </si>
  <si>
    <r>
      <t>NZ</t>
    </r>
    <r>
      <rPr>
        <vertAlign val="subscript"/>
        <sz val="10"/>
        <rFont val="Verdana"/>
        <family val="2"/>
      </rPr>
      <t>t</t>
    </r>
  </si>
  <si>
    <r>
      <t>FIOCRE</t>
    </r>
    <r>
      <rPr>
        <vertAlign val="subscript"/>
        <sz val="10"/>
        <rFont val="Verdana"/>
        <family val="2"/>
      </rPr>
      <t>t</t>
    </r>
  </si>
  <si>
    <t xml:space="preserve">Non-operational IT Capex Re-opener </t>
  </si>
  <si>
    <r>
      <t>NOIT</t>
    </r>
    <r>
      <rPr>
        <vertAlign val="subscript"/>
        <sz val="10"/>
        <rFont val="Verdana"/>
        <family val="2"/>
      </rPr>
      <t>t</t>
    </r>
  </si>
  <si>
    <r>
      <t>CDSP</t>
    </r>
    <r>
      <rPr>
        <vertAlign val="subscript"/>
        <sz val="10"/>
        <color theme="1"/>
        <rFont val="Verdana"/>
        <family val="2"/>
      </rPr>
      <t>t</t>
    </r>
  </si>
  <si>
    <t>SO Bad Debt</t>
  </si>
  <si>
    <r>
      <t>SOBD</t>
    </r>
    <r>
      <rPr>
        <vertAlign val="subscript"/>
        <sz val="10"/>
        <color theme="1"/>
        <rFont val="Verdana"/>
        <family val="2"/>
      </rPr>
      <t>t</t>
    </r>
  </si>
  <si>
    <r>
      <t>SOEDE</t>
    </r>
    <r>
      <rPr>
        <vertAlign val="subscript"/>
        <sz val="10"/>
        <color theme="1"/>
        <rFont val="Verdana"/>
        <family val="2"/>
      </rPr>
      <t>t</t>
    </r>
  </si>
  <si>
    <t>£m nominal</t>
  </si>
  <si>
    <r>
      <t>CMIR</t>
    </r>
    <r>
      <rPr>
        <vertAlign val="subscript"/>
        <sz val="10"/>
        <color theme="1"/>
        <rFont val="Verdana"/>
        <family val="2"/>
      </rPr>
      <t>t</t>
    </r>
  </si>
  <si>
    <t>Revenue from accelerated release of incr. obl. entry capacity</t>
  </si>
  <si>
    <r>
      <t>RAREnCA</t>
    </r>
    <r>
      <rPr>
        <vertAlign val="subscript"/>
        <sz val="10"/>
        <color theme="1"/>
        <rFont val="Verdana"/>
        <family val="2"/>
      </rPr>
      <t>t</t>
    </r>
  </si>
  <si>
    <t>Exit capacity buyback cost which users are liable to reimbourse</t>
  </si>
  <si>
    <r>
      <t>ExBBCNLRA</t>
    </r>
    <r>
      <rPr>
        <vertAlign val="subscript"/>
        <sz val="10"/>
        <color theme="1"/>
        <rFont val="Verdana"/>
        <family val="2"/>
      </rPr>
      <t>t</t>
    </r>
  </si>
  <si>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</si>
  <si>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</si>
  <si>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</si>
  <si>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</si>
  <si>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</si>
  <si>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</si>
  <si>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</si>
  <si>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</si>
  <si>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</si>
  <si>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</si>
  <si>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</si>
  <si>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</si>
  <si>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</si>
  <si>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</si>
  <si>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</si>
  <si>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</si>
  <si>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</si>
  <si>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</si>
  <si>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</si>
  <si>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</si>
  <si>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NARMA</t>
    </r>
    <r>
      <rPr>
        <vertAlign val="subscript"/>
        <sz val="10"/>
        <color theme="1"/>
        <rFont val="Verdana"/>
        <family val="2"/>
      </rPr>
      <t>t</t>
    </r>
  </si>
  <si>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</si>
  <si>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</si>
  <si>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</si>
  <si>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</si>
  <si>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</si>
  <si>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</si>
  <si>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</si>
  <si>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</si>
  <si>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</si>
  <si>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</si>
  <si>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r>
      <t>RDFA</t>
    </r>
    <r>
      <rPr>
        <vertAlign val="subscript"/>
        <sz val="10"/>
        <rFont val="Verdana"/>
        <family val="2"/>
      </rPr>
      <t>t</t>
    </r>
  </si>
  <si>
    <r>
      <t>RDFR</t>
    </r>
    <r>
      <rPr>
        <vertAlign val="subscript"/>
        <sz val="10"/>
        <rFont val="Verdana"/>
        <family val="2"/>
      </rPr>
      <t>t</t>
    </r>
  </si>
  <si>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</si>
  <si>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</si>
  <si>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</si>
  <si>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</si>
  <si>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</si>
  <si>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</si>
  <si>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</si>
  <si>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</si>
  <si>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</si>
  <si>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</si>
  <si>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</si>
  <si>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</si>
  <si>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</si>
  <si>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</si>
  <si>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</si>
  <si>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</si>
  <si>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</si>
  <si>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</si>
  <si>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</si>
  <si>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</si>
  <si>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</si>
  <si>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</si>
  <si>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r>
      <t>NARMAH</t>
    </r>
    <r>
      <rPr>
        <b/>
        <vertAlign val="subscript"/>
        <sz val="10"/>
        <color theme="1"/>
        <rFont val="Verdana"/>
        <family val="2"/>
      </rPr>
      <t>t</t>
    </r>
  </si>
  <si>
    <r>
      <t>CROTRO</t>
    </r>
    <r>
      <rPr>
        <vertAlign val="subscript"/>
        <sz val="10"/>
        <rFont val="Verdana"/>
        <family val="2"/>
      </rPr>
      <t>t</t>
    </r>
  </si>
  <si>
    <r>
      <t>CROTRE</t>
    </r>
    <r>
      <rPr>
        <b/>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</si>
  <si>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</si>
  <si>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</si>
  <si>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</si>
  <si>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</si>
  <si>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</si>
  <si>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</si>
  <si>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</si>
  <si>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</si>
  <si>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t>Non-operational IT Capex Re-opener (NOITt)</t>
  </si>
  <si>
    <r>
      <t>NOIT</t>
    </r>
    <r>
      <rPr>
        <b/>
        <vertAlign val="subscript"/>
        <sz val="10"/>
        <color theme="1"/>
        <rFont val="Verdana"/>
        <family val="2"/>
      </rPr>
      <t>t</t>
    </r>
  </si>
  <si>
    <r>
      <t>CAM</t>
    </r>
    <r>
      <rPr>
        <b/>
        <vertAlign val="subscript"/>
        <sz val="10"/>
        <color theme="1"/>
        <rFont val="Verdana"/>
        <family val="2"/>
      </rPr>
      <t>t</t>
    </r>
  </si>
  <si>
    <r>
      <t>NZP</t>
    </r>
    <r>
      <rPr>
        <b/>
        <vertAlign val="subscript"/>
        <sz val="10"/>
        <color theme="1"/>
        <rFont val="Verdana"/>
        <family val="2"/>
      </rPr>
      <t>t</t>
    </r>
  </si>
  <si>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</si>
  <si>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</si>
  <si>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</si>
  <si>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</si>
  <si>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</si>
  <si>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</si>
  <si>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</si>
  <si>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</si>
  <si>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</si>
  <si>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</si>
  <si>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</si>
  <si>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</si>
  <si>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</si>
  <si>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</si>
  <si>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</si>
  <si>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</si>
  <si>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</si>
  <si>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</si>
  <si>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</si>
  <si>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t xml:space="preserve">Net Zero Re-opener </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</si>
  <si>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</si>
  <si>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r>
      <t>LF</t>
    </r>
    <r>
      <rPr>
        <vertAlign val="subscript"/>
        <sz val="10"/>
        <color theme="1"/>
        <rFont val="Gili"/>
      </rPr>
      <t>t</t>
    </r>
  </si>
  <si>
    <t>Value to be provided by the licensee in nominal terms.Conversion to 2018/19 prices occurs on PCFM summary sheet.</t>
  </si>
  <si>
    <r>
      <t>RB</t>
    </r>
    <r>
      <rPr>
        <vertAlign val="subscript"/>
        <sz val="10"/>
        <color theme="1"/>
        <rFont val="Gili"/>
      </rPr>
      <t>t</t>
    </r>
  </si>
  <si>
    <r>
      <t>EDE</t>
    </r>
    <r>
      <rPr>
        <vertAlign val="subscript"/>
        <sz val="10"/>
        <color theme="1"/>
        <rFont val="Gili"/>
      </rPr>
      <t>t</t>
    </r>
  </si>
  <si>
    <r>
      <t>BD</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</si>
  <si>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</si>
  <si>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</si>
  <si>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</si>
  <si>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</si>
  <si>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NZPS</t>
    </r>
    <r>
      <rPr>
        <vertAlign val="subscript"/>
        <sz val="10"/>
        <color theme="1"/>
        <rFont val="Gili"/>
      </rPr>
      <t>t</t>
    </r>
  </si>
  <si>
    <t>£m  nominal</t>
  </si>
  <si>
    <t>Value to be input by the licensee in accordance with Ofgem Guidance</t>
  </si>
  <si>
    <r>
      <t>BPD</t>
    </r>
    <r>
      <rPr>
        <vertAlign val="subscript"/>
        <sz val="10"/>
        <color theme="1"/>
        <rFont val="Gili"/>
      </rPr>
      <t>t</t>
    </r>
  </si>
  <si>
    <t>BPD value to be provided by the licensee in accordance with licence definition</t>
  </si>
  <si>
    <r>
      <t>ACPS</t>
    </r>
    <r>
      <rPr>
        <vertAlign val="subscript"/>
        <sz val="10"/>
        <color theme="1"/>
        <rFont val="Gili"/>
      </rPr>
      <t>t</t>
    </r>
  </si>
  <si>
    <r>
      <t>ACPW</t>
    </r>
    <r>
      <rPr>
        <vertAlign val="subscript"/>
        <sz val="10"/>
        <color theme="1"/>
        <rFont val="Gili"/>
      </rPr>
      <t>t</t>
    </r>
  </si>
  <si>
    <r>
      <t>IS</t>
    </r>
    <r>
      <rPr>
        <b/>
        <vertAlign val="subscript"/>
        <sz val="10"/>
        <color theme="1"/>
        <rFont val="Gili"/>
      </rPr>
      <t>t</t>
    </r>
  </si>
  <si>
    <r>
      <t>SGNACP</t>
    </r>
    <r>
      <rPr>
        <vertAlign val="subscript"/>
        <sz val="10"/>
        <color theme="1"/>
        <rFont val="Gili"/>
      </rPr>
      <t>t</t>
    </r>
  </si>
  <si>
    <r>
      <t>PI</t>
    </r>
    <r>
      <rPr>
        <vertAlign val="subscript"/>
        <sz val="10"/>
        <color theme="1"/>
        <rFont val="Gili"/>
      </rPr>
      <t>t</t>
    </r>
    <r>
      <rPr>
        <sz val="10"/>
        <color theme="1"/>
        <rFont val="Gili"/>
      </rPr>
      <t>*</t>
    </r>
  </si>
  <si>
    <t>Links to the price index calculation in Cost RRP</t>
  </si>
  <si>
    <r>
      <t xml:space="preserve">PI </t>
    </r>
    <r>
      <rPr>
        <vertAlign val="subscript"/>
        <sz val="10"/>
        <color theme="1"/>
        <rFont val="Gili"/>
      </rPr>
      <t>2018/19</t>
    </r>
  </si>
  <si>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</si>
  <si>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</si>
  <si>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</si>
  <si>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</si>
  <si>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r>
      <t>Hy</t>
    </r>
    <r>
      <rPr>
        <b/>
        <vertAlign val="subscript"/>
        <sz val="10"/>
        <color theme="1"/>
        <rFont val="Gili"/>
      </rPr>
      <t>t</t>
    </r>
  </si>
  <si>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 SOBD</t>
    </r>
    <r>
      <rPr>
        <vertAlign val="subscript"/>
        <sz val="10"/>
        <color theme="1"/>
        <rFont val="Verdana"/>
        <family val="2"/>
      </rPr>
      <t>t</t>
    </r>
  </si>
  <si>
    <t xml:space="preserve">£m </t>
  </si>
  <si>
    <r>
      <t>UMTERM</t>
    </r>
    <r>
      <rPr>
        <vertAlign val="subscript"/>
        <sz val="10"/>
        <color theme="1"/>
        <rFont val="Verdana"/>
        <family val="2"/>
      </rPr>
      <t>t</t>
    </r>
  </si>
  <si>
    <t xml:space="preserve">Baseline allowance for closely associated indirect opex </t>
  </si>
  <si>
    <t xml:space="preserve">Baseline allowance for capex </t>
  </si>
  <si>
    <r>
      <t>OE</t>
    </r>
    <r>
      <rPr>
        <b/>
        <vertAlign val="subscript"/>
        <sz val="10"/>
        <color theme="1"/>
        <rFont val="Verdana"/>
        <family val="2"/>
      </rPr>
      <t>t</t>
    </r>
  </si>
  <si>
    <t>Asset Health Re-opener</t>
  </si>
  <si>
    <r>
      <t>UMTERM</t>
    </r>
    <r>
      <rPr>
        <b/>
        <vertAlign val="subscript"/>
        <sz val="10"/>
        <color theme="1"/>
        <rFont val="Verdana"/>
        <family val="2"/>
      </rPr>
      <t>t</t>
    </r>
  </si>
  <si>
    <t>Output Delivery Incentives (ODIt)</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</si>
  <si>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</si>
  <si>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</si>
  <si>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</si>
  <si>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</si>
  <si>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</si>
  <si>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r>
      <t>CSP</t>
    </r>
    <r>
      <rPr>
        <vertAlign val="subscript"/>
        <sz val="10"/>
        <rFont val="Verdana"/>
        <family val="2"/>
      </rPr>
      <t>t</t>
    </r>
  </si>
  <si>
    <t>Value of the overall average customer satisfaction survey results to be provided by licensee</t>
  </si>
  <si>
    <r>
      <t>CSAF</t>
    </r>
    <r>
      <rPr>
        <vertAlign val="subscript"/>
        <sz val="10"/>
        <rFont val="Verdana"/>
        <family val="2"/>
      </rPr>
      <t>t</t>
    </r>
  </si>
  <si>
    <t xml:space="preserve">Environmental scorecard ODI </t>
  </si>
  <si>
    <t>SC 4.3 in NGGT's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</si>
  <si>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</si>
  <si>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</si>
  <si>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</si>
  <si>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</si>
  <si>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</si>
  <si>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</si>
  <si>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</si>
  <si>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</si>
  <si>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</si>
  <si>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</si>
  <si>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</si>
  <si>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</si>
  <si>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</si>
  <si>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</si>
  <si>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</si>
  <si>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</si>
  <si>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</si>
  <si>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</si>
  <si>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</si>
  <si>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</si>
  <si>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</si>
  <si>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</si>
  <si>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</si>
  <si>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</si>
  <si>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</si>
  <si>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</si>
  <si>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</si>
  <si>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</si>
  <si>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tCO2e</t>
  </si>
  <si>
    <t>Actual operational transport emissions</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</si>
  <si>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</si>
  <si>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</si>
  <si>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</si>
  <si>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</si>
  <si>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</si>
  <si>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</si>
  <si>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</si>
  <si>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</si>
  <si>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</si>
  <si>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</si>
  <si>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</si>
  <si>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</si>
  <si>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</si>
  <si>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Actual business mileage emissions</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</si>
  <si>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</si>
  <si>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</si>
  <si>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</si>
  <si>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</si>
  <si>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</si>
  <si>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</si>
  <si>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</si>
  <si>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</si>
  <si>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</si>
  <si>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</si>
  <si>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</si>
  <si>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Total annual operational and office waste</t>
  </si>
  <si>
    <t>Total annual operational and office waste recycled</t>
  </si>
  <si>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</si>
  <si>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</si>
  <si>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</si>
  <si>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</si>
  <si>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</si>
  <si>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</si>
  <si>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</si>
  <si>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</si>
  <si>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</si>
  <si>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</si>
  <si>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</si>
  <si>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</si>
  <si>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</si>
  <si>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t>Actual office waste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</si>
  <si>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</si>
  <si>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</si>
  <si>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</si>
  <si>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</si>
  <si>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</si>
  <si>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</si>
  <si>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</si>
  <si>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</si>
  <si>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</si>
  <si>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</si>
  <si>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</si>
  <si>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</si>
  <si>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t>Actual water use</t>
  </si>
  <si>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</si>
  <si>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</si>
  <si>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</si>
  <si>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</si>
  <si>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</si>
  <si>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</si>
  <si>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</si>
  <si>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</si>
  <si>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</si>
  <si>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</si>
  <si>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</si>
  <si>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</si>
  <si>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</si>
  <si>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</si>
  <si>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</si>
  <si>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</si>
  <si>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t xml:space="preserve">Number of Qualifying Projects with net Environmental Gain equal to or above 15% </t>
  </si>
  <si>
    <r>
      <t>NR</t>
    </r>
    <r>
      <rPr>
        <vertAlign val="subscript"/>
        <sz val="10"/>
        <rFont val="Verdana"/>
        <family val="2"/>
      </rPr>
      <t>t</t>
    </r>
  </si>
  <si>
    <t xml:space="preserve">Number of Qualifying Projects with net Environmental Gain equal to or less than 5% </t>
  </si>
  <si>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</si>
  <si>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</si>
  <si>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</si>
  <si>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</si>
  <si>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</si>
  <si>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</si>
  <si>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</si>
  <si>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</si>
  <si>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</si>
  <si>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</si>
  <si>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</si>
  <si>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</si>
  <si>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</si>
  <si>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</si>
  <si>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</si>
  <si>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</si>
  <si>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</si>
  <si>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</si>
  <si>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</si>
  <si>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</si>
  <si>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t>Actual Environmental Value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</si>
  <si>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</si>
  <si>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</si>
  <si>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</si>
  <si>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</si>
  <si>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</si>
  <si>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</si>
  <si>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</si>
  <si>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</si>
  <si>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</si>
  <si>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</si>
  <si>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</si>
  <si>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</si>
  <si>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</si>
  <si>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</si>
  <si>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</si>
  <si>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</si>
  <si>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</si>
  <si>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</si>
  <si>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</si>
  <si>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</si>
  <si>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</si>
  <si>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</si>
  <si>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</si>
  <si>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</si>
  <si>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</si>
  <si>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</si>
  <si>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</si>
  <si>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Network Innovation Allowance Calculation</t>
  </si>
  <si>
    <t>Total NIA Expenditure</t>
  </si>
  <si>
    <r>
      <t>NIAE</t>
    </r>
    <r>
      <rPr>
        <vertAlign val="subscript"/>
        <sz val="10"/>
        <rFont val="Verdana"/>
        <family val="2"/>
      </rPr>
      <t>t</t>
    </r>
  </si>
  <si>
    <t>Links to total of all expenditure on NIA activities/projects in the Cost RRP</t>
  </si>
  <si>
    <t>Maximum Network innovation Allowance</t>
  </si>
  <si>
    <r>
      <t>TNIA</t>
    </r>
    <r>
      <rPr>
        <vertAlign val="subscript"/>
        <sz val="10"/>
        <rFont val="Verdana"/>
        <family val="2"/>
      </rPr>
      <t>t</t>
    </r>
  </si>
  <si>
    <t>Hydrogen innovation funding directed by the Authority</t>
  </si>
  <si>
    <r>
      <t>HYIN</t>
    </r>
    <r>
      <rPr>
        <vertAlign val="subscript"/>
        <sz val="10"/>
        <rFont val="Verdana"/>
        <family val="2"/>
      </rPr>
      <t>t</t>
    </r>
  </si>
  <si>
    <t>Value directed by the authority</t>
  </si>
  <si>
    <r>
      <t>NIA</t>
    </r>
    <r>
      <rPr>
        <b/>
        <vertAlign val="subscript"/>
        <sz val="10"/>
        <color theme="1"/>
        <rFont val="Verdana"/>
        <family val="2"/>
      </rPr>
      <t>t</t>
    </r>
  </si>
  <si>
    <t xml:space="preserve">Carry Over Network Innovation Allowance </t>
  </si>
  <si>
    <t>Eligible CNIA Expenditure</t>
  </si>
  <si>
    <r>
      <t>ECNIA</t>
    </r>
    <r>
      <rPr>
        <vertAlign val="subscript"/>
        <sz val="10"/>
        <rFont val="Verdana"/>
        <family val="2"/>
      </rPr>
      <t>t</t>
    </r>
  </si>
  <si>
    <t>£m, nominal</t>
  </si>
  <si>
    <t>Links to total of all expenditure on CNIA activities/projects in the Cost RRP</t>
  </si>
  <si>
    <t>CNIARt</t>
  </si>
  <si>
    <t>Value of any expenditure which a licensee cannot recover to be forecast by the licensee (or directed by the authority)</t>
  </si>
  <si>
    <t>Maximum Carry-over Network Innovation Allowance Calculation (CNIAV)</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</si>
  <si>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</si>
  <si>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</si>
  <si>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</si>
  <si>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</si>
  <si>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</si>
  <si>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</si>
  <si>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</si>
  <si>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</si>
  <si>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</si>
  <si>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</si>
  <si>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</si>
  <si>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</si>
  <si>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</si>
  <si>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</si>
  <si>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</si>
  <si>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r>
      <t>ANLL</t>
    </r>
    <r>
      <rPr>
        <vertAlign val="subscript"/>
        <sz val="10"/>
        <rFont val="Verdana"/>
        <family val="2"/>
      </rPr>
      <t>t</t>
    </r>
  </si>
  <si>
    <r>
      <t>ANLU</t>
    </r>
    <r>
      <rPr>
        <vertAlign val="subscript"/>
        <sz val="10"/>
        <rFont val="Verdana"/>
        <family val="2"/>
      </rPr>
      <t>t</t>
    </r>
  </si>
  <si>
    <r>
      <t>CMIR</t>
    </r>
    <r>
      <rPr>
        <vertAlign val="subscript"/>
        <sz val="10"/>
        <rFont val="Verdana"/>
        <family val="2"/>
      </rPr>
      <t>t</t>
    </r>
  </si>
  <si>
    <r>
      <t>Calculation of constraint management performance measure (CMOpPM</t>
    </r>
    <r>
      <rPr>
        <b/>
        <vertAlign val="subscript"/>
        <sz val="10"/>
        <rFont val="Gili"/>
      </rPr>
      <t>t</t>
    </r>
    <r>
      <rPr>
        <b/>
        <sz val="10"/>
        <rFont val="Gili"/>
      </rPr>
      <t>)</t>
    </r>
  </si>
  <si>
    <r>
      <t>CMOpC</t>
    </r>
    <r>
      <rPr>
        <vertAlign val="subscript"/>
        <sz val="10"/>
        <color theme="1"/>
        <rFont val="Verdana"/>
        <family val="2"/>
      </rPr>
      <t>t</t>
    </r>
  </si>
  <si>
    <r>
      <t>RODEC</t>
    </r>
    <r>
      <rPr>
        <vertAlign val="subscript"/>
        <sz val="10"/>
        <color theme="1"/>
        <rFont val="Verdana"/>
        <family val="2"/>
      </rPr>
      <t>t</t>
    </r>
  </si>
  <si>
    <r>
      <t>RIEC</t>
    </r>
    <r>
      <rPr>
        <vertAlign val="subscript"/>
        <sz val="10"/>
        <color theme="1"/>
        <rFont val="Verdana"/>
        <family val="2"/>
      </rPr>
      <t>t</t>
    </r>
  </si>
  <si>
    <r>
      <t>RFIEC</t>
    </r>
    <r>
      <rPr>
        <vertAlign val="subscript"/>
        <sz val="10"/>
        <color theme="1"/>
        <rFont val="Verdana"/>
        <family val="2"/>
      </rPr>
      <t>t</t>
    </r>
  </si>
  <si>
    <r>
      <t>RNOEC</t>
    </r>
    <r>
      <rPr>
        <vertAlign val="subscript"/>
        <sz val="10"/>
        <color theme="1"/>
        <rFont val="Verdana"/>
        <family val="2"/>
      </rPr>
      <t>t</t>
    </r>
  </si>
  <si>
    <r>
      <t>RLOC</t>
    </r>
    <r>
      <rPr>
        <vertAlign val="subscript"/>
        <sz val="10"/>
        <color theme="1"/>
        <rFont val="Verdana"/>
        <family val="2"/>
      </rPr>
      <t>t</t>
    </r>
  </si>
  <si>
    <r>
      <t>ROPExC</t>
    </r>
    <r>
      <rPr>
        <vertAlign val="subscript"/>
        <sz val="10"/>
        <color theme="1"/>
        <rFont val="Verdana"/>
        <family val="2"/>
      </rPr>
      <t>t</t>
    </r>
  </si>
  <si>
    <r>
      <t>RFOPExC</t>
    </r>
    <r>
      <rPr>
        <vertAlign val="subscript"/>
        <sz val="10"/>
        <color theme="1"/>
        <rFont val="Verdana"/>
        <family val="2"/>
      </rPr>
      <t>t</t>
    </r>
  </si>
  <si>
    <t>RNOExCt</t>
  </si>
  <si>
    <r>
      <t>RODExC</t>
    </r>
    <r>
      <rPr>
        <vertAlign val="subscript"/>
        <sz val="10"/>
        <color theme="1"/>
        <rFont val="Verdana"/>
        <family val="2"/>
      </rPr>
      <t>t</t>
    </r>
  </si>
  <si>
    <r>
      <t>RADD</t>
    </r>
    <r>
      <rPr>
        <vertAlign val="subscript"/>
        <sz val="10"/>
        <color theme="1"/>
        <rFont val="Verdana"/>
        <family val="2"/>
      </rPr>
      <t>t</t>
    </r>
  </si>
  <si>
    <r>
      <t>CMOpPM</t>
    </r>
    <r>
      <rPr>
        <vertAlign val="subscript"/>
        <sz val="10"/>
        <rFont val="Verdana"/>
        <family val="2"/>
      </rPr>
      <t>t</t>
    </r>
  </si>
  <si>
    <r>
      <t>Revenue from curtailed Interruptible Entry Capacity (RFIEC</t>
    </r>
    <r>
      <rPr>
        <b/>
        <vertAlign val="subscript"/>
        <sz val="10"/>
        <rFont val="Gili"/>
      </rPr>
      <t>t</t>
    </r>
    <r>
      <rPr>
        <b/>
        <sz val="10"/>
        <rFont val="Gili"/>
      </rPr>
      <t>)</t>
    </r>
  </si>
  <si>
    <r>
      <t>RIEC</t>
    </r>
    <r>
      <rPr>
        <vertAlign val="subscript"/>
        <sz val="10"/>
        <rFont val="Verdana"/>
        <family val="2"/>
      </rPr>
      <t>t</t>
    </r>
  </si>
  <si>
    <r>
      <t>RSIEC</t>
    </r>
    <r>
      <rPr>
        <vertAlign val="subscript"/>
        <sz val="10"/>
        <rFont val="Verdana"/>
        <family val="2"/>
      </rPr>
      <t>t</t>
    </r>
  </si>
  <si>
    <t>Input values to be provided by the licensee</t>
  </si>
  <si>
    <r>
      <t>SIEC</t>
    </r>
    <r>
      <rPr>
        <vertAlign val="subscript"/>
        <sz val="10"/>
        <rFont val="Verdana"/>
        <family val="2"/>
      </rPr>
      <t>t</t>
    </r>
  </si>
  <si>
    <r>
      <t>RFIEC</t>
    </r>
    <r>
      <rPr>
        <vertAlign val="subscript"/>
        <sz val="10"/>
        <rFont val="Verdana"/>
        <family val="2"/>
      </rPr>
      <t>t</t>
    </r>
  </si>
  <si>
    <r>
      <t>Revenue from sale of curtailed Off-Peak Exit Capacity (RFOPExC</t>
    </r>
    <r>
      <rPr>
        <b/>
        <vertAlign val="subscript"/>
        <sz val="10"/>
        <rFont val="Gili"/>
      </rPr>
      <t>t</t>
    </r>
    <r>
      <rPr>
        <b/>
        <sz val="10"/>
        <rFont val="Gili"/>
      </rPr>
      <t>)</t>
    </r>
  </si>
  <si>
    <r>
      <t>ROPExC</t>
    </r>
    <r>
      <rPr>
        <vertAlign val="subscript"/>
        <sz val="10"/>
        <rFont val="Verdana"/>
        <family val="2"/>
      </rPr>
      <t>t</t>
    </r>
  </si>
  <si>
    <r>
      <t>RSOPExC</t>
    </r>
    <r>
      <rPr>
        <vertAlign val="subscript"/>
        <sz val="10"/>
        <rFont val="Verdana"/>
        <family val="2"/>
      </rPr>
      <t>t</t>
    </r>
  </si>
  <si>
    <r>
      <t>SOPExC</t>
    </r>
    <r>
      <rPr>
        <vertAlign val="subscript"/>
        <sz val="10"/>
        <rFont val="Verdana"/>
        <family val="2"/>
      </rPr>
      <t>t</t>
    </r>
  </si>
  <si>
    <r>
      <t>RFOPExC</t>
    </r>
    <r>
      <rPr>
        <vertAlign val="subscript"/>
        <sz val="10"/>
        <rFont val="Verdana"/>
        <family val="2"/>
      </rPr>
      <t>t</t>
    </r>
  </si>
  <si>
    <r>
      <t>Calculation of constraint management operational costs (CMOpC</t>
    </r>
    <r>
      <rPr>
        <b/>
        <vertAlign val="subscript"/>
        <sz val="10"/>
        <rFont val="Gili"/>
      </rPr>
      <t>t</t>
    </r>
    <r>
      <rPr>
        <b/>
        <sz val="10"/>
        <rFont val="Gili"/>
      </rPr>
      <t>)</t>
    </r>
  </si>
  <si>
    <r>
      <t>EnCMOpC</t>
    </r>
    <r>
      <rPr>
        <vertAlign val="subscript"/>
        <sz val="10"/>
        <rFont val="Verdana"/>
        <family val="2"/>
      </rPr>
      <t>t</t>
    </r>
  </si>
  <si>
    <r>
      <t>ExCMOpC</t>
    </r>
    <r>
      <rPr>
        <vertAlign val="subscript"/>
        <sz val="10"/>
        <rFont val="Verdana"/>
        <family val="2"/>
      </rPr>
      <t>t</t>
    </r>
  </si>
  <si>
    <r>
      <t>CMOpC</t>
    </r>
    <r>
      <rPr>
        <vertAlign val="subscript"/>
        <sz val="10"/>
        <rFont val="Verdana"/>
        <family val="2"/>
      </rPr>
      <t>t</t>
    </r>
  </si>
  <si>
    <r>
      <t>Calculation of constraint management investment costs (CMInvC</t>
    </r>
    <r>
      <rPr>
        <b/>
        <vertAlign val="subscript"/>
        <sz val="10"/>
        <rFont val="Gili"/>
      </rPr>
      <t>t</t>
    </r>
    <r>
      <rPr>
        <b/>
        <sz val="10"/>
        <rFont val="Gili"/>
      </rPr>
      <t>)</t>
    </r>
  </si>
  <si>
    <r>
      <t>EnCMInvC</t>
    </r>
    <r>
      <rPr>
        <vertAlign val="subscript"/>
        <sz val="10"/>
        <rFont val="Verdana"/>
        <family val="2"/>
      </rPr>
      <t>t</t>
    </r>
  </si>
  <si>
    <r>
      <t>ExCMInvC</t>
    </r>
    <r>
      <rPr>
        <vertAlign val="subscript"/>
        <sz val="10"/>
        <rFont val="Verdana"/>
        <family val="2"/>
      </rPr>
      <t>t</t>
    </r>
  </si>
  <si>
    <r>
      <t>CMInvC</t>
    </r>
    <r>
      <rPr>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</si>
  <si>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</si>
  <si>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r>
      <t>CMOpBT</t>
    </r>
    <r>
      <rPr>
        <vertAlign val="subscript"/>
        <sz val="10"/>
        <color theme="1"/>
        <rFont val="Verdana"/>
        <family val="2"/>
      </rPr>
      <t>t</t>
    </r>
  </si>
  <si>
    <r>
      <t>CMOpDT</t>
    </r>
    <r>
      <rPr>
        <vertAlign val="subscript"/>
        <sz val="10"/>
        <color theme="1"/>
        <rFont val="Verdana"/>
        <family val="2"/>
      </rPr>
      <t>t</t>
    </r>
  </si>
  <si>
    <t>Value of variation to be forecast by the licensee in line with the re-opener pipeline log (or directed by the authority)</t>
  </si>
  <si>
    <r>
      <t>CMOpTC</t>
    </r>
    <r>
      <rPr>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</si>
  <si>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</si>
  <si>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r>
      <t>RBC</t>
    </r>
    <r>
      <rPr>
        <vertAlign val="subscript"/>
        <sz val="10"/>
        <color theme="1"/>
        <rFont val="Verdana"/>
        <family val="2"/>
      </rPr>
      <t>t</t>
    </r>
  </si>
  <si>
    <r>
      <t>OMC</t>
    </r>
    <r>
      <rPr>
        <vertAlign val="subscript"/>
        <sz val="10"/>
        <color theme="1"/>
        <rFont val="Verdana"/>
        <family val="2"/>
      </rPr>
      <t>t</t>
    </r>
  </si>
  <si>
    <r>
      <t>SC</t>
    </r>
    <r>
      <rPr>
        <vertAlign val="subscript"/>
        <sz val="10"/>
        <color theme="1"/>
        <rFont val="Verdana"/>
        <family val="2"/>
      </rPr>
      <t>t</t>
    </r>
  </si>
  <si>
    <r>
      <t>GHGIR</t>
    </r>
    <r>
      <rPr>
        <vertAlign val="subscript"/>
        <sz val="10"/>
        <color theme="1"/>
        <rFont val="Verdana"/>
        <family val="2"/>
      </rPr>
      <t>t</t>
    </r>
    <r>
      <rPr>
        <sz val="11"/>
        <color theme="1"/>
        <rFont val="Calibri"/>
        <family val="2"/>
        <scheme val="minor"/>
      </rPr>
      <t xml:space="preserve"> </t>
    </r>
  </si>
  <si>
    <r>
      <t>SOIRC</t>
    </r>
    <r>
      <rPr>
        <vertAlign val="subscript"/>
        <sz val="10"/>
        <color theme="1"/>
        <rFont val="Verdana"/>
        <family val="2"/>
      </rPr>
      <t>t</t>
    </r>
    <r>
      <rPr>
        <sz val="11"/>
        <color theme="1"/>
        <rFont val="Calibri"/>
        <family val="2"/>
        <scheme val="minor"/>
      </rPr>
      <t xml:space="preserve"> </t>
    </r>
  </si>
  <si>
    <t>Value to be input according to UNC definition</t>
  </si>
  <si>
    <t>Value of net residual balancing costs incurred  to be provided by the licensee</t>
  </si>
  <si>
    <r>
      <t>STIP</t>
    </r>
    <r>
      <rPr>
        <vertAlign val="subscript"/>
        <sz val="10"/>
        <color theme="1"/>
        <rFont val="Verdana"/>
        <family val="2"/>
      </rPr>
      <t>t</t>
    </r>
  </si>
  <si>
    <r>
      <t>RBIR</t>
    </r>
    <r>
      <rPr>
        <vertAlign val="subscript"/>
        <sz val="10"/>
        <color theme="1"/>
        <rFont val="Verdana"/>
        <family val="2"/>
      </rPr>
      <t>t</t>
    </r>
    <r>
      <rPr>
        <sz val="11"/>
        <color theme="1"/>
        <rFont val="Calibri"/>
        <family val="2"/>
        <scheme val="minor"/>
      </rPr>
      <t xml:space="preserve"> </t>
    </r>
  </si>
  <si>
    <r>
      <t>DAFIE</t>
    </r>
    <r>
      <rPr>
        <vertAlign val="subscript"/>
        <sz val="10"/>
        <color theme="1"/>
        <rFont val="Verdana"/>
        <family val="2"/>
      </rPr>
      <t>t</t>
    </r>
  </si>
  <si>
    <r>
      <t>DFA</t>
    </r>
    <r>
      <rPr>
        <vertAlign val="subscript"/>
        <sz val="10"/>
        <color theme="1"/>
        <rFont val="Verdana"/>
        <family val="2"/>
      </rPr>
      <t>t</t>
    </r>
  </si>
  <si>
    <t>Links to '7.9_DR_Adjustment' of the Cost RRP and is calculated as min [DFSA,1]</t>
  </si>
  <si>
    <r>
      <t>DADF</t>
    </r>
    <r>
      <rPr>
        <vertAlign val="subscript"/>
        <sz val="10"/>
        <color theme="1"/>
        <rFont val="Verdana"/>
        <family val="2"/>
      </rPr>
      <t>d</t>
    </r>
  </si>
  <si>
    <r>
      <t>AD</t>
    </r>
    <r>
      <rPr>
        <vertAlign val="subscript"/>
        <sz val="10"/>
        <color theme="1"/>
        <rFont val="Verdana"/>
        <family val="2"/>
      </rPr>
      <t>d</t>
    </r>
  </si>
  <si>
    <r>
      <t>AIC</t>
    </r>
    <r>
      <rPr>
        <vertAlign val="subscript"/>
        <sz val="10"/>
        <color theme="1"/>
        <rFont val="Verdana"/>
        <family val="2"/>
      </rPr>
      <t>t</t>
    </r>
  </si>
  <si>
    <r>
      <t>DFCI</t>
    </r>
    <r>
      <rPr>
        <vertAlign val="subscript"/>
        <sz val="10"/>
        <color theme="1"/>
        <rFont val="Verdana"/>
        <family val="2"/>
      </rPr>
      <t>t</t>
    </r>
  </si>
  <si>
    <r>
      <t>DFSA</t>
    </r>
    <r>
      <rPr>
        <vertAlign val="subscript"/>
        <sz val="10"/>
        <color theme="1"/>
        <rFont val="Verdana"/>
        <family val="2"/>
      </rPr>
      <t>t</t>
    </r>
  </si>
  <si>
    <t xml:space="preserve">Aggregate Capability of any relevant Short-Cycle Storage Facilities to have gas injected on Day d </t>
  </si>
  <si>
    <r>
      <t>DIY</t>
    </r>
    <r>
      <rPr>
        <vertAlign val="subscript"/>
        <sz val="10"/>
        <color theme="1"/>
        <rFont val="Verdana"/>
        <family val="2"/>
      </rPr>
      <t>t</t>
    </r>
  </si>
  <si>
    <r>
      <t>VEP</t>
    </r>
    <r>
      <rPr>
        <vertAlign val="subscript"/>
        <sz val="10"/>
        <color theme="1"/>
        <rFont val="Verdana"/>
        <family val="2"/>
      </rPr>
      <t>t</t>
    </r>
  </si>
  <si>
    <r>
      <t>VIPM</t>
    </r>
    <r>
      <rPr>
        <vertAlign val="subscript"/>
        <sz val="10"/>
        <color theme="1"/>
        <rFont val="Verdana"/>
        <family val="2"/>
      </rPr>
      <t>t</t>
    </r>
    <r>
      <rPr>
        <sz val="11"/>
        <color theme="1"/>
        <rFont val="Calibri"/>
        <family val="2"/>
        <scheme val="minor"/>
      </rPr>
      <t xml:space="preserve"> </t>
    </r>
  </si>
  <si>
    <r>
      <t>VIT</t>
    </r>
    <r>
      <rPr>
        <vertAlign val="subscript"/>
        <sz val="10"/>
        <color theme="1"/>
        <rFont val="Verdana"/>
        <family val="2"/>
      </rPr>
      <t>t</t>
    </r>
    <r>
      <rPr>
        <sz val="11"/>
        <color theme="1"/>
        <rFont val="Calibri"/>
        <family val="2"/>
        <scheme val="minor"/>
      </rPr>
      <t xml:space="preserve"> </t>
    </r>
  </si>
  <si>
    <r>
      <t>VIRP</t>
    </r>
    <r>
      <rPr>
        <vertAlign val="subscript"/>
        <sz val="10"/>
        <color theme="1"/>
        <rFont val="Verdana"/>
        <family val="2"/>
      </rPr>
      <t>t</t>
    </r>
    <r>
      <rPr>
        <sz val="11"/>
        <color theme="1"/>
        <rFont val="Calibri"/>
        <family val="2"/>
        <scheme val="minor"/>
      </rPr>
      <t xml:space="preserve"> </t>
    </r>
  </si>
  <si>
    <r>
      <t>VF</t>
    </r>
    <r>
      <rPr>
        <vertAlign val="subscript"/>
        <sz val="10"/>
        <color theme="1"/>
        <rFont val="Verdana"/>
        <family val="2"/>
      </rPr>
      <t>t</t>
    </r>
  </si>
  <si>
    <r>
      <t>NTCP</t>
    </r>
    <r>
      <rPr>
        <vertAlign val="subscript"/>
        <sz val="10"/>
        <color theme="1"/>
        <rFont val="Verdana"/>
        <family val="2"/>
      </rPr>
      <t>t</t>
    </r>
  </si>
  <si>
    <r>
      <t>VIRP</t>
    </r>
    <r>
      <rPr>
        <vertAlign val="subscript"/>
        <sz val="10"/>
        <color theme="1"/>
        <rFont val="Verdana"/>
        <family val="2"/>
      </rPr>
      <t>t</t>
    </r>
  </si>
  <si>
    <t>The sum as defined in SpC 5.6.19</t>
  </si>
  <si>
    <r>
      <t>NTMCP</t>
    </r>
    <r>
      <rPr>
        <vertAlign val="subscript"/>
        <sz val="10"/>
        <color theme="1"/>
        <rFont val="Verdana"/>
        <family val="2"/>
      </rPr>
      <t>m,t,y</t>
    </r>
  </si>
  <si>
    <r>
      <t>IF</t>
    </r>
    <r>
      <rPr>
        <vertAlign val="subscript"/>
        <sz val="10"/>
        <color theme="1"/>
        <rFont val="Verdana"/>
        <family val="2"/>
      </rPr>
      <t>m,t,y</t>
    </r>
  </si>
  <si>
    <r>
      <t>Maintenance Incentive Revenue (MIR</t>
    </r>
    <r>
      <rPr>
        <b/>
        <vertAlign val="subscript"/>
        <sz val="11"/>
        <color theme="1"/>
        <rFont val="Gili"/>
      </rPr>
      <t>t</t>
    </r>
    <r>
      <rPr>
        <b/>
        <sz val="11"/>
        <color theme="1"/>
        <rFont val="Gili"/>
      </rPr>
      <t>)</t>
    </r>
  </si>
  <si>
    <r>
      <t>MCIR</t>
    </r>
    <r>
      <rPr>
        <vertAlign val="subscript"/>
        <sz val="10"/>
        <color theme="1"/>
        <rFont val="Verdana"/>
        <family val="2"/>
      </rPr>
      <t>t</t>
    </r>
  </si>
  <si>
    <r>
      <t>MDI</t>
    </r>
    <r>
      <rPr>
        <vertAlign val="subscript"/>
        <sz val="10"/>
        <color theme="1"/>
        <rFont val="Verdana"/>
        <family val="2"/>
      </rPr>
      <t>t</t>
    </r>
  </si>
  <si>
    <r>
      <t>MDIRV</t>
    </r>
    <r>
      <rPr>
        <vertAlign val="subscript"/>
        <sz val="10"/>
        <color theme="1"/>
        <rFont val="Verdana"/>
        <family val="2"/>
      </rPr>
      <t>t</t>
    </r>
  </si>
  <si>
    <r>
      <t>Maintenance Change Incentive Revenue (MCIR</t>
    </r>
    <r>
      <rPr>
        <b/>
        <vertAlign val="subscript"/>
        <sz val="10"/>
        <color theme="1"/>
        <rFont val="Gili"/>
      </rPr>
      <t>t</t>
    </r>
    <r>
      <rPr>
        <b/>
        <sz val="10"/>
        <color theme="1"/>
        <rFont val="Gili"/>
      </rPr>
      <t>)</t>
    </r>
  </si>
  <si>
    <t>Maintenance workload in days</t>
  </si>
  <si>
    <t>MW</t>
  </si>
  <si>
    <t>License Value</t>
  </si>
  <si>
    <r>
      <t>MCITD</t>
    </r>
    <r>
      <rPr>
        <vertAlign val="subscript"/>
        <sz val="10"/>
        <color theme="1"/>
        <rFont val="Verdana"/>
        <family val="2"/>
      </rPr>
      <t>t</t>
    </r>
  </si>
  <si>
    <r>
      <t>MCICD</t>
    </r>
    <r>
      <rPr>
        <vertAlign val="subscript"/>
        <sz val="10"/>
        <color theme="1"/>
        <rFont val="Verdana"/>
        <family val="2"/>
      </rPr>
      <t>t</t>
    </r>
  </si>
  <si>
    <r>
      <t>MCIPM</t>
    </r>
    <r>
      <rPr>
        <vertAlign val="subscript"/>
        <sz val="10"/>
        <color theme="1"/>
        <rFont val="Verdana"/>
        <family val="2"/>
      </rPr>
      <t>t</t>
    </r>
  </si>
  <si>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</si>
  <si>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</si>
  <si>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</si>
  <si>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r>
      <t>MADT</t>
    </r>
    <r>
      <rPr>
        <vertAlign val="subscript"/>
        <sz val="10"/>
        <color theme="1"/>
        <rFont val="Verdana"/>
        <family val="2"/>
      </rPr>
      <t>t</t>
    </r>
  </si>
  <si>
    <r>
      <t>MDA</t>
    </r>
    <r>
      <rPr>
        <vertAlign val="subscript"/>
        <sz val="10"/>
        <color theme="1"/>
        <rFont val="Verdana"/>
        <family val="2"/>
      </rPr>
      <t>t</t>
    </r>
  </si>
  <si>
    <r>
      <t>MDINP</t>
    </r>
    <r>
      <rPr>
        <vertAlign val="subscript"/>
        <sz val="10"/>
        <color theme="1"/>
        <rFont val="Verdana"/>
        <family val="2"/>
      </rPr>
      <t>t</t>
    </r>
  </si>
  <si>
    <r>
      <t>Maintenance Days Incentive (RVO) (MDIRV</t>
    </r>
    <r>
      <rPr>
        <b/>
        <vertAlign val="subscript"/>
        <sz val="10"/>
        <color theme="1"/>
        <rFont val="Gili"/>
      </rPr>
      <t>t</t>
    </r>
    <r>
      <rPr>
        <b/>
        <sz val="10"/>
        <color theme="1"/>
        <rFont val="Gili"/>
      </rPr>
      <t>)</t>
    </r>
  </si>
  <si>
    <r>
      <t>MDT</t>
    </r>
    <r>
      <rPr>
        <vertAlign val="subscript"/>
        <sz val="10"/>
        <color theme="1"/>
        <rFont val="Verdana"/>
        <family val="2"/>
      </rPr>
      <t>t</t>
    </r>
  </si>
  <si>
    <r>
      <t>MDV</t>
    </r>
    <r>
      <rPr>
        <vertAlign val="subscript"/>
        <sz val="10"/>
        <color theme="1"/>
        <rFont val="Verdana"/>
        <family val="2"/>
      </rPr>
      <t>t</t>
    </r>
  </si>
  <si>
    <r>
      <t>MPMV</t>
    </r>
    <r>
      <rPr>
        <vertAlign val="subscript"/>
        <sz val="10"/>
        <color theme="1"/>
        <rFont val="Verdana"/>
        <family val="2"/>
      </rPr>
      <t>t</t>
    </r>
  </si>
  <si>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</si>
  <si>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</si>
  <si>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</si>
  <si>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</si>
  <si>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</si>
  <si>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</si>
  <si>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</si>
  <si>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</si>
  <si>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</si>
  <si>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</si>
  <si>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</si>
  <si>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</si>
  <si>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Non-operational capex</t>
  </si>
  <si>
    <t>Special rate</t>
  </si>
  <si>
    <t>Structures and buildings</t>
  </si>
  <si>
    <t>Deferred revenue</t>
  </si>
  <si>
    <t>Revenue</t>
  </si>
  <si>
    <t>Non qualifying</t>
  </si>
  <si>
    <t>Allocation of totex to tax pools</t>
  </si>
  <si>
    <t>Non-load (opex)</t>
  </si>
  <si>
    <t>Actual totex</t>
  </si>
  <si>
    <t>Derivation of totex percentage allocations</t>
  </si>
  <si>
    <t>Check</t>
  </si>
  <si>
    <t>SO Tax Pools Totex Allocations</t>
  </si>
  <si>
    <t>Controllable opex</t>
  </si>
  <si>
    <t>NGGT's BCF comprising scope 1 and 2 emissions excluding shrinkage,  tonnes of carbon dioxide equivalent emissions (tCO2e)</t>
  </si>
  <si>
    <t>Emission</t>
  </si>
  <si>
    <t>Category</t>
  </si>
  <si>
    <t>Business Carbon Footprint</t>
  </si>
  <si>
    <t xml:space="preserve">Scope 1 </t>
  </si>
  <si>
    <t xml:space="preserve">Energy consumption (excluding electricity) </t>
  </si>
  <si>
    <t>Energy consumption</t>
  </si>
  <si>
    <t>Spare</t>
  </si>
  <si>
    <t>Transport</t>
  </si>
  <si>
    <t>Direct commercial vehicles</t>
  </si>
  <si>
    <t>Business mileage</t>
  </si>
  <si>
    <t>Fugitive emissions</t>
  </si>
  <si>
    <t>Venting (compressor only)</t>
  </si>
  <si>
    <t>Leak Detection &amp; repair</t>
  </si>
  <si>
    <t>Other gases (as applicable)</t>
  </si>
  <si>
    <t>Fuel combustion</t>
  </si>
  <si>
    <t>Diesel</t>
  </si>
  <si>
    <t>Natural Gas</t>
  </si>
  <si>
    <t>Other fuels (as applicable)</t>
  </si>
  <si>
    <t xml:space="preserve">Total </t>
  </si>
  <si>
    <t>Total Scope 1</t>
  </si>
  <si>
    <t xml:space="preserve">Scope 2 </t>
  </si>
  <si>
    <t>Electricity consumption</t>
  </si>
  <si>
    <t xml:space="preserve">Electricity consumption </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</si>
  <si>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</si>
  <si>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</si>
  <si>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</si>
  <si>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</si>
  <si>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</si>
  <si>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</si>
  <si>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</si>
  <si>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</si>
  <si>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</si>
  <si>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</si>
  <si>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</si>
  <si>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</si>
  <si>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Business Travel</t>
  </si>
  <si>
    <t>Private vehicles</t>
  </si>
  <si>
    <t>Rail</t>
  </si>
  <si>
    <t>Air</t>
  </si>
  <si>
    <t>Ferry</t>
  </si>
  <si>
    <t>Employee commuting</t>
  </si>
  <si>
    <t>Leased assets</t>
  </si>
  <si>
    <t>Total Scope 3</t>
  </si>
  <si>
    <t>TO tax pool Totex allocation</t>
  </si>
  <si>
    <t>SO tax pool Totex allocation</t>
  </si>
  <si>
    <t>TO PCFM input summary</t>
  </si>
  <si>
    <t>SO PCFM input summary</t>
  </si>
  <si>
    <t>Totex summary</t>
  </si>
  <si>
    <t>1.3</t>
  </si>
  <si>
    <t>1.4</t>
  </si>
  <si>
    <t>1.5</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</si>
  <si>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</si>
  <si>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</si>
  <si>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</si>
  <si>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</si>
  <si>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</si>
  <si>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</si>
  <si>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</si>
  <si>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</si>
  <si>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</si>
  <si>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</si>
  <si>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</si>
  <si>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</si>
  <si>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</si>
  <si>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</si>
  <si>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</si>
  <si>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</si>
  <si>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(NGGT only)</t>
  </si>
  <si>
    <t>Vehicle type</t>
  </si>
  <si>
    <t>Activity data</t>
  </si>
  <si>
    <t>Conversion factor</t>
  </si>
  <si>
    <t>Petrol</t>
  </si>
  <si>
    <t>Litres of fuel</t>
  </si>
  <si>
    <t>Miles travelled</t>
  </si>
  <si>
    <t>size of vehicle??</t>
  </si>
  <si>
    <t>Hybrid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</si>
  <si>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</si>
  <si>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</si>
  <si>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</si>
  <si>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</si>
  <si>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</si>
  <si>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</si>
  <si>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</si>
  <si>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</si>
  <si>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</si>
  <si>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</si>
  <si>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</si>
  <si>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</si>
  <si>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</si>
  <si>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</si>
  <si>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</si>
  <si>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</si>
  <si>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</si>
  <si>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</si>
  <si>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</si>
  <si>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</si>
  <si>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</si>
  <si>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</si>
  <si>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</si>
  <si>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</si>
  <si>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</si>
  <si>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</si>
  <si>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</si>
  <si>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</si>
  <si>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</si>
  <si>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</si>
  <si>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</si>
  <si>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</si>
  <si>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</si>
  <si>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</si>
  <si>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</si>
  <si>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</si>
  <si>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</si>
  <si>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</si>
  <si>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</si>
  <si>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</si>
  <si>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</si>
  <si>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</si>
  <si>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</si>
  <si>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</si>
  <si>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</si>
  <si>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</si>
  <si>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</si>
  <si>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</si>
  <si>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</si>
  <si>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</si>
  <si>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</si>
  <si>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</si>
  <si>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</si>
  <si>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</si>
  <si>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</si>
  <si>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t>Land area treated</t>
  </si>
  <si>
    <t>Interventions delivered</t>
  </si>
  <si>
    <t>Percentage of project completed</t>
  </si>
  <si>
    <t xml:space="preserve">Ecosystem service </t>
  </si>
  <si>
    <t>Annual service flow</t>
  </si>
  <si>
    <t>NCV (£)</t>
  </si>
  <si>
    <t>NCV(£)</t>
  </si>
  <si>
    <t>Net NCV (£)</t>
  </si>
  <si>
    <t>Interventions/activities delivered</t>
  </si>
  <si>
    <t>Please state both category and specific service</t>
  </si>
  <si>
    <t>Baseline NCV</t>
  </si>
  <si>
    <t>Post intervention NCV</t>
  </si>
  <si>
    <t>Increment in NCV</t>
  </si>
  <si>
    <t>Baseline NCV (£m)</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</si>
  <si>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</si>
  <si>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</si>
  <si>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</si>
  <si>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</si>
  <si>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</si>
  <si>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</si>
  <si>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</si>
  <si>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</si>
  <si>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</si>
  <si>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</si>
  <si>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</si>
  <si>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</si>
  <si>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</si>
  <si>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</si>
  <si>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</si>
  <si>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</si>
  <si>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</si>
  <si>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Projects meeting or exceeding 15% ENG</t>
  </si>
  <si>
    <t>ecosystem flows</t>
  </si>
  <si>
    <t>Projects achieving 5% or less than ENG</t>
  </si>
  <si>
    <t>Servers</t>
  </si>
  <si>
    <t>Network Devices</t>
  </si>
  <si>
    <t>Edge Devices</t>
  </si>
  <si>
    <t>RIIO&gt;T2</t>
  </si>
  <si>
    <t>&gt;2026</t>
  </si>
  <si>
    <t>RIIO&lt;T1</t>
  </si>
  <si>
    <t>Contracting method</t>
  </si>
  <si>
    <t>Project Phase</t>
  </si>
  <si>
    <t>Actual</t>
  </si>
  <si>
    <t>Fcast</t>
  </si>
  <si>
    <t>Specific Capex Projects</t>
  </si>
  <si>
    <t>Cost breakdown</t>
  </si>
  <si>
    <t>non output</t>
  </si>
  <si>
    <t>NTS shrinkage</t>
  </si>
  <si>
    <t>2018/19 prices</t>
  </si>
  <si>
    <t>Net zero UIOLI</t>
  </si>
  <si>
    <t>UIOLI</t>
  </si>
  <si>
    <t>RIIO-2 FD Allowances (excluding RPE effects)</t>
  </si>
  <si>
    <t>Physical security</t>
  </si>
  <si>
    <t>Transmission Owner</t>
  </si>
  <si>
    <t>SO Actual Totex</t>
  </si>
  <si>
    <t>TO ActualTotex</t>
  </si>
  <si>
    <t xml:space="preserve">Actual Totex Baseline </t>
  </si>
  <si>
    <t>Actual Totex Uncertainty Mechanism</t>
  </si>
  <si>
    <t>Actual Totex Baseline</t>
  </si>
  <si>
    <t>April 2021 - March 2022</t>
  </si>
  <si>
    <t>April 2022 - March 2023</t>
  </si>
  <si>
    <t>April 2023 - March 2024</t>
  </si>
  <si>
    <t>April 2024 - March 2025</t>
  </si>
  <si>
    <t>April 2025 - March 2026</t>
  </si>
  <si>
    <t>NARM Interface</t>
  </si>
  <si>
    <t>Asset Health - Interventions</t>
  </si>
  <si>
    <t>Environmental Scorecard</t>
  </si>
  <si>
    <t>Gas Constraint Events</t>
  </si>
  <si>
    <t>Non-load related</t>
  </si>
  <si>
    <t>Other Non-load</t>
  </si>
  <si>
    <t>Closely Associated Indirects</t>
  </si>
  <si>
    <t>PCDs</t>
  </si>
  <si>
    <t>Non-lead Assets</t>
  </si>
  <si>
    <t>PSUP (New Sites)</t>
  </si>
  <si>
    <t>Licensee</t>
  </si>
  <si>
    <t>Performance vs Allowance</t>
  </si>
  <si>
    <t>Non-operational Capex</t>
  </si>
  <si>
    <t>SAC</t>
  </si>
  <si>
    <t xml:space="preserve">02 - </t>
  </si>
  <si>
    <t xml:space="preserve">05 - </t>
  </si>
  <si>
    <t xml:space="preserve">11 - </t>
  </si>
  <si>
    <t xml:space="preserve">19 - </t>
  </si>
  <si>
    <t xml:space="preserve">22 - </t>
  </si>
  <si>
    <t xml:space="preserve">26 - </t>
  </si>
  <si>
    <t xml:space="preserve">27 - </t>
  </si>
  <si>
    <t xml:space="preserve">28 - </t>
  </si>
  <si>
    <t xml:space="preserve">29 - </t>
  </si>
  <si>
    <t xml:space="preserve">30 - </t>
  </si>
  <si>
    <t xml:space="preserve">36 - </t>
  </si>
  <si>
    <t xml:space="preserve">37 - </t>
  </si>
  <si>
    <t xml:space="preserve">38 - </t>
  </si>
  <si>
    <t xml:space="preserve">40 - </t>
  </si>
  <si>
    <t>Non-load</t>
  </si>
  <si>
    <t>Total EnCMOpC</t>
  </si>
  <si>
    <t>Total RLOC</t>
  </si>
  <si>
    <t>Total ExCMOpC</t>
  </si>
  <si>
    <t>Total ExBBCNLRA</t>
  </si>
  <si>
    <t>Total CMInvC</t>
  </si>
  <si>
    <t>Total CMOpC</t>
  </si>
  <si>
    <t>(RNOEC*0.14)</t>
  </si>
  <si>
    <t>(RNOExC*0.14)</t>
  </si>
  <si>
    <t>Total CM Revenues (with 14% scaling)</t>
  </si>
  <si>
    <t>Sale of Non-obligated Entry Capacity (incl accelerated release)</t>
  </si>
  <si>
    <t>Cost Type</t>
  </si>
  <si>
    <t>Cost/vol</t>
  </si>
  <si>
    <t>GSO Incentives</t>
  </si>
  <si>
    <t>Baeline</t>
  </si>
  <si>
    <t>Cost / Vol</t>
  </si>
  <si>
    <t>TO Other revenue allowances</t>
  </si>
  <si>
    <t>SO Other revenue allowances</t>
  </si>
  <si>
    <t>Business support allocation</t>
  </si>
  <si>
    <t>TO Quarry and loss</t>
  </si>
  <si>
    <t>TO Physical security opex</t>
  </si>
  <si>
    <t>TO Non-operational capex</t>
  </si>
  <si>
    <t>Compressor Perf &amp; Utilisation</t>
  </si>
  <si>
    <t>Cost type</t>
  </si>
  <si>
    <t>No sites</t>
  </si>
  <si>
    <t>No Sites</t>
  </si>
  <si>
    <t>Movement Category</t>
  </si>
  <si>
    <t>Work volume and mix</t>
  </si>
  <si>
    <t>Business support costs</t>
  </si>
  <si>
    <t>Closely associated indirect costs</t>
  </si>
  <si>
    <t>Direct opex</t>
  </si>
  <si>
    <t>Planned maintenance &amp; inspections</t>
  </si>
  <si>
    <t>Operational property</t>
  </si>
  <si>
    <t>Quarry &amp; loss</t>
  </si>
  <si>
    <t>Owned sites</t>
  </si>
  <si>
    <t>shared sites</t>
  </si>
  <si>
    <t>Not allowed</t>
  </si>
  <si>
    <t>External</t>
  </si>
  <si>
    <t>Income Statement Charge / Release</t>
  </si>
  <si>
    <t>Total Net Movement of provisions</t>
  </si>
  <si>
    <t>Network capability</t>
  </si>
  <si>
    <t>Compressor emissions</t>
  </si>
  <si>
    <t>Asset health</t>
  </si>
  <si>
    <t>Other non-load</t>
  </si>
  <si>
    <t>Customer contributions</t>
  </si>
  <si>
    <t>Uncertainty mechanism</t>
  </si>
  <si>
    <t>Peterborough &amp; Huntingdon GT1 carry over</t>
  </si>
  <si>
    <t>Cost Breakdown</t>
  </si>
  <si>
    <t>Asset health - costs</t>
  </si>
  <si>
    <t>Project Theme</t>
  </si>
  <si>
    <t>Project Sub-theme</t>
  </si>
  <si>
    <t>4.0</t>
  </si>
  <si>
    <t>Asset Health Inverventions</t>
  </si>
  <si>
    <t>Project Status</t>
  </si>
  <si>
    <t>Deferred</t>
  </si>
  <si>
    <t>In Progress</t>
  </si>
  <si>
    <t>Complete</t>
  </si>
  <si>
    <t>Part Delivered</t>
  </si>
  <si>
    <t>New - Planned</t>
  </si>
  <si>
    <t>New - Deferred</t>
  </si>
  <si>
    <t>New - In Progress</t>
  </si>
  <si>
    <t>New - Part Delivered</t>
  </si>
  <si>
    <t>New - Cancelled</t>
  </si>
  <si>
    <t>New - Complete</t>
  </si>
  <si>
    <t>Closely Associated indirects</t>
  </si>
  <si>
    <t>Inspections and planned maintenance</t>
  </si>
  <si>
    <t>cost</t>
  </si>
  <si>
    <t>Forecast Baseline Totex</t>
  </si>
  <si>
    <t>Forecast Uncertainty mechanism totex</t>
  </si>
  <si>
    <t>positive values subtract from total</t>
  </si>
  <si>
    <t>Baseline Costs</t>
  </si>
  <si>
    <t>Uncertainty mechanism costs</t>
  </si>
  <si>
    <t>BAT for site</t>
  </si>
  <si>
    <t>Consumed hours</t>
  </si>
  <si>
    <t>Date Constructed</t>
  </si>
  <si>
    <t>Design life (years)</t>
  </si>
  <si>
    <t>Pipeline diameter (mm)</t>
  </si>
  <si>
    <t>Pipeline length (km)</t>
  </si>
  <si>
    <t>Design Pressure rating  (bar)</t>
  </si>
  <si>
    <t>Pipeline Feeder number</t>
  </si>
  <si>
    <t>Constructed / Abandoned / Decomissioned</t>
  </si>
  <si>
    <t>Year Ending</t>
  </si>
  <si>
    <t>Exit Points</t>
  </si>
  <si>
    <t>Entry Points</t>
  </si>
  <si>
    <t>Multijunctions</t>
  </si>
  <si>
    <t>Block Valves</t>
  </si>
  <si>
    <t>Km</t>
  </si>
  <si>
    <t>Assets by Primary Asset Group</t>
  </si>
  <si>
    <t>Funding Type</t>
  </si>
  <si>
    <t>Policy Area</t>
  </si>
  <si>
    <t>Policy Mechanism</t>
  </si>
  <si>
    <t>NARM Category</t>
  </si>
  <si>
    <t>NARM Risk</t>
  </si>
  <si>
    <t>Controllable Opex</t>
  </si>
  <si>
    <t>Asset/Activity Category</t>
  </si>
  <si>
    <t>Asset/Activity Sub-Class</t>
  </si>
  <si>
    <t>Descriptor 1</t>
  </si>
  <si>
    <t>Descriptor 2</t>
  </si>
  <si>
    <t>Measure</t>
  </si>
  <si>
    <t>Contribution Cost</t>
  </si>
  <si>
    <t>Gross Cost</t>
  </si>
  <si>
    <t>Net Cost</t>
  </si>
  <si>
    <t>Unique ID</t>
  </si>
  <si>
    <t xml:space="preserve">National Innovation Allowance </t>
  </si>
  <si>
    <t>Expenditure by project</t>
  </si>
  <si>
    <t xml:space="preserve">Other </t>
  </si>
  <si>
    <t>Net</t>
  </si>
  <si>
    <r>
      <t>Total NIA Expenditure (NIAE</t>
    </r>
    <r>
      <rPr>
        <sz val="10"/>
        <color theme="9"/>
        <rFont val="Verdana"/>
        <family val="2"/>
      </rPr>
      <t>t</t>
    </r>
    <r>
      <rPr>
        <b/>
        <sz val="10"/>
        <color theme="9"/>
        <rFont val="Verdana"/>
        <family val="2"/>
      </rPr>
      <t>)</t>
    </r>
  </si>
  <si>
    <t xml:space="preserve">Internal expditure </t>
  </si>
  <si>
    <t>Check for licence condition 5.2.6 - Internal expenditure Max 25% of Total NIA Expenditure</t>
  </si>
  <si>
    <t xml:space="preserve">Maximum NIA that can be recovered over RIIO-2, as specified in SpC 5.2 (TNIAt)  </t>
  </si>
  <si>
    <t>X</t>
  </si>
  <si>
    <t xml:space="preserve">Additional hydrogen innovation funding and has the value zero unless otherwise directed by the Authority (HYINt) </t>
  </si>
  <si>
    <t>O</t>
  </si>
  <si>
    <t>Network Innovation Allowance NIAt (= 90% of NIAEt)</t>
  </si>
  <si>
    <t>Check for licence condition 5.2.5 - Total NIA over RIIO2 capped at (TNIAt + HYINt)</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</si>
  <si>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</si>
  <si>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</si>
  <si>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</si>
  <si>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</si>
  <si>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</si>
  <si>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</si>
  <si>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RIIO-1 CNIA (Carry-over Network Innovation Allowance) expenditure</t>
  </si>
  <si>
    <t>Eligible expenditure by activity/ project</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</si>
  <si>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</si>
  <si>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</si>
  <si>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</si>
  <si>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</si>
  <si>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</si>
  <si>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</si>
  <si>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</si>
  <si>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</si>
  <si>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Price indices</t>
  </si>
  <si>
    <t>Price index 2018/2019</t>
  </si>
  <si>
    <t>Index value</t>
  </si>
  <si>
    <t>Price index 2021/22</t>
  </si>
  <si>
    <t>CNIA to be recovered</t>
  </si>
  <si>
    <t>SIF Disallowed Expenditure</t>
  </si>
  <si>
    <t>SIF Royalities by project</t>
  </si>
  <si>
    <t xml:space="preserve">SIF Directly Attributed Costs </t>
  </si>
  <si>
    <t>SIF Returned Royalty Income by Project</t>
  </si>
  <si>
    <t>Retained SIF Royalties by Project</t>
  </si>
  <si>
    <t>1.6</t>
  </si>
  <si>
    <t>Totex Forecast</t>
  </si>
  <si>
    <t>SO Non-operational capex</t>
  </si>
  <si>
    <t>Environmental scorecard</t>
  </si>
  <si>
    <t>New/Enhancement/Refresh</t>
  </si>
  <si>
    <t>Accrual</t>
  </si>
  <si>
    <t>(RAREnCA*0.14)</t>
  </si>
  <si>
    <t>CMOpC-ExBBCNLRA-[Total CM Revenues]</t>
  </si>
  <si>
    <t>Constraint Management incentive revenue (CMIR)</t>
  </si>
  <si>
    <t>0.39*(8.5-CMOpPM)-CMInvC</t>
  </si>
  <si>
    <t>Entry/Exit Flows (kWh)</t>
  </si>
  <si>
    <t>Total Vol (mcm)</t>
  </si>
  <si>
    <t>Total Vol Curtailed (mcm)</t>
  </si>
  <si>
    <t>Remaining Sold Quantity (mcm)</t>
  </si>
  <si>
    <t>Total Sold Quantity of Interruptible/Off-Peak (mcm)</t>
  </si>
  <si>
    <t>Entry/Exit Flows (kwh)</t>
  </si>
  <si>
    <t>Total Vol Quantity Bought Back (kWh/d)</t>
  </si>
  <si>
    <t>Total Vol Quantity Bought Back (mcm/d)</t>
  </si>
  <si>
    <t>Demand forecasting (D-1) incentive report overview</t>
  </si>
  <si>
    <t>Demand forecasting report (D-2-D-5 overview)</t>
  </si>
  <si>
    <t>ILI Runs Planned</t>
  </si>
  <si>
    <t>ILI Runs Completed</t>
  </si>
  <si>
    <t>Depth Of Cover surveys (ILI) Planned</t>
  </si>
  <si>
    <t>Depth Of Cover surveys (ILI) Completed</t>
  </si>
  <si>
    <t>ILI Digs predicted by planning tool</t>
  </si>
  <si>
    <t>ILI Digs triggered by actual ILI findings</t>
  </si>
  <si>
    <t>No or No/km?</t>
  </si>
  <si>
    <t>P1 defects at start of reporting year</t>
  </si>
  <si>
    <t>New P1 defects identified</t>
  </si>
  <si>
    <t>P2 defects progressing to P1</t>
  </si>
  <si>
    <t>P2 defects at start of reporting year</t>
  </si>
  <si>
    <t>New P2 defects identifed</t>
  </si>
  <si>
    <t>P1 defects resolved</t>
  </si>
  <si>
    <t>P2 defects resolved</t>
  </si>
  <si>
    <t>Pipework</t>
  </si>
  <si>
    <t>ILI Runs</t>
  </si>
  <si>
    <t>CP Pipework</t>
  </si>
  <si>
    <t>CP Pipeline</t>
  </si>
  <si>
    <t>Incident Reporting</t>
  </si>
  <si>
    <t>Workforce safety incidents</t>
  </si>
  <si>
    <t>Pipeline / process safety incidents</t>
  </si>
  <si>
    <t>Environmental incidents</t>
  </si>
  <si>
    <t>No Digs completed</t>
  </si>
  <si>
    <t>Unplanned interventions</t>
  </si>
  <si>
    <t>No Digs completed where a repair was required</t>
  </si>
  <si>
    <t>These figures should reconcile to table 7.11 GHG venting data</t>
  </si>
  <si>
    <t>Network Innovation Competition</t>
  </si>
  <si>
    <t>Carry Over Network Innovation Allowance</t>
  </si>
  <si>
    <t>Price base - 2018/19</t>
  </si>
  <si>
    <t>Totex Summary</t>
  </si>
  <si>
    <t>Forecast Totex</t>
  </si>
  <si>
    <t>Actual Totex (Cap Rate 1)</t>
  </si>
  <si>
    <t>Actual Totex (Cap Rate 2)</t>
  </si>
  <si>
    <t>Revenue Interface</t>
  </si>
  <si>
    <t>Directly Remunerated Services</t>
  </si>
  <si>
    <t xml:space="preserve">Actual Totex </t>
  </si>
  <si>
    <t>Business Support Cost</t>
  </si>
  <si>
    <t>Non-Load Related</t>
  </si>
  <si>
    <t>Graid</t>
  </si>
  <si>
    <t>Null</t>
  </si>
  <si>
    <t>linked</t>
  </si>
  <si>
    <t>2.3 TO PCDs</t>
  </si>
  <si>
    <t>NARMRt</t>
  </si>
  <si>
    <t>CROTRAt</t>
  </si>
  <si>
    <t>CRITRAt</t>
  </si>
  <si>
    <t>PSUPRAt</t>
  </si>
  <si>
    <t>RDFRt</t>
  </si>
  <si>
    <t>BTRRAt</t>
  </si>
  <si>
    <t>CEPRAt</t>
  </si>
  <si>
    <t>KLSRAt</t>
  </si>
  <si>
    <t>FIOCRAt</t>
  </si>
  <si>
    <t>NLARt</t>
  </si>
  <si>
    <t>RARt</t>
  </si>
  <si>
    <t>2.2 SO PCFM Input Summary</t>
  </si>
  <si>
    <t>2.1 TO PCFM Input Summary</t>
  </si>
  <si>
    <t>PREDRSt</t>
  </si>
  <si>
    <t>POSDRSt</t>
  </si>
  <si>
    <t>OIDRSt</t>
  </si>
  <si>
    <t>IDRSt</t>
  </si>
  <si>
    <t>2.4 SO PCDs</t>
  </si>
  <si>
    <t>2.5 TO Re-openers</t>
  </si>
  <si>
    <t>NARMAHOt</t>
  </si>
  <si>
    <t>NARMAHRt</t>
  </si>
  <si>
    <t>CROTOt</t>
  </si>
  <si>
    <t>CROTROt</t>
  </si>
  <si>
    <t>CRITOt</t>
  </si>
  <si>
    <t>CRITROt</t>
  </si>
  <si>
    <t>PSUPOt</t>
  </si>
  <si>
    <t>PSUPROt</t>
  </si>
  <si>
    <t>NZOt</t>
  </si>
  <si>
    <t>NZROt</t>
  </si>
  <si>
    <t>NOITt</t>
  </si>
  <si>
    <t>CAMt</t>
  </si>
  <si>
    <t>NZPt</t>
  </si>
  <si>
    <t>BTROt</t>
  </si>
  <si>
    <t>BTRROt</t>
  </si>
  <si>
    <t>CEPOt</t>
  </si>
  <si>
    <t>CEPROt</t>
  </si>
  <si>
    <t>KLSOt</t>
  </si>
  <si>
    <t>KLSROt</t>
  </si>
  <si>
    <t>FIOCOt</t>
  </si>
  <si>
    <t>FIOCROt</t>
  </si>
  <si>
    <t>NLAHOt</t>
  </si>
  <si>
    <t>NLAHRt</t>
  </si>
  <si>
    <t>QLt and PDt</t>
  </si>
  <si>
    <t>SOCROTRAt</t>
  </si>
  <si>
    <t>SOCRITRAt</t>
  </si>
  <si>
    <t>TOCROTRAt</t>
  </si>
  <si>
    <t>TOCRITRAt</t>
  </si>
  <si>
    <t>TOFIOCRAt</t>
  </si>
  <si>
    <t>SOFIOCRAt</t>
  </si>
  <si>
    <t>summed from TO Totex tab</t>
  </si>
  <si>
    <t>no source in pack - direct input</t>
  </si>
  <si>
    <t>summed from SO Totex tab</t>
  </si>
  <si>
    <t>Link from reopener pipeline tab</t>
  </si>
  <si>
    <t>2.6 SO Reopeners</t>
  </si>
  <si>
    <t>2.7 TO PT</t>
  </si>
  <si>
    <t>CDSPt</t>
  </si>
  <si>
    <t>SOEDEt</t>
  </si>
  <si>
    <t>SORBDt</t>
  </si>
  <si>
    <t>LFt</t>
  </si>
  <si>
    <t>RBt</t>
  </si>
  <si>
    <t>EDEt</t>
  </si>
  <si>
    <t>OPTCt</t>
  </si>
  <si>
    <t>PTVt</t>
  </si>
  <si>
    <t>RBDt</t>
  </si>
  <si>
    <t>BPDt</t>
  </si>
  <si>
    <t>ALTt</t>
  </si>
  <si>
    <t>Pass through costs</t>
  </si>
  <si>
    <t>2.8 SO PT</t>
  </si>
  <si>
    <t>2.10 To ODI</t>
  </si>
  <si>
    <t>ECNIAt</t>
  </si>
  <si>
    <t>NIAV2020/21</t>
  </si>
  <si>
    <t>BR2020/21</t>
  </si>
  <si>
    <t>ENIA2020/21</t>
  </si>
  <si>
    <t>BPC2020/21</t>
  </si>
  <si>
    <t>£m 18/19</t>
  </si>
  <si>
    <t>nominal</t>
  </si>
  <si>
    <t>2.11 TO ORA</t>
  </si>
  <si>
    <t>2.11 SO ORA</t>
  </si>
  <si>
    <r>
      <t>Revenue from curtailed Interruptible Entry Capacity (RFIEC</t>
    </r>
    <r>
      <rPr>
        <vertAlign val="subscript"/>
        <sz val="10"/>
        <rFont val="Gili"/>
      </rPr>
      <t>t</t>
    </r>
    <r>
      <rPr>
        <sz val="10"/>
        <rFont val="Gili"/>
      </rPr>
      <t>)</t>
    </r>
  </si>
  <si>
    <r>
      <t>Revenue from sale of curtailed Off-Peak Exit Capacity (RFOPExC</t>
    </r>
    <r>
      <rPr>
        <vertAlign val="subscript"/>
        <sz val="10"/>
        <rFont val="Gili"/>
      </rPr>
      <t>t</t>
    </r>
    <r>
      <rPr>
        <sz val="10"/>
        <rFont val="Gili"/>
      </rPr>
      <t>)</t>
    </r>
  </si>
  <si>
    <r>
      <t>Calculation of constraint management operational costs (CMOpC</t>
    </r>
    <r>
      <rPr>
        <vertAlign val="subscript"/>
        <sz val="10"/>
        <rFont val="Gili"/>
      </rPr>
      <t>t</t>
    </r>
    <r>
      <rPr>
        <sz val="10"/>
        <rFont val="Gili"/>
      </rPr>
      <t>)</t>
    </r>
  </si>
  <si>
    <r>
      <t>Calculation of constraint management investment costs (CMInvC</t>
    </r>
    <r>
      <rPr>
        <vertAlign val="subscript"/>
        <sz val="10"/>
        <rFont val="Gili"/>
      </rPr>
      <t>t</t>
    </r>
    <r>
      <rPr>
        <sz val="10"/>
        <rFont val="Gili"/>
      </rPr>
      <t>)</t>
    </r>
  </si>
  <si>
    <t>SO External Incentives, Revenues and Costs (SOIRCt)</t>
  </si>
  <si>
    <t>Day ahead demand forecasting incentivised average forecast error (DAFIEt)</t>
  </si>
  <si>
    <t>Demand forecasting short-cycle storage adjustment (DFSAt)</t>
  </si>
  <si>
    <t>DFSAt</t>
  </si>
  <si>
    <t>Venting Emissions Performance (VEPt)</t>
  </si>
  <si>
    <t xml:space="preserve">VIPMt </t>
  </si>
  <si>
    <t>NARMAHt</t>
  </si>
  <si>
    <t>NLAAHt</t>
  </si>
  <si>
    <t>Asset Health NARM componenet</t>
  </si>
  <si>
    <t>Asset Health Non lead asset component</t>
  </si>
  <si>
    <t>Non -Operational IT Capex</t>
  </si>
  <si>
    <t xml:space="preserve">Net Zero and Re-opener Development Fund </t>
  </si>
  <si>
    <t>TOAOC</t>
  </si>
  <si>
    <t>name</t>
  </si>
  <si>
    <t>TOALC</t>
  </si>
  <si>
    <t>TOARC</t>
  </si>
  <si>
    <t>TOACO</t>
  </si>
  <si>
    <t>TOAIO</t>
  </si>
  <si>
    <t>TOANC</t>
  </si>
  <si>
    <t>TOALCU</t>
  </si>
  <si>
    <t>TOARCU</t>
  </si>
  <si>
    <t>TOAOCU</t>
  </si>
  <si>
    <t>TOACOU</t>
  </si>
  <si>
    <t>TOAIOU</t>
  </si>
  <si>
    <t>TOANCU</t>
  </si>
  <si>
    <t>TOPREDRSt</t>
  </si>
  <si>
    <t>TOPOSDRSt</t>
  </si>
  <si>
    <t>TOOIDRSt</t>
  </si>
  <si>
    <t>TOIDRSt</t>
  </si>
  <si>
    <t>SOSOANC</t>
  </si>
  <si>
    <t>SOSOACO</t>
  </si>
  <si>
    <t>TONARMRt</t>
  </si>
  <si>
    <t>TOPSUPRAt</t>
  </si>
  <si>
    <t>TORDFRt</t>
  </si>
  <si>
    <t>TOBTRRAt</t>
  </si>
  <si>
    <t>TOCEPRAt</t>
  </si>
  <si>
    <t>TOKLSRAt</t>
  </si>
  <si>
    <t>TONLARt</t>
  </si>
  <si>
    <t>TORARt</t>
  </si>
  <si>
    <t>TONARMAHOt</t>
  </si>
  <si>
    <t>TONARMAHRt</t>
  </si>
  <si>
    <t>TOCROTOt</t>
  </si>
  <si>
    <t>TOCROTROt</t>
  </si>
  <si>
    <t>TOCRITOt</t>
  </si>
  <si>
    <t>TOCRITROt</t>
  </si>
  <si>
    <t>TOPSUPOt</t>
  </si>
  <si>
    <t>TOPSUPROt</t>
  </si>
  <si>
    <t>TONZOt</t>
  </si>
  <si>
    <t>TONZROt</t>
  </si>
  <si>
    <t>TONOITt</t>
  </si>
  <si>
    <t>TOCAMt</t>
  </si>
  <si>
    <t>TONZPt</t>
  </si>
  <si>
    <t>TOBTROt</t>
  </si>
  <si>
    <t>TOBTRROt</t>
  </si>
  <si>
    <t>TOCEPOt</t>
  </si>
  <si>
    <t>TOCEPROt</t>
  </si>
  <si>
    <t>TOKLSOt</t>
  </si>
  <si>
    <t>TOKLSROt</t>
  </si>
  <si>
    <t>TOFIOCOt</t>
  </si>
  <si>
    <t>TOFIOCROt</t>
  </si>
  <si>
    <t>TOAHt</t>
  </si>
  <si>
    <t>TONLAHOt</t>
  </si>
  <si>
    <t>TONLAHRt</t>
  </si>
  <si>
    <t>TOQLt and PDt</t>
  </si>
  <si>
    <t>SOCROTOt</t>
  </si>
  <si>
    <t>SOCROTROt</t>
  </si>
  <si>
    <t>SOCRITOt</t>
  </si>
  <si>
    <t>SOCRITROt</t>
  </si>
  <si>
    <t>SONZOt</t>
  </si>
  <si>
    <t>SONZROt</t>
  </si>
  <si>
    <t>SONOITt</t>
  </si>
  <si>
    <t>SOFIOCROt</t>
  </si>
  <si>
    <t>SOFIOCOt</t>
  </si>
  <si>
    <t>TOCSPt</t>
  </si>
  <si>
    <t>TOLFt</t>
  </si>
  <si>
    <t>TORBt</t>
  </si>
  <si>
    <t>TOEDEt</t>
  </si>
  <si>
    <t>TOOPTCt</t>
  </si>
  <si>
    <t>TOPTVt</t>
  </si>
  <si>
    <t>TORBDt</t>
  </si>
  <si>
    <t>TOBPDt</t>
  </si>
  <si>
    <t>TOALTt</t>
  </si>
  <si>
    <t xml:space="preserve">TOProvisionalBadDebtcost </t>
  </si>
  <si>
    <t>TOActualBadDebtcostincurred</t>
  </si>
  <si>
    <t>TOInterestincomeaccruedadjustment</t>
  </si>
  <si>
    <t>TOActualoperationaltransportemissions</t>
  </si>
  <si>
    <t>SOCDSPt</t>
  </si>
  <si>
    <t>SOSOEDEt</t>
  </si>
  <si>
    <t xml:space="preserve">SOProvisionalBadDebtcost </t>
  </si>
  <si>
    <t>SOActualBadDebtcostincurred</t>
  </si>
  <si>
    <t>SOInterestincomeaccruedadjustment</t>
  </si>
  <si>
    <t>SOSORBDt</t>
  </si>
  <si>
    <t>linked to revenue tabs</t>
  </si>
  <si>
    <t>m3</t>
  </si>
  <si>
    <t>TOActualbusinessmileageemissions</t>
  </si>
  <si>
    <t>TOTotalannualoperationalandofficewaste</t>
  </si>
  <si>
    <t>TOTotalannualoperationalandofficewasterecycled</t>
  </si>
  <si>
    <t>TOActualofficewaste</t>
  </si>
  <si>
    <t>TOActualwateruse</t>
  </si>
  <si>
    <t xml:space="preserve">TONumberofQualifyingProjectswithnetEnvironmentalGainequaltoorabove15% </t>
  </si>
  <si>
    <t xml:space="preserve">TONumberofQualifyingProjectswithnetEnvironmentalGainequaltoorlessthan5% </t>
  </si>
  <si>
    <t>TOActualEnvironmentalValue</t>
  </si>
  <si>
    <t>TONZPSt</t>
  </si>
  <si>
    <t>Contractor vehicles</t>
  </si>
  <si>
    <t>Operational Delivery</t>
  </si>
  <si>
    <t>Commercial and Incentives</t>
  </si>
  <si>
    <t>National Control</t>
  </si>
  <si>
    <t>Markets</t>
  </si>
  <si>
    <t>System Capability and Risk</t>
  </si>
  <si>
    <t>NonOp Capex</t>
  </si>
  <si>
    <r>
      <t>BTO</t>
    </r>
    <r>
      <rPr>
        <vertAlign val="subscript"/>
        <sz val="11"/>
        <rFont val="Calibri "/>
      </rPr>
      <t>t</t>
    </r>
  </si>
  <si>
    <t>BTOt</t>
  </si>
  <si>
    <t>Actual bad debt cost incurred</t>
  </si>
  <si>
    <t>HyNet</t>
  </si>
  <si>
    <t>Actual Bad debt costs incurred</t>
  </si>
  <si>
    <t>ISt</t>
  </si>
  <si>
    <t>NZPSt</t>
  </si>
  <si>
    <t>CRITREt</t>
  </si>
  <si>
    <t>CROTREt</t>
  </si>
  <si>
    <t>Consumed Hours</t>
  </si>
  <si>
    <t>Trigger for Application</t>
  </si>
  <si>
    <t>/ Outline of needs case</t>
  </si>
  <si>
    <t>Outline of preferred</t>
  </si>
  <si>
    <t>Methodology used to arrive at</t>
  </si>
  <si>
    <t>preferred option</t>
  </si>
  <si>
    <t xml:space="preserve">Any broader regulatory / </t>
  </si>
  <si>
    <t>policy issues</t>
  </si>
  <si>
    <t>Evidence used to justify level of</t>
  </si>
  <si>
    <t>cost requested</t>
  </si>
  <si>
    <t>Name</t>
  </si>
  <si>
    <t>Movement</t>
  </si>
  <si>
    <t>Comp Unit</t>
  </si>
  <si>
    <t>1.2</t>
  </si>
  <si>
    <t>Resilience Interface</t>
  </si>
  <si>
    <t>3.1</t>
  </si>
  <si>
    <t>3.2</t>
  </si>
  <si>
    <t>3.3</t>
  </si>
  <si>
    <t>3.4</t>
  </si>
  <si>
    <t>3.5</t>
  </si>
  <si>
    <t>4.9</t>
  </si>
  <si>
    <t>4.10</t>
  </si>
  <si>
    <t>4.11</t>
  </si>
  <si>
    <t>4.12</t>
  </si>
  <si>
    <t>4.13</t>
  </si>
  <si>
    <t>4.14</t>
  </si>
  <si>
    <t>5.9</t>
  </si>
  <si>
    <t>7.1</t>
  </si>
  <si>
    <t>7.2</t>
  </si>
  <si>
    <t>7.3</t>
  </si>
  <si>
    <t>7.4</t>
  </si>
  <si>
    <t>7.5</t>
  </si>
  <si>
    <t>7.6</t>
  </si>
  <si>
    <t>7.7</t>
  </si>
  <si>
    <t>7.8</t>
  </si>
  <si>
    <t>8.1</t>
  </si>
  <si>
    <t>8.2</t>
  </si>
  <si>
    <t>8.3</t>
  </si>
  <si>
    <t>8.4</t>
  </si>
  <si>
    <t>8.5</t>
  </si>
  <si>
    <t>8.6</t>
  </si>
  <si>
    <t>8.7</t>
  </si>
  <si>
    <t>8.8</t>
  </si>
  <si>
    <t>8.9</t>
  </si>
  <si>
    <t>8.10</t>
  </si>
  <si>
    <t>9.1</t>
  </si>
  <si>
    <t>9.2</t>
  </si>
  <si>
    <t>9.3</t>
  </si>
  <si>
    <t>9.4</t>
  </si>
  <si>
    <t>9.5</t>
  </si>
  <si>
    <t>9.6</t>
  </si>
  <si>
    <t>9.7</t>
  </si>
  <si>
    <t>9.8</t>
  </si>
  <si>
    <t>9.9</t>
  </si>
  <si>
    <t>9.10</t>
  </si>
  <si>
    <t>9.11</t>
  </si>
  <si>
    <t>9.12</t>
  </si>
  <si>
    <t>NTS shrinkage report</t>
  </si>
  <si>
    <t>NTS shrinkage (prompt and price targets)</t>
  </si>
  <si>
    <t>Residual balancing incentive</t>
  </si>
  <si>
    <t>GHG Inventive report</t>
  </si>
  <si>
    <t>Maintenance incentive report</t>
  </si>
  <si>
    <t>Demand forecasting (D-1) incentive report</t>
  </si>
  <si>
    <t>Demand forecasting (D-2-D-5) report</t>
  </si>
  <si>
    <t xml:space="preserve">Petergorough </t>
  </si>
  <si>
    <t xml:space="preserve">Kings Lynn </t>
  </si>
  <si>
    <t>Non-lead assets</t>
  </si>
  <si>
    <t>Other network operating costs</t>
  </si>
  <si>
    <t>Other Indirect</t>
  </si>
  <si>
    <t>Other indirect</t>
  </si>
  <si>
    <t>Actual / Forecast Totex</t>
  </si>
  <si>
    <t>Cost/Vol</t>
  </si>
  <si>
    <t>Act/Fcast</t>
  </si>
  <si>
    <t>Allwnce</t>
  </si>
  <si>
    <t>variance</t>
  </si>
  <si>
    <t>2.13 SO tax pools Totex allocations</t>
  </si>
  <si>
    <t>2.12 TO  tax pools Totex allocations</t>
  </si>
  <si>
    <t>these actuals are not captured anywhere in pack</t>
  </si>
  <si>
    <t>Direct/Indirect</t>
  </si>
  <si>
    <t>linked from9.12 mtce IR</t>
  </si>
  <si>
    <t>ECCt</t>
  </si>
  <si>
    <t>linked from 9.12 ghg</t>
  </si>
  <si>
    <t>linked to 9.1 OM</t>
  </si>
  <si>
    <t>linked to 8.4 constraints</t>
  </si>
  <si>
    <t>linked to 8.6 NIA</t>
  </si>
  <si>
    <t>Links to '9.4_Gas_contraints' of the Cost RRP</t>
  </si>
  <si>
    <t>link from TO indirects tab price base conversion to nominal</t>
  </si>
  <si>
    <r>
      <t xml:space="preserve">no source in pack direct input, </t>
    </r>
    <r>
      <rPr>
        <i/>
        <sz val="11"/>
        <color theme="4"/>
        <rFont val="Calibri"/>
        <family val="2"/>
        <scheme val="minor"/>
      </rPr>
      <t>value to be taken from SIF funding direction</t>
    </r>
  </si>
  <si>
    <t>Total (ECNIAt)</t>
  </si>
  <si>
    <r>
      <t xml:space="preserve">Unrecoverable CNIA Expenditure </t>
    </r>
    <r>
      <rPr>
        <b/>
        <sz val="11"/>
        <rFont val="Arial"/>
        <family val="2"/>
      </rPr>
      <t>(CNIARt)</t>
    </r>
  </si>
  <si>
    <t>linked to 8.8 CNIA</t>
  </si>
  <si>
    <t>no link in C&amp;O Pack direct input</t>
  </si>
  <si>
    <t>linked to DF overview</t>
  </si>
  <si>
    <t>check if link or direct input</t>
  </si>
  <si>
    <t>linked to DF adjustment</t>
  </si>
  <si>
    <t>not in pack input</t>
  </si>
  <si>
    <t>input cells</t>
  </si>
  <si>
    <t>to be removed??</t>
  </si>
  <si>
    <t>linked to shirnkage tab</t>
  </si>
  <si>
    <t>linked to 8.1 satisfaction tab</t>
  </si>
  <si>
    <t>linked to 8.2 env scorecard</t>
  </si>
  <si>
    <t>no link in pack direct input</t>
  </si>
  <si>
    <t>(Draft V.1.12)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</si>
</sst>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64" formatCode="_(* #,##0.00_);_(* \(#,##0.00\);_(* &quot;-&quot;??_);_(@_)"/>
    <numFmt numFmtId="165" formatCode="0.0"/>
    <numFmt numFmtId="166" formatCode="_-[$€-2]* #,##0.00_-;\-[$€-2]* #,##0.00_-;_-[$€-2]* &quot;-&quot;??_-"/>
    <numFmt numFmtId="167" formatCode="_-* #,##0.0_-;\-* #,##0.0_-;_-* &quot;-&quot;??_-;_-@_-"/>
    <numFmt numFmtId="168" formatCode="#,##0.00;[Red]\-#,##0.00;\-"/>
    <numFmt numFmtId="169" formatCode="[$$-409]#,##0.00"/>
    <numFmt numFmtId="170" formatCode="#,##0.0_);\(#,##0.0\);\-_)"/>
    <numFmt numFmtId="171" formatCode="_-* #,##0.0_-;\-* #,##0.0_-;_-* &quot;-&quot;?_-;_-@_-"/>
    <numFmt numFmtId="172" formatCode="#,##0.00;\(#,##0.00\)"/>
    <numFmt numFmtId="173" formatCode="dd/mm/yyyy;@"/>
    <numFmt numFmtId="174" formatCode="_-* #,##0_-;\-* #,##0_-;_-* &quot;-&quot;??_-;_-@_-"/>
    <numFmt numFmtId="175" formatCode="&quot;£&quot;#,##0"/>
    <numFmt numFmtId="176" formatCode="0.000"/>
    <numFmt numFmtId="177" formatCode="#,##0.000;[Red]\-#,##0.000"/>
    <numFmt numFmtId="178" formatCode="&quot;£&quot;#,##0_);[Red]\(&quot;£&quot;#,##0\)"/>
    <numFmt numFmtId="179" formatCode="&quot;£&quot;#,##0.000"/>
    <numFmt numFmtId="180" formatCode="#,##0.00_);\(#,##0.00\);\-_)"/>
    <numFmt numFmtId="181" formatCode="#,##0.00;[Red]\-#,##0.00;0.00"/>
    <numFmt numFmtId="182" formatCode="_-* #,##0.000_-;\-* #,##0.000_-;_-* &quot;-&quot;??_-;_-@_-"/>
    <numFmt numFmtId="183" formatCode="#,##0.0_ ;[Red]\-#,##0.0\ "/>
    <numFmt numFmtId="184" formatCode="0.0%"/>
    <numFmt numFmtId="185" formatCode="#,##0.0000_ ;[Red]\-#,##0.0000\ "/>
    <numFmt numFmtId="186" formatCode="_(* #,##0_);_(* \(#,##0\);_(* &quot;-&quot;??_);_(@_)"/>
    <numFmt numFmtId="187" formatCode="[$-F800]dddd\,\ mmmm\ dd\,\ yyyy"/>
    <numFmt numFmtId="188" formatCode="_-* #,##0.000_-;\-* #,##0.000_-;_-* &quot;-&quot;???_-;_-@_-"/>
    <numFmt numFmtId="189" formatCode="#,##0.000"/>
    <numFmt numFmtId="190" formatCode="#,##0.000;[Red]\-#,##0.000;0.000"/>
    <numFmt numFmtId="191" formatCode="_-* #,##0.00_-;\-* #,##0.00_-;_-* &quot;-&quot;???_-;_-@_-"/>
    <numFmt numFmtId="192" formatCode="#,##0.00_ ;\-#,##0.00\ "/>
    <numFmt numFmtId="193" formatCode="#,##0.000_ ;\-#,##0.000\ "/>
    <numFmt numFmtId="194" formatCode="#,##0_ ;\-#,##0\ "/>
    <numFmt numFmtId="195" formatCode="#,##0.0_ ;\-#,##0.0\ "/>
    <numFmt numFmtId="196" formatCode="_(* #,##0.000_);_(* \(#,##0.000\);_(* &quot;-&quot;??_);_(@_)"/>
    <numFmt numFmtId="197" formatCode="#,##0.00%_);\(#,##0.00%\);\-_)"/>
    <numFmt numFmtId="198" formatCode="#,##0.0000_);\(#,##0.0000\);\-_)"/>
    <numFmt numFmtId="199" formatCode="_(* #,##0_);_(* \(#,##0\);_(* &quot;-&quot;_);_(@_)"/>
    <numFmt numFmtId="200" formatCode="_-* #,##0_-;\-* #,##0_-;_-* &quot;-&quot;?_-;_-@_-"/>
    <numFmt numFmtId="201" formatCode="_-* #,##0.00_-;\-* #,##0.00_-;_-* &quot;-&quot;?_-;_-@_-"/>
    <numFmt numFmtId="202" formatCode="_-* #,##0.0000_-;\-* #,##0.0000_-;_-* &quot;-&quot;?_-;_-@_-"/>
    <numFmt numFmtId="203" formatCode="_-* #,##0.000_-;\-* #,##0.000_-;_-* &quot;-&quot;?_-;_-@_-"/>
    <numFmt numFmtId="204" formatCode="&quot;£&quot;#,##0.00"/>
    <numFmt numFmtId="205" formatCode="&quot;£&quot;#,##0.0"/>
  </numFmts>
  <fonts count="171">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i/>
      <sz val="10"/>
      <color theme="0" tint="-0.499984740745262"/>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b/>
      <sz val="9"/>
      <color indexed="81"/>
      <name val="Tahoma"/>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i/>
      <u/>
      <sz val="10"/>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b/>
      <sz val="11"/>
      <color theme="0" tint="-4.9989318521683403E-2"/>
      <name val="Verdana"/>
      <family val="2"/>
    </font>
    <font>
      <sz val="10"/>
      <color theme="0" tint="-4.9989318521683403E-2"/>
      <name val="Verdana"/>
      <family val="2"/>
    </font>
    <font>
      <u/>
      <sz val="10"/>
      <color theme="1"/>
      <name val="Verdana"/>
      <family val="2"/>
    </font>
    <font>
      <b/>
      <sz val="12"/>
      <color theme="0" tint="-4.9989318521683403E-2"/>
      <name val="Gill Sans MT"/>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sz val="10"/>
      <color theme="0" tint="-0.249977111117893"/>
      <name val="Verdana"/>
      <family val="2"/>
    </font>
    <font>
      <sz val="10"/>
      <color theme="0" tint="-0.499984740745262"/>
      <name val="Verdana"/>
      <family val="2"/>
    </font>
    <font>
      <sz val="10"/>
      <color theme="0" tint="-0.499984740745262"/>
      <name val="Gill Sans MT"/>
      <family val="2"/>
    </font>
    <font>
      <b/>
      <sz val="10"/>
      <color indexed="8"/>
      <name val="Verdana"/>
      <family val="2"/>
    </font>
    <font>
      <b/>
      <u/>
      <sz val="10"/>
      <name val="Verdana"/>
      <family val="2"/>
    </font>
    <font>
      <sz val="11"/>
      <color theme="1"/>
      <name val="Arial"/>
      <family val="2"/>
    </font>
    <font>
      <sz val="16"/>
      <name val="Arial"/>
      <family val="2"/>
    </font>
    <font>
      <b/>
      <sz val="10"/>
      <color theme="9"/>
      <name val="Verdana"/>
      <family val="2"/>
    </font>
    <font>
      <sz val="10"/>
      <color theme="9"/>
      <name val="Verdana"/>
      <family val="2"/>
    </font>
    <font>
      <sz val="11"/>
      <color rgb="FFFF0000"/>
      <name val="Arial"/>
      <family val="2"/>
    </font>
    <font>
      <sz val="11"/>
      <color theme="9"/>
      <name val="Arial"/>
      <family val="2"/>
    </font>
    <font>
      <b/>
      <sz val="11"/>
      <color theme="9"/>
      <name val="Arial"/>
      <family val="2"/>
    </font>
    <font>
      <b/>
      <i/>
      <sz val="10"/>
      <color theme="1"/>
      <name val="Verdana"/>
      <family val="2"/>
    </font>
    <font>
      <i/>
      <sz val="11"/>
      <name val="Arial"/>
      <family val="2"/>
    </font>
    <font>
      <i/>
      <sz val="11"/>
      <name val="Calibri"/>
      <family val="2"/>
      <scheme val="minor"/>
    </font>
    <font>
      <i/>
      <sz val="11"/>
      <color theme="4"/>
      <name val="Calibri"/>
      <family val="2"/>
      <scheme val="minor"/>
    </font>
  </fonts>
  <fills count="56">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rgb="FFCCFFCC"/>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indexed="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rgb="FFAAF6C5"/>
        <bgColor indexed="64"/>
      </patternFill>
    </fill>
    <fill>
      <patternFill patternType="solid">
        <fgColor rgb="FFFFCCCC"/>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rgb="FFFFFFFF"/>
        <bgColor indexed="64"/>
      </patternFill>
    </fill>
  </fills>
  <borders count="7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s>
  <cellStyleXfs count="161">
    <xf numFmtId="0" fontId="0" fillId="0" borderId="0"/>
    <xf numFmtId="0" fontId="14" fillId="0" borderId="0"/>
    <xf numFmtId="0" fontId="14" fillId="0" borderId="0"/>
    <xf numFmtId="0" fontId="15" fillId="0" borderId="0"/>
    <xf numFmtId="0" fontId="17" fillId="0" borderId="0"/>
    <xf numFmtId="0" fontId="14" fillId="0" borderId="0"/>
    <xf numFmtId="0" fontId="15" fillId="0" borderId="0"/>
    <xf numFmtId="0" fontId="15" fillId="0" borderId="0"/>
    <xf numFmtId="0" fontId="22" fillId="0" borderId="0"/>
    <xf numFmtId="0" fontId="17" fillId="0" borderId="0"/>
    <xf numFmtId="0" fontId="15" fillId="0" borderId="0"/>
    <xf numFmtId="0" fontId="13" fillId="0" borderId="0"/>
    <xf numFmtId="166" fontId="17" fillId="0" borderId="0"/>
    <xf numFmtId="0" fontId="15" fillId="0" borderId="0"/>
    <xf numFmtId="0" fontId="15" fillId="0" borderId="0"/>
    <xf numFmtId="0" fontId="22" fillId="0" borderId="0"/>
    <xf numFmtId="0" fontId="22" fillId="0" borderId="0"/>
    <xf numFmtId="0" fontId="17" fillId="0" borderId="0" applyFont="0" applyFill="0" applyBorder="0" applyAlignment="0" applyProtection="0"/>
    <xf numFmtId="0" fontId="22" fillId="0" borderId="0"/>
    <xf numFmtId="0" fontId="22" fillId="0" borderId="0"/>
    <xf numFmtId="0" fontId="15" fillId="0" borderId="0"/>
    <xf numFmtId="0" fontId="15" fillId="0" borderId="0"/>
    <xf numFmtId="0" fontId="15" fillId="0" borderId="0"/>
    <xf numFmtId="0" fontId="22" fillId="0" borderId="0"/>
    <xf numFmtId="164" fontId="22" fillId="0" borderId="0" applyFont="0" applyFill="0" applyBorder="0" applyAlignment="0" applyProtection="0"/>
    <xf numFmtId="0" fontId="15" fillId="0" borderId="0"/>
    <xf numFmtId="164" fontId="17" fillId="0" borderId="0" applyFont="0" applyFill="0" applyBorder="0" applyAlignment="0" applyProtection="0"/>
    <xf numFmtId="0" fontId="15" fillId="0" borderId="0"/>
    <xf numFmtId="0" fontId="17" fillId="0" borderId="0"/>
    <xf numFmtId="164" fontId="17" fillId="0" borderId="0" applyFont="0" applyFill="0" applyBorder="0" applyAlignment="0" applyProtection="0"/>
    <xf numFmtId="9" fontId="17" fillId="0" borderId="0" applyFont="0" applyFill="0" applyBorder="0" applyAlignment="0" applyProtection="0"/>
    <xf numFmtId="0" fontId="14" fillId="0" borderId="0"/>
    <xf numFmtId="0" fontId="15" fillId="0" borderId="0"/>
    <xf numFmtId="0" fontId="31" fillId="0" borderId="0" applyNumberFormat="0" applyFill="0" applyBorder="0" applyAlignment="0" applyProtection="0">
      <alignment vertical="top"/>
      <protection locked="0"/>
    </xf>
    <xf numFmtId="0" fontId="15" fillId="0" borderId="0"/>
    <xf numFmtId="0" fontId="37" fillId="6" borderId="0" applyNumberFormat="0" applyBorder="0" applyAlignment="0" applyProtection="0"/>
    <xf numFmtId="0" fontId="36" fillId="6" borderId="0" applyNumberFormat="0" applyBorder="0" applyAlignment="0" applyProtection="0"/>
    <xf numFmtId="0" fontId="35" fillId="7" borderId="0" applyNumberFormat="0" applyBorder="0" applyAlignment="0" applyProtection="0"/>
    <xf numFmtId="0" fontId="15" fillId="8" borderId="0" applyNumberFormat="0" applyBorder="0" applyAlignment="0" applyProtection="0"/>
    <xf numFmtId="0" fontId="15" fillId="0" borderId="15" applyNumberFormat="0" applyFill="0" applyAlignment="0" applyProtection="0"/>
    <xf numFmtId="0" fontId="15" fillId="13" borderId="0" applyNumberFormat="0" applyFont="0" applyBorder="0" applyAlignment="0" applyProtection="0"/>
    <xf numFmtId="0" fontId="15" fillId="10" borderId="0" applyNumberFormat="0" applyBorder="0" applyAlignment="0" applyProtection="0"/>
    <xf numFmtId="4" fontId="15" fillId="5" borderId="0" applyBorder="0" applyAlignment="0" applyProtection="0"/>
    <xf numFmtId="0" fontId="15" fillId="0" borderId="0"/>
    <xf numFmtId="4" fontId="15" fillId="12" borderId="0"/>
    <xf numFmtId="4" fontId="15" fillId="11" borderId="0"/>
    <xf numFmtId="4" fontId="15" fillId="9" borderId="0"/>
    <xf numFmtId="0" fontId="28" fillId="0" borderId="2" applyFill="0"/>
    <xf numFmtId="0" fontId="38" fillId="0" borderId="0" applyFill="0" applyBorder="0"/>
    <xf numFmtId="9" fontId="15" fillId="0" borderId="0" applyFont="0" applyFill="0" applyBorder="0" applyAlignment="0" applyProtection="0"/>
    <xf numFmtId="0" fontId="13" fillId="0" borderId="0"/>
    <xf numFmtId="0" fontId="37" fillId="6" borderId="0" applyNumberFormat="0" applyBorder="0" applyAlignment="0" applyProtection="0"/>
    <xf numFmtId="0" fontId="36" fillId="6" borderId="0" applyNumberFormat="0" applyBorder="0" applyAlignment="0" applyProtection="0"/>
    <xf numFmtId="0" fontId="15" fillId="0" borderId="0"/>
    <xf numFmtId="0" fontId="22" fillId="0" borderId="0"/>
    <xf numFmtId="0" fontId="19" fillId="0" borderId="0"/>
    <xf numFmtId="0" fontId="22" fillId="0" borderId="0"/>
    <xf numFmtId="0" fontId="13" fillId="0" borderId="0"/>
    <xf numFmtId="0" fontId="17" fillId="0" borderId="0"/>
    <xf numFmtId="0" fontId="15" fillId="0" borderId="0"/>
    <xf numFmtId="0" fontId="15" fillId="0" borderId="0"/>
    <xf numFmtId="9" fontId="22" fillId="0" borderId="0" applyFont="0" applyFill="0" applyBorder="0" applyAlignment="0" applyProtection="0"/>
    <xf numFmtId="0" fontId="15" fillId="0" borderId="0"/>
    <xf numFmtId="0" fontId="15" fillId="0" borderId="0"/>
    <xf numFmtId="0" fontId="40" fillId="0" borderId="0" applyNumberFormat="0" applyFill="0" applyBorder="0" applyAlignment="0" applyProtection="0">
      <alignment vertical="top"/>
      <protection locked="0"/>
    </xf>
    <xf numFmtId="0" fontId="15" fillId="0" borderId="0"/>
    <xf numFmtId="0" fontId="41"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169" fontId="15" fillId="0" borderId="0"/>
    <xf numFmtId="169" fontId="22" fillId="0" borderId="0"/>
    <xf numFmtId="169" fontId="22" fillId="0" borderId="0"/>
    <xf numFmtId="0" fontId="15" fillId="0" borderId="0"/>
    <xf numFmtId="169" fontId="42" fillId="0" borderId="0"/>
    <xf numFmtId="169" fontId="17" fillId="0" borderId="0"/>
    <xf numFmtId="0" fontId="15" fillId="0" borderId="0"/>
    <xf numFmtId="169" fontId="22" fillId="0" borderId="0"/>
    <xf numFmtId="169" fontId="17" fillId="0" borderId="0"/>
    <xf numFmtId="164" fontId="14" fillId="0" borderId="0" applyFont="0" applyFill="0" applyBorder="0" applyAlignment="0" applyProtection="0"/>
    <xf numFmtId="0" fontId="15" fillId="0" borderId="0"/>
    <xf numFmtId="169" fontId="41" fillId="0" borderId="0" applyNumberFormat="0" applyFill="0" applyBorder="0" applyAlignment="0" applyProtection="0">
      <alignment vertical="top"/>
      <protection locked="0"/>
    </xf>
    <xf numFmtId="0" fontId="40" fillId="0" borderId="0" applyNumberFormat="0" applyFill="0" applyBorder="0" applyAlignment="0" applyProtection="0"/>
    <xf numFmtId="0" fontId="14" fillId="0" borderId="0"/>
    <xf numFmtId="0" fontId="15" fillId="0" borderId="0"/>
    <xf numFmtId="0" fontId="17" fillId="0" borderId="0"/>
    <xf numFmtId="170" fontId="43" fillId="18" borderId="0" applyBorder="0">
      <alignment vertical="center"/>
    </xf>
    <xf numFmtId="0" fontId="17" fillId="0" borderId="0"/>
    <xf numFmtId="164" fontId="15" fillId="0" borderId="0" applyFont="0" applyFill="0" applyBorder="0" applyAlignment="0" applyProtection="0"/>
    <xf numFmtId="168" fontId="15" fillId="19" borderId="2">
      <alignment vertical="center"/>
    </xf>
    <xf numFmtId="9" fontId="22" fillId="0" borderId="0" applyFont="0" applyFill="0" applyBorder="0" applyAlignment="0" applyProtection="0"/>
    <xf numFmtId="168" fontId="15" fillId="17" borderId="2">
      <alignment vertical="center"/>
      <protection locked="0"/>
    </xf>
    <xf numFmtId="0" fontId="14" fillId="0" borderId="0">
      <alignment vertical="top"/>
    </xf>
    <xf numFmtId="9" fontId="15" fillId="0" borderId="0" applyFont="0" applyFill="0" applyBorder="0" applyAlignment="0" applyProtection="0"/>
    <xf numFmtId="170" fontId="44" fillId="2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69" fontId="8" fillId="0" borderId="0"/>
    <xf numFmtId="0" fontId="5" fillId="0" borderId="0"/>
    <xf numFmtId="0" fontId="17" fillId="0" borderId="0"/>
    <xf numFmtId="0" fontId="4" fillId="0" borderId="0"/>
    <xf numFmtId="0"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applyFont="0" applyFill="0" applyBorder="0" applyAlignment="0" applyProtection="0"/>
    <xf numFmtId="0" fontId="17" fillId="0" borderId="0"/>
    <xf numFmtId="0" fontId="17" fillId="0" borderId="0" applyFont="0" applyFill="0" applyBorder="0" applyAlignment="0" applyProtection="0"/>
    <xf numFmtId="9" fontId="17" fillId="0" borderId="0" applyFont="0" applyFill="0" applyBorder="0" applyAlignment="0" applyProtection="0"/>
    <xf numFmtId="0" fontId="79"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3" fillId="0" borderId="0"/>
    <xf numFmtId="0" fontId="13" fillId="0" borderId="0"/>
    <xf numFmtId="0" fontId="90" fillId="34" borderId="0" applyNumberFormat="0" applyBorder="0" applyAlignment="0" applyProtection="0"/>
    <xf numFmtId="0" fontId="3" fillId="0" borderId="0"/>
    <xf numFmtId="0" fontId="2" fillId="0" borderId="0"/>
    <xf numFmtId="0" fontId="17"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4" fontId="1" fillId="0" borderId="0" applyFont="0" applyFill="0" applyBorder="0" applyAlignment="0" applyProtection="0"/>
    <xf numFmtId="170" fontId="131" fillId="31" borderId="0"/>
    <xf numFmtId="164" fontId="1" fillId="0" borderId="0" applyFont="0" applyFill="0" applyBorder="0" applyAlignment="0" applyProtection="0"/>
    <xf numFmtId="9" fontId="1" fillId="0" borderId="0" applyFont="0" applyFill="0" applyBorder="0" applyAlignment="0" applyProtection="0"/>
    <xf numFmtId="0" fontId="13" fillId="0" borderId="0"/>
    <xf numFmtId="170" fontId="43" fillId="29" borderId="0"/>
    <xf numFmtId="0" fontId="17" fillId="0" borderId="0"/>
    <xf numFmtId="0" fontId="1" fillId="0" borderId="0"/>
    <xf numFmtId="0" fontId="13" fillId="0" borderId="0"/>
    <xf numFmtId="0" fontId="1" fillId="0" borderId="0"/>
    <xf numFmtId="169" fontId="1" fillId="0" borderId="0"/>
    <xf numFmtId="0" fontId="1" fillId="0" borderId="0"/>
    <xf numFmtId="0" fontId="17" fillId="0" borderId="0"/>
    <xf numFmtId="4" fontId="1" fillId="11" borderId="0"/>
    <xf numFmtId="0" fontId="1" fillId="0" borderId="0"/>
    <xf numFmtId="0" fontId="14" fillId="0" borderId="0"/>
    <xf numFmtId="164" fontId="1" fillId="0" borderId="0" applyFont="0" applyFill="0" applyBorder="0" applyAlignment="0" applyProtection="0"/>
  </cellStyleXfs>
  <cellXfs count="1458">
    <xf numFmtId="0" fontId="0" fillId="0" borderId="0" xfId="0"/>
    <xf numFmtId="0" fontId="19" fillId="2" borderId="0" xfId="5" applyFont="1" applyFill="1"/>
    <xf numFmtId="0" fontId="24" fillId="2" borderId="0" xfId="5" applyFont="1" applyFill="1"/>
    <xf numFmtId="165" fontId="23" fillId="0" borderId="0" xfId="4" applyNumberFormat="1" applyFont="1" applyAlignment="1">
      <alignment horizontal="left"/>
    </xf>
    <xf numFmtId="0" fontId="16" fillId="0" borderId="0" xfId="3" applyFont="1" applyAlignment="1">
      <alignment horizontal="left"/>
    </xf>
    <xf numFmtId="0" fontId="14" fillId="0" borderId="0" xfId="1"/>
    <xf numFmtId="0" fontId="15" fillId="0" borderId="4" xfId="31" applyFont="1" applyBorder="1"/>
    <xf numFmtId="0" fontId="15" fillId="0" borderId="5" xfId="31" applyFont="1" applyBorder="1"/>
    <xf numFmtId="0" fontId="15" fillId="0" borderId="6" xfId="31" applyFont="1" applyBorder="1"/>
    <xf numFmtId="0" fontId="15" fillId="0" borderId="7" xfId="31" applyFont="1" applyBorder="1"/>
    <xf numFmtId="0" fontId="15" fillId="0" borderId="0" xfId="31" applyFont="1"/>
    <xf numFmtId="0" fontId="15" fillId="0" borderId="8" xfId="31" applyFont="1" applyBorder="1"/>
    <xf numFmtId="0" fontId="26" fillId="0" borderId="0" xfId="31" applyFont="1" applyAlignment="1">
      <alignment horizontal="center"/>
    </xf>
    <xf numFmtId="0" fontId="14" fillId="0" borderId="0" xfId="5"/>
    <xf numFmtId="0" fontId="27" fillId="0" borderId="0" xfId="5" applyFont="1"/>
    <xf numFmtId="0" fontId="15" fillId="0" borderId="9" xfId="31" applyFont="1" applyBorder="1"/>
    <xf numFmtId="0" fontId="15" fillId="0" borderId="10" xfId="31" applyFont="1" applyBorder="1"/>
    <xf numFmtId="0" fontId="15" fillId="0" borderId="11" xfId="31" applyFont="1" applyBorder="1"/>
    <xf numFmtId="0" fontId="28" fillId="0" borderId="0" xfId="8" applyFont="1"/>
    <xf numFmtId="0" fontId="0" fillId="4" borderId="0" xfId="0" applyFill="1"/>
    <xf numFmtId="0" fontId="17" fillId="4" borderId="0" xfId="0" applyFont="1" applyFill="1"/>
    <xf numFmtId="15" fontId="30" fillId="4" borderId="0" xfId="0" applyNumberFormat="1" applyFont="1" applyFill="1" applyAlignment="1" applyProtection="1">
      <alignment horizontal="center"/>
      <protection locked="0"/>
    </xf>
    <xf numFmtId="0" fontId="0" fillId="4" borderId="0" xfId="0" applyFill="1" applyAlignment="1">
      <alignment vertical="center"/>
    </xf>
    <xf numFmtId="0" fontId="17" fillId="4" borderId="0" xfId="0" applyFont="1" applyFill="1" applyAlignment="1">
      <alignment wrapText="1"/>
    </xf>
    <xf numFmtId="0" fontId="17" fillId="4" borderId="0" xfId="9" applyFill="1"/>
    <xf numFmtId="0" fontId="32" fillId="4" borderId="0" xfId="0" applyFont="1" applyFill="1"/>
    <xf numFmtId="0" fontId="32" fillId="4" borderId="0" xfId="0" applyFont="1" applyFill="1" applyAlignment="1">
      <alignment wrapText="1"/>
    </xf>
    <xf numFmtId="0" fontId="0" fillId="4" borderId="0" xfId="0" applyFill="1" applyAlignment="1">
      <alignment wrapText="1"/>
    </xf>
    <xf numFmtId="0" fontId="17" fillId="4" borderId="0" xfId="9" applyFill="1" applyAlignment="1">
      <alignment wrapText="1"/>
    </xf>
    <xf numFmtId="0" fontId="33" fillId="4" borderId="0" xfId="9" applyFont="1" applyFill="1" applyAlignment="1">
      <alignment horizontal="center"/>
    </xf>
    <xf numFmtId="0" fontId="31" fillId="4" borderId="0" xfId="33" applyFont="1" applyFill="1" applyBorder="1" applyAlignment="1" applyProtection="1"/>
    <xf numFmtId="0" fontId="20" fillId="4" borderId="0" xfId="0" applyFont="1" applyFill="1"/>
    <xf numFmtId="0" fontId="28" fillId="4" borderId="0" xfId="0" applyFont="1" applyFill="1"/>
    <xf numFmtId="0" fontId="15" fillId="4" borderId="0" xfId="0" applyFont="1" applyFill="1"/>
    <xf numFmtId="0" fontId="34" fillId="4" borderId="0" xfId="0" applyFont="1" applyFill="1"/>
    <xf numFmtId="0" fontId="20" fillId="0" borderId="0" xfId="53" applyFont="1"/>
    <xf numFmtId="0" fontId="20" fillId="13" borderId="0" xfId="40" applyFont="1"/>
    <xf numFmtId="0" fontId="35" fillId="3" borderId="0" xfId="52" applyFont="1" applyFill="1"/>
    <xf numFmtId="0" fontId="14" fillId="3" borderId="0" xfId="1" applyFill="1"/>
    <xf numFmtId="0" fontId="17" fillId="0" borderId="2" xfId="47" applyFont="1"/>
    <xf numFmtId="0" fontId="36" fillId="3" borderId="0" xfId="52" applyFill="1"/>
    <xf numFmtId="0" fontId="32" fillId="3" borderId="0" xfId="0" applyFont="1" applyFill="1"/>
    <xf numFmtId="0" fontId="39" fillId="0" borderId="0" xfId="53" applyFont="1" applyFill="1"/>
    <xf numFmtId="4" fontId="20" fillId="12" borderId="0" xfId="44" applyFont="1"/>
    <xf numFmtId="0" fontId="20" fillId="10" borderId="0" xfId="41" applyFont="1"/>
    <xf numFmtId="4" fontId="20" fillId="11" borderId="0" xfId="45" applyFont="1"/>
    <xf numFmtId="0" fontId="20" fillId="10" borderId="2" xfId="41" applyFont="1" applyBorder="1"/>
    <xf numFmtId="4" fontId="20" fillId="5" borderId="0" xfId="42" applyFont="1"/>
    <xf numFmtId="0" fontId="15" fillId="0" borderId="0" xfId="53"/>
    <xf numFmtId="165" fontId="33" fillId="0" borderId="0" xfId="4" applyNumberFormat="1" applyFont="1" applyAlignment="1">
      <alignment horizontal="left"/>
    </xf>
    <xf numFmtId="0" fontId="25" fillId="0" borderId="0" xfId="3" applyFont="1" applyAlignment="1">
      <alignment horizontal="left"/>
    </xf>
    <xf numFmtId="15" fontId="33" fillId="14" borderId="2" xfId="31" applyNumberFormat="1" applyFont="1" applyFill="1" applyBorder="1" applyAlignment="1">
      <alignment horizontal="left" vertical="top"/>
    </xf>
    <xf numFmtId="0" fontId="33" fillId="14" borderId="2" xfId="31" applyFont="1" applyFill="1" applyBorder="1" applyAlignment="1">
      <alignment horizontal="left" vertical="top"/>
    </xf>
    <xf numFmtId="0" fontId="20" fillId="0" borderId="0" xfId="0" applyFont="1" applyAlignment="1"/>
    <xf numFmtId="0" fontId="20" fillId="0" borderId="0" xfId="0" applyFont="1"/>
    <xf numFmtId="0" fontId="0" fillId="0" borderId="2" xfId="0" applyBorder="1"/>
    <xf numFmtId="165" fontId="33" fillId="0" borderId="0" xfId="4" applyNumberFormat="1" applyFont="1" applyBorder="1" applyAlignment="1">
      <alignment horizontal="left"/>
    </xf>
    <xf numFmtId="0" fontId="0" fillId="0" borderId="0" xfId="0" applyBorder="1"/>
    <xf numFmtId="0" fontId="0" fillId="0" borderId="0" xfId="0" applyFill="1"/>
    <xf numFmtId="0" fontId="17" fillId="0" borderId="0" xfId="55" applyFont="1" applyFill="1" applyBorder="1" applyAlignment="1">
      <alignment horizontal="left"/>
    </xf>
    <xf numFmtId="0" fontId="34" fillId="0" borderId="0" xfId="31" applyFont="1" applyAlignment="1">
      <alignment horizontal="right"/>
    </xf>
    <xf numFmtId="0" fontId="21" fillId="0" borderId="0" xfId="0" applyFont="1"/>
    <xf numFmtId="0" fontId="18" fillId="0" borderId="0" xfId="9" applyFont="1" applyFill="1" applyBorder="1"/>
    <xf numFmtId="0" fontId="18" fillId="0" borderId="0" xfId="55" applyFont="1" applyFill="1" applyBorder="1"/>
    <xf numFmtId="0" fontId="13" fillId="0" borderId="0" xfId="0" applyFont="1"/>
    <xf numFmtId="0" fontId="19" fillId="0" borderId="0" xfId="55" applyFont="1" applyFill="1" applyBorder="1" applyAlignment="1">
      <alignment horizontal="left"/>
    </xf>
    <xf numFmtId="0" fontId="19" fillId="0" borderId="0" xfId="5" applyFont="1"/>
    <xf numFmtId="0" fontId="45" fillId="0" borderId="0" xfId="0" applyFont="1"/>
    <xf numFmtId="0" fontId="32" fillId="22" borderId="0" xfId="0" applyFont="1" applyFill="1"/>
    <xf numFmtId="0" fontId="32" fillId="6" borderId="0" xfId="0" applyFont="1" applyFill="1"/>
    <xf numFmtId="0" fontId="32" fillId="21" borderId="0" xfId="0" applyFont="1" applyFill="1"/>
    <xf numFmtId="0" fontId="32" fillId="23" borderId="0" xfId="0" applyFont="1" applyFill="1"/>
    <xf numFmtId="0" fontId="32" fillId="15" borderId="0" xfId="0" applyFont="1" applyFill="1"/>
    <xf numFmtId="0" fontId="0" fillId="24" borderId="0" xfId="0" applyFill="1"/>
    <xf numFmtId="0" fontId="46" fillId="24" borderId="0" xfId="0" applyFont="1" applyFill="1"/>
    <xf numFmtId="0" fontId="12" fillId="0" borderId="2" xfId="0" applyFont="1" applyBorder="1" applyAlignment="1">
      <alignment horizontal="center"/>
    </xf>
    <xf numFmtId="171" fontId="12" fillId="0" borderId="0" xfId="0" applyNumberFormat="1" applyFont="1" applyAlignment="1">
      <alignment horizontal="center"/>
    </xf>
    <xf numFmtId="0" fontId="12" fillId="25" borderId="2" xfId="0" applyFont="1" applyFill="1" applyBorder="1" applyAlignment="1">
      <alignment horizontal="center"/>
    </xf>
    <xf numFmtId="0" fontId="18" fillId="2" borderId="0" xfId="5" applyFont="1" applyFill="1"/>
    <xf numFmtId="171" fontId="12" fillId="0" borderId="2" xfId="0" applyNumberFormat="1" applyFont="1" applyBorder="1" applyAlignment="1">
      <alignment horizontal="center"/>
    </xf>
    <xf numFmtId="171" fontId="0" fillId="0" borderId="0" xfId="0" applyNumberFormat="1"/>
    <xf numFmtId="171" fontId="12" fillId="25" borderId="2" xfId="0" applyNumberFormat="1" applyFont="1" applyFill="1" applyBorder="1" applyAlignment="1">
      <alignment horizontal="center"/>
    </xf>
    <xf numFmtId="0" fontId="47" fillId="0" borderId="18" xfId="0" applyFont="1" applyBorder="1" applyAlignment="1">
      <alignment horizontal="center"/>
    </xf>
    <xf numFmtId="0" fontId="47" fillId="0" borderId="19" xfId="0" applyFont="1" applyBorder="1" applyAlignment="1">
      <alignment horizontal="center"/>
    </xf>
    <xf numFmtId="0" fontId="47" fillId="0" borderId="20" xfId="0" applyFont="1" applyBorder="1" applyAlignment="1">
      <alignment horizontal="center"/>
    </xf>
    <xf numFmtId="0" fontId="45" fillId="0" borderId="3" xfId="0" applyFont="1" applyBorder="1"/>
    <xf numFmtId="0" fontId="48" fillId="0" borderId="0" xfId="0" applyFont="1"/>
    <xf numFmtId="0" fontId="34" fillId="0" borderId="0" xfId="0" applyFont="1"/>
    <xf numFmtId="0" fontId="45" fillId="26" borderId="24" xfId="0" applyFont="1" applyFill="1" applyBorder="1"/>
    <xf numFmtId="0" fontId="49" fillId="24" borderId="0" xfId="0" applyFont="1" applyFill="1"/>
    <xf numFmtId="0" fontId="32" fillId="0" borderId="20" xfId="0" applyFont="1" applyBorder="1" applyAlignment="1">
      <alignment horizontal="center"/>
    </xf>
    <xf numFmtId="0" fontId="32" fillId="0" borderId="19" xfId="0" applyFont="1" applyBorder="1" applyAlignment="1">
      <alignment horizontal="center"/>
    </xf>
    <xf numFmtId="0" fontId="32" fillId="0" borderId="18" xfId="0" applyFont="1" applyBorder="1" applyAlignment="1">
      <alignment horizontal="center"/>
    </xf>
    <xf numFmtId="171" fontId="20" fillId="11" borderId="2" xfId="45" applyNumberFormat="1" applyFont="1" applyBorder="1"/>
    <xf numFmtId="0" fontId="12" fillId="0" borderId="0" xfId="0" applyFont="1" applyBorder="1" applyAlignment="1">
      <alignment horizontal="center"/>
    </xf>
    <xf numFmtId="171" fontId="12" fillId="0" borderId="0" xfId="0" applyNumberFormat="1" applyFont="1" applyBorder="1" applyAlignment="1">
      <alignment horizontal="center"/>
    </xf>
    <xf numFmtId="0" fontId="50" fillId="0" borderId="0" xfId="0" applyFont="1"/>
    <xf numFmtId="0" fontId="20" fillId="13" borderId="2" xfId="40" applyFont="1" applyBorder="1"/>
    <xf numFmtId="0" fontId="28" fillId="0" borderId="0" xfId="0" applyNumberFormat="1" applyFont="1" applyBorder="1" applyAlignment="1">
      <alignment vertical="center"/>
    </xf>
    <xf numFmtId="0" fontId="51" fillId="0" borderId="0" xfId="0" applyFont="1"/>
    <xf numFmtId="171" fontId="12" fillId="0" borderId="2" xfId="0" applyNumberFormat="1" applyFont="1" applyFill="1" applyBorder="1" applyAlignment="1">
      <alignment horizontal="center"/>
    </xf>
    <xf numFmtId="0" fontId="28" fillId="0" borderId="0" xfId="113" applyFont="1" applyAlignment="1">
      <alignment horizontal="left"/>
    </xf>
    <xf numFmtId="0" fontId="10" fillId="0" borderId="0" xfId="113" applyAlignment="1">
      <alignment horizontal="left"/>
    </xf>
    <xf numFmtId="171" fontId="9" fillId="25" borderId="2" xfId="0" applyNumberFormat="1" applyFont="1" applyFill="1" applyBorder="1" applyAlignment="1">
      <alignment horizontal="center"/>
    </xf>
    <xf numFmtId="0" fontId="45" fillId="0" borderId="19" xfId="0" applyFont="1" applyBorder="1"/>
    <xf numFmtId="0" fontId="45" fillId="0" borderId="18" xfId="0" applyFont="1" applyBorder="1"/>
    <xf numFmtId="1" fontId="12" fillId="25" borderId="2" xfId="0" applyNumberFormat="1" applyFont="1" applyFill="1" applyBorder="1" applyAlignment="1">
      <alignment horizontal="center"/>
    </xf>
    <xf numFmtId="1" fontId="0" fillId="0" borderId="0" xfId="0" applyNumberFormat="1"/>
    <xf numFmtId="1" fontId="19" fillId="2" borderId="0" xfId="5" applyNumberFormat="1" applyFont="1" applyFill="1"/>
    <xf numFmtId="1" fontId="12" fillId="0" borderId="0" xfId="0" applyNumberFormat="1" applyFont="1" applyFill="1" applyBorder="1" applyAlignment="1">
      <alignment horizontal="center"/>
    </xf>
    <xf numFmtId="1" fontId="12" fillId="0" borderId="2" xfId="0" applyNumberFormat="1" applyFont="1" applyFill="1" applyBorder="1" applyAlignment="1">
      <alignment horizontal="center"/>
    </xf>
    <xf numFmtId="0" fontId="12" fillId="25" borderId="2" xfId="0" applyNumberFormat="1" applyFont="1" applyFill="1" applyBorder="1" applyAlignment="1">
      <alignment horizontal="left"/>
    </xf>
    <xf numFmtId="4" fontId="20" fillId="5" borderId="0" xfId="42" applyFont="1" applyBorder="1"/>
    <xf numFmtId="0" fontId="0" fillId="24" borderId="0" xfId="0" applyFont="1" applyFill="1"/>
    <xf numFmtId="0" fontId="0" fillId="0" borderId="0" xfId="0" applyFont="1"/>
    <xf numFmtId="0" fontId="53" fillId="2" borderId="0" xfId="5" applyFont="1" applyFill="1"/>
    <xf numFmtId="0" fontId="0" fillId="25" borderId="2" xfId="0" applyNumberFormat="1" applyFont="1" applyFill="1" applyBorder="1" applyAlignment="1">
      <alignment horizontal="left"/>
    </xf>
    <xf numFmtId="4" fontId="0" fillId="5" borderId="0" xfId="42" applyFont="1" applyBorder="1"/>
    <xf numFmtId="171" fontId="12" fillId="0" borderId="0" xfId="0" applyNumberFormat="1" applyFont="1" applyFill="1" applyBorder="1" applyAlignment="1">
      <alignment horizontal="center"/>
    </xf>
    <xf numFmtId="0" fontId="45" fillId="0" borderId="0" xfId="0" applyFont="1" applyAlignment="1">
      <alignment wrapText="1"/>
    </xf>
    <xf numFmtId="171" fontId="12" fillId="0" borderId="0" xfId="0" applyNumberFormat="1" applyFont="1" applyFill="1" applyAlignment="1">
      <alignment horizontal="center"/>
    </xf>
    <xf numFmtId="0" fontId="50" fillId="0" borderId="0" xfId="0" applyFont="1" applyFill="1"/>
    <xf numFmtId="171" fontId="0" fillId="0" borderId="0" xfId="0" applyNumberFormat="1" applyFill="1"/>
    <xf numFmtId="171" fontId="52" fillId="25" borderId="2" xfId="0" applyNumberFormat="1" applyFont="1" applyFill="1" applyBorder="1" applyAlignment="1">
      <alignment horizontal="center"/>
    </xf>
    <xf numFmtId="0" fontId="0" fillId="24" borderId="0" xfId="0" applyNumberFormat="1" applyFill="1" applyAlignment="1">
      <alignment horizontal="left"/>
    </xf>
    <xf numFmtId="0" fontId="0" fillId="0" borderId="0" xfId="0" applyNumberFormat="1" applyAlignment="1">
      <alignment horizontal="left"/>
    </xf>
    <xf numFmtId="0" fontId="34" fillId="0" borderId="0" xfId="0" applyNumberFormat="1" applyFont="1" applyAlignment="1">
      <alignment horizontal="left"/>
    </xf>
    <xf numFmtId="0" fontId="19" fillId="2" borderId="0" xfId="5" applyNumberFormat="1" applyFont="1" applyFill="1" applyAlignment="1">
      <alignment horizontal="left"/>
    </xf>
    <xf numFmtId="0" fontId="11" fillId="25" borderId="2" xfId="0" applyNumberFormat="1" applyFont="1" applyFill="1" applyBorder="1" applyAlignment="1">
      <alignment horizontal="left"/>
    </xf>
    <xf numFmtId="0" fontId="12" fillId="0" borderId="0" xfId="0" applyNumberFormat="1" applyFont="1" applyFill="1" applyBorder="1" applyAlignment="1">
      <alignment horizontal="left"/>
    </xf>
    <xf numFmtId="0" fontId="11" fillId="0" borderId="2" xfId="0" applyNumberFormat="1" applyFont="1" applyFill="1" applyBorder="1" applyAlignment="1">
      <alignment horizontal="left"/>
    </xf>
    <xf numFmtId="0" fontId="6" fillId="25" borderId="2" xfId="0" applyNumberFormat="1" applyFont="1" applyFill="1" applyBorder="1" applyAlignment="1">
      <alignment horizontal="left"/>
    </xf>
    <xf numFmtId="0" fontId="0" fillId="24" borderId="0" xfId="0" applyNumberFormat="1" applyFill="1"/>
    <xf numFmtId="0" fontId="0" fillId="0" borderId="0" xfId="0" applyNumberFormat="1"/>
    <xf numFmtId="0" fontId="34" fillId="0" borderId="0" xfId="0" applyNumberFormat="1" applyFont="1"/>
    <xf numFmtId="0" fontId="48" fillId="0" borderId="0" xfId="0" applyNumberFormat="1" applyFont="1"/>
    <xf numFmtId="0" fontId="45" fillId="0" borderId="0" xfId="0" applyNumberFormat="1" applyFont="1"/>
    <xf numFmtId="0" fontId="19" fillId="2" borderId="0" xfId="5" applyNumberFormat="1" applyFont="1" applyFill="1"/>
    <xf numFmtId="0" fontId="12" fillId="0" borderId="0" xfId="0" applyNumberFormat="1" applyFont="1" applyFill="1" applyBorder="1" applyAlignment="1">
      <alignment horizontal="center"/>
    </xf>
    <xf numFmtId="0" fontId="12" fillId="0" borderId="0" xfId="0" applyNumberFormat="1" applyFont="1" applyAlignment="1">
      <alignment horizontal="center"/>
    </xf>
    <xf numFmtId="0" fontId="7" fillId="0" borderId="0" xfId="0" applyNumberFormat="1" applyFont="1" applyAlignment="1">
      <alignment horizontal="left"/>
    </xf>
    <xf numFmtId="0" fontId="6" fillId="0" borderId="0" xfId="0" applyNumberFormat="1" applyFont="1" applyAlignment="1">
      <alignment horizontal="left"/>
    </xf>
    <xf numFmtId="0" fontId="7" fillId="0" borderId="0" xfId="0" applyNumberFormat="1" applyFont="1" applyBorder="1" applyAlignment="1">
      <alignment horizontal="left"/>
    </xf>
    <xf numFmtId="0" fontId="0" fillId="0" borderId="0" xfId="0" applyNumberFormat="1" applyBorder="1"/>
    <xf numFmtId="0" fontId="19" fillId="2" borderId="0" xfId="5" applyNumberFormat="1" applyFont="1" applyFill="1" applyBorder="1"/>
    <xf numFmtId="0" fontId="7" fillId="0" borderId="0" xfId="0" applyNumberFormat="1" applyFont="1" applyFill="1" applyBorder="1" applyAlignment="1">
      <alignment horizontal="left"/>
    </xf>
    <xf numFmtId="0" fontId="0" fillId="0" borderId="0" xfId="0" applyNumberFormat="1" applyBorder="1" applyAlignment="1">
      <alignment horizontal="left"/>
    </xf>
    <xf numFmtId="0" fontId="19" fillId="2" borderId="0" xfId="5" applyNumberFormat="1" applyFont="1" applyFill="1" applyBorder="1" applyAlignment="1">
      <alignment horizontal="left"/>
    </xf>
    <xf numFmtId="0" fontId="6" fillId="0" borderId="0" xfId="0" applyNumberFormat="1" applyFont="1" applyFill="1" applyBorder="1" applyAlignment="1">
      <alignment horizontal="left"/>
    </xf>
    <xf numFmtId="0" fontId="10" fillId="0" borderId="2" xfId="0" applyNumberFormat="1" applyFont="1" applyFill="1" applyBorder="1" applyAlignment="1">
      <alignment horizontal="left"/>
    </xf>
    <xf numFmtId="0" fontId="7" fillId="0" borderId="2" xfId="0" applyNumberFormat="1" applyFont="1" applyFill="1" applyBorder="1" applyAlignment="1">
      <alignment horizontal="left"/>
    </xf>
    <xf numFmtId="0" fontId="17" fillId="30" borderId="0" xfId="118" applyFill="1"/>
    <xf numFmtId="0" fontId="33" fillId="0" borderId="2" xfId="120" applyFont="1" applyFill="1" applyBorder="1" applyAlignment="1">
      <alignment horizontal="center" vertical="center"/>
    </xf>
    <xf numFmtId="17" fontId="33" fillId="0" borderId="2" xfId="120" applyNumberFormat="1" applyFont="1" applyFill="1" applyBorder="1" applyAlignment="1">
      <alignment horizontal="center"/>
    </xf>
    <xf numFmtId="172" fontId="0" fillId="32" borderId="2" xfId="120" applyNumberFormat="1" applyFont="1" applyFill="1" applyBorder="1" applyAlignment="1">
      <alignment horizontal="center"/>
    </xf>
    <xf numFmtId="0" fontId="28" fillId="0" borderId="2" xfId="117" applyFont="1" applyBorder="1" applyAlignment="1">
      <alignment wrapText="1"/>
    </xf>
    <xf numFmtId="0" fontId="58" fillId="0" borderId="2" xfId="118" applyFont="1" applyFill="1" applyBorder="1" applyAlignment="1">
      <alignment horizontal="center" vertical="center" wrapText="1"/>
    </xf>
    <xf numFmtId="172" fontId="33" fillId="31" borderId="2" xfId="118" applyNumberFormat="1" applyFont="1" applyFill="1" applyBorder="1"/>
    <xf numFmtId="0" fontId="17" fillId="0" borderId="0" xfId="118" applyFill="1"/>
    <xf numFmtId="0" fontId="17" fillId="4" borderId="0" xfId="118" applyFill="1"/>
    <xf numFmtId="0" fontId="0" fillId="4" borderId="0" xfId="120" applyFont="1" applyFill="1"/>
    <xf numFmtId="0" fontId="17" fillId="4" borderId="0" xfId="120" applyFont="1" applyFill="1" applyAlignment="1">
      <alignment horizontal="right"/>
    </xf>
    <xf numFmtId="0" fontId="55" fillId="4" borderId="0" xfId="120" applyFont="1" applyFill="1"/>
    <xf numFmtId="0" fontId="56" fillId="4" borderId="2" xfId="120" applyFont="1" applyFill="1" applyBorder="1" applyAlignment="1">
      <alignment horizontal="center" vertical="center" wrapText="1"/>
    </xf>
    <xf numFmtId="0" fontId="56" fillId="4" borderId="2" xfId="120" applyFont="1" applyFill="1" applyBorder="1" applyAlignment="1">
      <alignment horizontal="center" vertical="center"/>
    </xf>
    <xf numFmtId="0" fontId="32" fillId="33" borderId="0" xfId="0" applyFont="1" applyFill="1"/>
    <xf numFmtId="49" fontId="20" fillId="4" borderId="0" xfId="0" applyNumberFormat="1" applyFont="1" applyFill="1"/>
    <xf numFmtId="0" fontId="59" fillId="30" borderId="0" xfId="118" applyFont="1" applyFill="1"/>
    <xf numFmtId="0" fontId="59" fillId="30" borderId="2" xfId="118" applyFont="1" applyFill="1" applyBorder="1"/>
    <xf numFmtId="0" fontId="59" fillId="30" borderId="2" xfId="118" quotePrefix="1" applyFont="1" applyFill="1" applyBorder="1"/>
    <xf numFmtId="0" fontId="59" fillId="4" borderId="0" xfId="118" applyFont="1" applyFill="1" applyBorder="1" applyAlignment="1">
      <alignment vertical="center"/>
    </xf>
    <xf numFmtId="172" fontId="62" fillId="4" borderId="0" xfId="118" applyNumberFormat="1" applyFont="1" applyFill="1" applyBorder="1" applyAlignment="1">
      <alignment vertical="center"/>
    </xf>
    <xf numFmtId="0" fontId="17" fillId="0" borderId="0" xfId="118"/>
    <xf numFmtId="0" fontId="17" fillId="0" borderId="19" xfId="118" applyBorder="1"/>
    <xf numFmtId="0" fontId="17" fillId="0" borderId="0" xfId="118" applyFont="1"/>
    <xf numFmtId="0" fontId="33" fillId="0" borderId="0" xfId="118" applyFont="1"/>
    <xf numFmtId="14" fontId="17" fillId="0" borderId="2" xfId="121" applyNumberFormat="1" applyFont="1" applyFill="1" applyBorder="1"/>
    <xf numFmtId="0" fontId="33" fillId="0" borderId="2" xfId="118" applyFont="1" applyBorder="1"/>
    <xf numFmtId="0" fontId="17" fillId="0" borderId="0" xfId="118" applyBorder="1"/>
    <xf numFmtId="0" fontId="17" fillId="0" borderId="0" xfId="122"/>
    <xf numFmtId="1" fontId="17" fillId="31" borderId="2" xfId="122" applyNumberFormat="1" applyFill="1" applyBorder="1"/>
    <xf numFmtId="0" fontId="17" fillId="31" borderId="2" xfId="122" applyFill="1" applyBorder="1"/>
    <xf numFmtId="0" fontId="17" fillId="32" borderId="2" xfId="122" applyFill="1" applyBorder="1"/>
    <xf numFmtId="15" fontId="17" fillId="32" borderId="2" xfId="122" applyNumberFormat="1" applyFill="1" applyBorder="1"/>
    <xf numFmtId="173" fontId="17" fillId="32" borderId="2" xfId="122" applyNumberFormat="1" applyFill="1" applyBorder="1"/>
    <xf numFmtId="0" fontId="17" fillId="0" borderId="2" xfId="122" applyBorder="1"/>
    <xf numFmtId="0" fontId="33" fillId="32" borderId="2" xfId="122" applyFont="1" applyFill="1" applyBorder="1"/>
    <xf numFmtId="0" fontId="33" fillId="0" borderId="2" xfId="123" applyFont="1" applyFill="1" applyBorder="1" applyAlignment="1"/>
    <xf numFmtId="3" fontId="17" fillId="32" borderId="2" xfId="122" applyNumberFormat="1" applyFill="1" applyBorder="1"/>
    <xf numFmtId="0" fontId="33" fillId="0" borderId="2" xfId="123" applyFont="1" applyFill="1" applyBorder="1" applyAlignment="1">
      <alignment horizontal="center"/>
    </xf>
    <xf numFmtId="17" fontId="33" fillId="0" borderId="2" xfId="123" applyNumberFormat="1" applyFont="1" applyFill="1" applyBorder="1"/>
    <xf numFmtId="0" fontId="17" fillId="0" borderId="2" xfId="118" applyFont="1" applyFill="1" applyBorder="1" applyAlignment="1">
      <alignment horizontal="centerContinuous"/>
    </xf>
    <xf numFmtId="0" fontId="33" fillId="0" borderId="2" xfId="122" applyFont="1" applyBorder="1" applyAlignment="1">
      <alignment horizontal="centerContinuous" vertical="center"/>
    </xf>
    <xf numFmtId="174" fontId="33" fillId="32" borderId="2" xfId="123" applyNumberFormat="1" applyFont="1" applyFill="1" applyBorder="1"/>
    <xf numFmtId="174" fontId="17" fillId="32" borderId="2" xfId="29" applyNumberFormat="1" applyFill="1" applyBorder="1"/>
    <xf numFmtId="0" fontId="73" fillId="0" borderId="2" xfId="123" applyFont="1" applyFill="1" applyBorder="1" applyAlignment="1">
      <alignment horizontal="left" indent="1"/>
    </xf>
    <xf numFmtId="0" fontId="73" fillId="0" borderId="2" xfId="123" applyFont="1" applyFill="1" applyBorder="1"/>
    <xf numFmtId="0" fontId="33" fillId="0" borderId="2" xfId="122" applyFont="1" applyBorder="1" applyAlignment="1">
      <alignment horizontal="center" vertical="center"/>
    </xf>
    <xf numFmtId="0" fontId="33" fillId="0" borderId="2" xfId="122" applyFont="1" applyBorder="1" applyAlignment="1">
      <alignment horizontal="center"/>
    </xf>
    <xf numFmtId="0" fontId="17" fillId="0" borderId="2" xfId="118" applyBorder="1" applyAlignment="1">
      <alignment horizontal="centerContinuous"/>
    </xf>
    <xf numFmtId="174" fontId="17" fillId="32" borderId="2" xfId="123" applyNumberFormat="1" applyFont="1" applyFill="1" applyBorder="1"/>
    <xf numFmtId="0" fontId="17" fillId="32" borderId="2" xfId="123" applyFont="1" applyFill="1" applyBorder="1"/>
    <xf numFmtId="0" fontId="17" fillId="0" borderId="2" xfId="123" applyFont="1" applyFill="1" applyBorder="1" applyAlignment="1"/>
    <xf numFmtId="17" fontId="33" fillId="0" borderId="2" xfId="123" applyNumberFormat="1" applyFont="1" applyFill="1" applyBorder="1" applyAlignment="1">
      <alignment horizontal="center"/>
    </xf>
    <xf numFmtId="0" fontId="33" fillId="0" borderId="2" xfId="123" applyFont="1" applyFill="1" applyBorder="1" applyAlignment="1">
      <alignment horizontal="center" vertical="center"/>
    </xf>
    <xf numFmtId="0" fontId="33" fillId="0" borderId="2" xfId="123" applyFont="1" applyFill="1" applyBorder="1" applyAlignment="1">
      <alignment horizontal="center" wrapText="1"/>
    </xf>
    <xf numFmtId="0" fontId="17" fillId="0" borderId="0" xfId="118" applyFont="1" applyAlignment="1">
      <alignment horizontal="center"/>
    </xf>
    <xf numFmtId="2" fontId="17" fillId="32" borderId="2" xfId="121" quotePrefix="1" applyNumberFormat="1" applyFont="1" applyFill="1" applyBorder="1" applyAlignment="1">
      <alignment horizontal="center"/>
    </xf>
    <xf numFmtId="176" fontId="17" fillId="32" borderId="2" xfId="121" quotePrefix="1" applyNumberFormat="1" applyFont="1" applyFill="1" applyBorder="1" applyAlignment="1">
      <alignment horizontal="center"/>
    </xf>
    <xf numFmtId="1" fontId="17" fillId="0" borderId="2" xfId="121" applyNumberFormat="1" applyFont="1" applyFill="1" applyBorder="1"/>
    <xf numFmtId="14" fontId="17" fillId="0" borderId="2" xfId="121" applyNumberFormat="1" applyFont="1" applyFill="1" applyBorder="1" applyAlignment="1">
      <alignment horizontal="right" vertical="top"/>
    </xf>
    <xf numFmtId="0" fontId="33" fillId="0" borderId="2" xfId="118" applyFont="1" applyFill="1" applyBorder="1" applyAlignment="1">
      <alignment horizontal="centerContinuous"/>
    </xf>
    <xf numFmtId="2" fontId="17" fillId="32" borderId="29" xfId="126" applyNumberFormat="1" applyFill="1" applyBorder="1" applyAlignment="1">
      <alignment horizontal="center"/>
    </xf>
    <xf numFmtId="2" fontId="17" fillId="32" borderId="28" xfId="126" applyNumberFormat="1" applyFill="1" applyBorder="1" applyAlignment="1">
      <alignment horizontal="center"/>
    </xf>
    <xf numFmtId="14" fontId="17" fillId="0" borderId="29" xfId="121" applyNumberFormat="1" applyFont="1" applyFill="1" applyBorder="1"/>
    <xf numFmtId="2" fontId="17" fillId="32" borderId="33" xfId="126" applyNumberFormat="1" applyFill="1" applyBorder="1" applyAlignment="1">
      <alignment horizontal="center"/>
    </xf>
    <xf numFmtId="2" fontId="17" fillId="32" borderId="30" xfId="126" applyNumberFormat="1" applyFill="1" applyBorder="1" applyAlignment="1">
      <alignment horizontal="center"/>
    </xf>
    <xf numFmtId="14" fontId="17" fillId="0" borderId="33" xfId="121" applyNumberFormat="1" applyFont="1" applyFill="1" applyBorder="1"/>
    <xf numFmtId="2" fontId="17" fillId="32" borderId="46" xfId="126" applyNumberFormat="1" applyFill="1" applyBorder="1" applyAlignment="1">
      <alignment horizontal="center"/>
    </xf>
    <xf numFmtId="14" fontId="17" fillId="0" borderId="34" xfId="121" applyNumberFormat="1" applyFont="1" applyFill="1" applyBorder="1"/>
    <xf numFmtId="0" fontId="17" fillId="30" borderId="0" xfId="127" applyFill="1"/>
    <xf numFmtId="0" fontId="75" fillId="30" borderId="0" xfId="127" applyFont="1" applyFill="1"/>
    <xf numFmtId="177" fontId="17" fillId="31" borderId="2" xfId="127" applyNumberFormat="1" applyFont="1" applyFill="1" applyBorder="1"/>
    <xf numFmtId="177" fontId="82" fillId="31" borderId="2" xfId="127" applyNumberFormat="1" applyFont="1" applyFill="1" applyBorder="1" applyAlignment="1">
      <alignment horizontal="center"/>
    </xf>
    <xf numFmtId="2" fontId="17" fillId="32" borderId="2" xfId="126" applyNumberFormat="1" applyFill="1" applyBorder="1"/>
    <xf numFmtId="0" fontId="17" fillId="30" borderId="2" xfId="126" applyFont="1" applyFill="1" applyBorder="1"/>
    <xf numFmtId="178" fontId="17" fillId="32" borderId="2" xfId="126" applyNumberFormat="1" applyFill="1" applyBorder="1"/>
    <xf numFmtId="0" fontId="17" fillId="30" borderId="2" xfId="126" applyFill="1" applyBorder="1"/>
    <xf numFmtId="2" fontId="17" fillId="32" borderId="36" xfId="126" applyNumberFormat="1" applyFill="1" applyBorder="1" applyAlignment="1">
      <alignment horizontal="center"/>
    </xf>
    <xf numFmtId="2" fontId="17" fillId="32" borderId="47" xfId="126" applyNumberFormat="1" applyFill="1" applyBorder="1" applyAlignment="1">
      <alignment horizontal="center"/>
    </xf>
    <xf numFmtId="14" fontId="17" fillId="0" borderId="36" xfId="121" applyNumberFormat="1" applyFont="1" applyFill="1" applyBorder="1"/>
    <xf numFmtId="2" fontId="58" fillId="0" borderId="29" xfId="126" applyNumberFormat="1" applyFont="1" applyFill="1" applyBorder="1" applyAlignment="1">
      <alignment horizontal="center" vertical="center" wrapText="1"/>
    </xf>
    <xf numFmtId="2" fontId="58" fillId="0" borderId="28" xfId="126" applyNumberFormat="1" applyFont="1" applyFill="1" applyBorder="1" applyAlignment="1">
      <alignment horizontal="center" vertical="center" wrapText="1"/>
    </xf>
    <xf numFmtId="0" fontId="33" fillId="0" borderId="2" xfId="127" applyFont="1" applyFill="1" applyBorder="1" applyAlignment="1">
      <alignment horizontal="center"/>
    </xf>
    <xf numFmtId="0" fontId="17" fillId="30" borderId="0" xfId="126" applyFill="1" applyBorder="1"/>
    <xf numFmtId="0" fontId="33" fillId="0" borderId="33" xfId="126" applyFont="1" applyFill="1" applyBorder="1" applyAlignment="1">
      <alignment horizontal="center" vertical="center" wrapText="1"/>
    </xf>
    <xf numFmtId="2" fontId="58" fillId="0" borderId="30" xfId="126" applyNumberFormat="1" applyFont="1" applyFill="1" applyBorder="1" applyAlignment="1">
      <alignment horizontal="center" vertical="center" wrapText="1"/>
    </xf>
    <xf numFmtId="0" fontId="33" fillId="0" borderId="2" xfId="127" applyFont="1" applyFill="1" applyBorder="1" applyAlignment="1">
      <alignment horizontal="center" vertical="center"/>
    </xf>
    <xf numFmtId="2" fontId="58" fillId="0" borderId="36" xfId="126" applyNumberFormat="1" applyFont="1" applyFill="1" applyBorder="1" applyAlignment="1">
      <alignment horizontal="center" vertical="center" wrapText="1"/>
    </xf>
    <xf numFmtId="2" fontId="58" fillId="0" borderId="47" xfId="126" applyNumberFormat="1" applyFont="1" applyFill="1" applyBorder="1" applyAlignment="1">
      <alignment horizontal="center" vertical="center" wrapText="1"/>
    </xf>
    <xf numFmtId="0" fontId="77" fillId="30" borderId="0" xfId="127" applyFont="1" applyFill="1" applyAlignment="1"/>
    <xf numFmtId="0" fontId="17" fillId="30" borderId="0" xfId="118" applyFill="1" applyAlignment="1">
      <alignment horizontal="center"/>
    </xf>
    <xf numFmtId="0" fontId="17" fillId="30" borderId="0" xfId="118" applyFont="1" applyFill="1" applyAlignment="1">
      <alignment horizontal="centerContinuous" vertical="top" wrapText="1"/>
    </xf>
    <xf numFmtId="0" fontId="17" fillId="30" borderId="0" xfId="118" applyFill="1" applyAlignment="1">
      <alignment horizontal="centerContinuous" vertical="top" wrapText="1"/>
    </xf>
    <xf numFmtId="2" fontId="17" fillId="32" borderId="2" xfId="128" applyNumberFormat="1" applyFill="1" applyBorder="1" applyAlignment="1">
      <alignment horizontal="center"/>
    </xf>
    <xf numFmtId="14" fontId="17" fillId="0" borderId="2" xfId="128" applyNumberFormat="1" applyFill="1" applyBorder="1" applyAlignment="1">
      <alignment horizontal="center"/>
    </xf>
    <xf numFmtId="0" fontId="17" fillId="30" borderId="0" xfId="128" applyFill="1"/>
    <xf numFmtId="0" fontId="33" fillId="0" borderId="2" xfId="118" applyFont="1" applyFill="1" applyBorder="1" applyAlignment="1">
      <alignment horizontal="center"/>
    </xf>
    <xf numFmtId="0" fontId="58" fillId="0" borderId="2" xfId="128" applyFont="1" applyFill="1" applyBorder="1" applyAlignment="1">
      <alignment horizontal="center" vertical="center" wrapText="1"/>
    </xf>
    <xf numFmtId="0" fontId="33" fillId="0" borderId="2" xfId="128" applyFont="1" applyFill="1" applyBorder="1" applyAlignment="1">
      <alignment horizontal="center" vertical="center"/>
    </xf>
    <xf numFmtId="0" fontId="33" fillId="0" borderId="2" xfId="128" applyFont="1" applyFill="1" applyBorder="1" applyAlignment="1">
      <alignment horizontal="center"/>
    </xf>
    <xf numFmtId="0" fontId="33" fillId="0" borderId="2" xfId="118" applyFont="1" applyFill="1" applyBorder="1" applyAlignment="1">
      <alignment horizontal="center" vertical="center"/>
    </xf>
    <xf numFmtId="0" fontId="33" fillId="0" borderId="2" xfId="118" applyFont="1" applyFill="1" applyBorder="1" applyAlignment="1">
      <alignment horizontal="center" vertical="center" wrapText="1"/>
    </xf>
    <xf numFmtId="0" fontId="33" fillId="0" borderId="2" xfId="128" applyFont="1" applyFill="1" applyBorder="1" applyAlignment="1">
      <alignment horizontal="center" vertical="center" wrapText="1"/>
    </xf>
    <xf numFmtId="0" fontId="85" fillId="30" borderId="0" xfId="118" applyFont="1" applyFill="1"/>
    <xf numFmtId="0" fontId="85" fillId="0" borderId="0" xfId="119" applyFont="1"/>
    <xf numFmtId="2" fontId="17" fillId="32" borderId="52" xfId="126" applyNumberFormat="1" applyFill="1" applyBorder="1" applyAlignment="1">
      <alignment horizontal="center"/>
    </xf>
    <xf numFmtId="2" fontId="17" fillId="32" borderId="53" xfId="126" applyNumberFormat="1" applyFill="1" applyBorder="1" applyAlignment="1">
      <alignment horizontal="center"/>
    </xf>
    <xf numFmtId="2" fontId="17" fillId="32" borderId="54" xfId="126" applyNumberFormat="1" applyFill="1" applyBorder="1" applyAlignment="1">
      <alignment horizontal="center"/>
    </xf>
    <xf numFmtId="2" fontId="17" fillId="32" borderId="35" xfId="126" applyNumberFormat="1" applyFill="1" applyBorder="1" applyAlignment="1">
      <alignment horizontal="center"/>
    </xf>
    <xf numFmtId="2" fontId="17" fillId="32" borderId="2" xfId="126" applyNumberFormat="1" applyFill="1" applyBorder="1" applyAlignment="1">
      <alignment horizontal="center"/>
    </xf>
    <xf numFmtId="2" fontId="17" fillId="32" borderId="17" xfId="126" applyNumberFormat="1" applyFill="1" applyBorder="1" applyAlignment="1">
      <alignment horizontal="center"/>
    </xf>
    <xf numFmtId="2" fontId="17" fillId="32" borderId="55" xfId="126" applyNumberFormat="1" applyFill="1" applyBorder="1" applyAlignment="1">
      <alignment horizontal="center"/>
    </xf>
    <xf numFmtId="2" fontId="17" fillId="32" borderId="24" xfId="126" applyNumberFormat="1" applyFill="1" applyBorder="1" applyAlignment="1">
      <alignment horizontal="center"/>
    </xf>
    <xf numFmtId="2" fontId="17" fillId="32" borderId="21" xfId="126" applyNumberFormat="1" applyFill="1" applyBorder="1" applyAlignment="1">
      <alignment horizontal="center"/>
    </xf>
    <xf numFmtId="2" fontId="17" fillId="30" borderId="0" xfId="126" applyNumberFormat="1" applyFill="1" applyBorder="1" applyAlignment="1">
      <alignment horizontal="center"/>
    </xf>
    <xf numFmtId="10" fontId="17" fillId="30" borderId="0" xfId="124" applyNumberFormat="1" applyFill="1" applyBorder="1"/>
    <xf numFmtId="10" fontId="17" fillId="30" borderId="0" xfId="126" applyNumberFormat="1" applyFill="1" applyBorder="1"/>
    <xf numFmtId="2" fontId="58" fillId="30" borderId="0" xfId="126" applyNumberFormat="1" applyFont="1" applyFill="1" applyBorder="1" applyAlignment="1">
      <alignment horizontal="center" vertical="center" wrapText="1"/>
    </xf>
    <xf numFmtId="2" fontId="58" fillId="0" borderId="52" xfId="126" applyNumberFormat="1" applyFont="1" applyFill="1" applyBorder="1" applyAlignment="1">
      <alignment horizontal="center" vertical="center" wrapText="1"/>
    </xf>
    <xf numFmtId="2" fontId="58" fillId="0" borderId="53" xfId="126" applyNumberFormat="1" applyFont="1" applyFill="1" applyBorder="1" applyAlignment="1">
      <alignment horizontal="center" vertical="center" wrapText="1"/>
    </xf>
    <xf numFmtId="2" fontId="58" fillId="0" borderId="59" xfId="126" applyNumberFormat="1" applyFont="1" applyFill="1" applyBorder="1" applyAlignment="1">
      <alignment horizontal="center" vertical="center" wrapText="1"/>
    </xf>
    <xf numFmtId="0" fontId="17" fillId="30" borderId="0" xfId="118" applyFont="1" applyFill="1"/>
    <xf numFmtId="0" fontId="33" fillId="0" borderId="35" xfId="126" applyFont="1" applyFill="1" applyBorder="1" applyAlignment="1">
      <alignment horizontal="center" vertical="top" wrapText="1"/>
    </xf>
    <xf numFmtId="0" fontId="33" fillId="0" borderId="2" xfId="126" applyFont="1" applyFill="1" applyBorder="1" applyAlignment="1">
      <alignment horizontal="center" vertical="top" wrapText="1"/>
    </xf>
    <xf numFmtId="0" fontId="33" fillId="0" borderId="31" xfId="126" applyFont="1" applyFill="1" applyBorder="1" applyAlignment="1">
      <alignment horizontal="center" vertical="top" wrapText="1"/>
    </xf>
    <xf numFmtId="2" fontId="58" fillId="0" borderId="33" xfId="126" applyNumberFormat="1" applyFont="1" applyFill="1" applyBorder="1" applyAlignment="1">
      <alignment horizontal="center" vertical="center" wrapText="1"/>
    </xf>
    <xf numFmtId="2" fontId="58" fillId="0" borderId="0" xfId="126" applyNumberFormat="1" applyFont="1" applyFill="1" applyBorder="1" applyAlignment="1">
      <alignment horizontal="center" vertical="center" wrapText="1"/>
    </xf>
    <xf numFmtId="2" fontId="58" fillId="0" borderId="62" xfId="126" applyNumberFormat="1" applyFont="1" applyFill="1" applyBorder="1" applyAlignment="1">
      <alignment horizontal="center" vertical="center" wrapText="1"/>
    </xf>
    <xf numFmtId="0" fontId="33" fillId="0" borderId="2" xfId="126" applyFont="1" applyFill="1" applyBorder="1" applyAlignment="1">
      <alignment horizontal="centerContinuous"/>
    </xf>
    <xf numFmtId="0" fontId="17" fillId="32" borderId="2" xfId="118" applyFill="1" applyBorder="1"/>
    <xf numFmtId="0" fontId="58" fillId="0" borderId="2" xfId="120" applyFont="1" applyFill="1" applyBorder="1" applyAlignment="1">
      <alignment horizontal="center" vertical="center" wrapText="1"/>
    </xf>
    <xf numFmtId="0" fontId="33" fillId="0" borderId="40" xfId="118" applyFont="1" applyFill="1" applyBorder="1"/>
    <xf numFmtId="17" fontId="33" fillId="0" borderId="42" xfId="120" applyNumberFormat="1" applyFont="1" applyFill="1" applyBorder="1" applyAlignment="1">
      <alignment horizontal="center"/>
    </xf>
    <xf numFmtId="0" fontId="23" fillId="0" borderId="0" xfId="118" applyFont="1" applyAlignment="1">
      <alignment horizontal="left" vertical="top" wrapText="1"/>
    </xf>
    <xf numFmtId="0" fontId="17" fillId="0" borderId="39" xfId="118" applyBorder="1"/>
    <xf numFmtId="0" fontId="17" fillId="0" borderId="50" xfId="118" applyBorder="1"/>
    <xf numFmtId="0" fontId="17" fillId="0" borderId="43" xfId="118" applyBorder="1"/>
    <xf numFmtId="0" fontId="17" fillId="0" borderId="38" xfId="118" applyBorder="1"/>
    <xf numFmtId="0" fontId="17" fillId="0" borderId="32" xfId="118" applyBorder="1"/>
    <xf numFmtId="0" fontId="17" fillId="0" borderId="30" xfId="118" applyBorder="1"/>
    <xf numFmtId="0" fontId="17" fillId="0" borderId="37" xfId="118" applyBorder="1"/>
    <xf numFmtId="0" fontId="17" fillId="0" borderId="22" xfId="118" applyBorder="1"/>
    <xf numFmtId="0" fontId="17" fillId="0" borderId="46" xfId="118" applyBorder="1"/>
    <xf numFmtId="0" fontId="17" fillId="0" borderId="67" xfId="118" applyBorder="1"/>
    <xf numFmtId="0" fontId="17" fillId="0" borderId="68" xfId="118" applyBorder="1"/>
    <xf numFmtId="0" fontId="33" fillId="0" borderId="12" xfId="118" applyFont="1" applyFill="1" applyBorder="1"/>
    <xf numFmtId="0" fontId="13" fillId="0" borderId="0" xfId="129"/>
    <xf numFmtId="0" fontId="13" fillId="0" borderId="0" xfId="129" applyAlignment="1">
      <alignment horizontal="center"/>
    </xf>
    <xf numFmtId="0" fontId="45" fillId="29" borderId="2" xfId="129" applyFont="1" applyFill="1" applyBorder="1" applyAlignment="1">
      <alignment horizontal="center" vertical="center" wrapText="1"/>
    </xf>
    <xf numFmtId="179" fontId="87" fillId="24" borderId="2" xfId="129" applyNumberFormat="1" applyFont="1" applyFill="1" applyBorder="1" applyAlignment="1">
      <alignment vertical="center"/>
    </xf>
    <xf numFmtId="179" fontId="87" fillId="24" borderId="40" xfId="129" applyNumberFormat="1" applyFont="1" applyFill="1" applyBorder="1" applyAlignment="1">
      <alignment vertical="center"/>
    </xf>
    <xf numFmtId="17" fontId="13" fillId="0" borderId="2" xfId="129" applyNumberFormat="1" applyBorder="1" applyAlignment="1">
      <alignment horizontal="center" vertical="center"/>
    </xf>
    <xf numFmtId="179" fontId="13" fillId="29" borderId="2" xfId="129" applyNumberFormat="1" applyFill="1" applyBorder="1" applyAlignment="1">
      <alignment horizontal="center" vertical="center"/>
    </xf>
    <xf numFmtId="0" fontId="13" fillId="29" borderId="2" xfId="129" applyFill="1" applyBorder="1" applyAlignment="1">
      <alignment horizontal="center" vertical="center"/>
    </xf>
    <xf numFmtId="0" fontId="13" fillId="0" borderId="0" xfId="129" applyAlignment="1">
      <alignment wrapText="1"/>
    </xf>
    <xf numFmtId="179" fontId="13" fillId="29" borderId="2" xfId="129" applyNumberFormat="1" applyFill="1" applyBorder="1" applyAlignment="1">
      <alignment horizontal="center" vertical="center" wrapText="1"/>
    </xf>
    <xf numFmtId="0" fontId="13" fillId="29" borderId="2" xfId="129" applyFill="1" applyBorder="1" applyAlignment="1">
      <alignment horizontal="center" vertical="center" wrapText="1"/>
    </xf>
    <xf numFmtId="0" fontId="13" fillId="29" borderId="25" xfId="129" applyFill="1" applyBorder="1" applyAlignment="1">
      <alignment horizontal="center" vertical="center" wrapText="1"/>
    </xf>
    <xf numFmtId="0" fontId="13" fillId="29" borderId="24" xfId="129" applyFill="1" applyBorder="1" applyAlignment="1">
      <alignment horizontal="center" vertical="center" wrapText="1"/>
    </xf>
    <xf numFmtId="0" fontId="59" fillId="4" borderId="0" xfId="118" applyFont="1" applyFill="1"/>
    <xf numFmtId="0" fontId="68" fillId="4" borderId="0" xfId="118" applyFont="1" applyFill="1" applyAlignment="1">
      <alignment horizontal="center"/>
    </xf>
    <xf numFmtId="0" fontId="67" fillId="4" borderId="0" xfId="118" applyFont="1" applyFill="1"/>
    <xf numFmtId="0" fontId="66" fillId="4" borderId="0" xfId="118" applyFont="1" applyFill="1" applyAlignment="1">
      <alignment horizontal="center"/>
    </xf>
    <xf numFmtId="0" fontId="62" fillId="4" borderId="2" xfId="118" applyFont="1" applyFill="1" applyBorder="1" applyAlignment="1">
      <alignment horizontal="left" vertical="center" wrapText="1"/>
    </xf>
    <xf numFmtId="0" fontId="62" fillId="4" borderId="2" xfId="118" applyFont="1" applyFill="1" applyBorder="1" applyAlignment="1">
      <alignment horizontal="left" vertical="center"/>
    </xf>
    <xf numFmtId="0" fontId="62" fillId="4" borderId="40" xfId="118" applyFont="1" applyFill="1" applyBorder="1" applyAlignment="1">
      <alignment horizontal="center" wrapText="1"/>
    </xf>
    <xf numFmtId="0" fontId="62" fillId="4" borderId="39" xfId="118" applyFont="1" applyFill="1" applyBorder="1" applyAlignment="1">
      <alignment horizontal="center"/>
    </xf>
    <xf numFmtId="17" fontId="23" fillId="4" borderId="42" xfId="118" applyNumberFormat="1" applyFont="1" applyFill="1" applyBorder="1" applyAlignment="1">
      <alignment horizontal="center" vertical="center"/>
    </xf>
    <xf numFmtId="17" fontId="23" fillId="4" borderId="41" xfId="118" applyNumberFormat="1" applyFont="1" applyFill="1" applyBorder="1" applyAlignment="1">
      <alignment horizontal="center" vertical="center"/>
    </xf>
    <xf numFmtId="0" fontId="62" fillId="4" borderId="40" xfId="118" applyFont="1" applyFill="1" applyBorder="1" applyAlignment="1">
      <alignment horizontal="center" vertical="center"/>
    </xf>
    <xf numFmtId="0" fontId="62" fillId="4" borderId="39" xfId="118" applyFont="1" applyFill="1" applyBorder="1" applyAlignment="1">
      <alignment horizontal="center" vertical="center"/>
    </xf>
    <xf numFmtId="0" fontId="59" fillId="4" borderId="0" xfId="118" applyFont="1" applyFill="1" applyAlignment="1">
      <alignment vertical="center"/>
    </xf>
    <xf numFmtId="0" fontId="62" fillId="4" borderId="2" xfId="118" applyFont="1" applyFill="1" applyBorder="1" applyAlignment="1">
      <alignment vertical="center"/>
    </xf>
    <xf numFmtId="0" fontId="62" fillId="4" borderId="2" xfId="118" applyFont="1" applyFill="1" applyBorder="1" applyAlignment="1">
      <alignment vertical="center" wrapText="1"/>
    </xf>
    <xf numFmtId="0" fontId="59" fillId="4" borderId="33" xfId="118" applyFont="1" applyFill="1" applyBorder="1" applyAlignment="1">
      <alignment horizontal="center" vertical="center"/>
    </xf>
    <xf numFmtId="0" fontId="59" fillId="4" borderId="32" xfId="118" applyFont="1" applyFill="1" applyBorder="1" applyAlignment="1">
      <alignment horizontal="center" vertical="center"/>
    </xf>
    <xf numFmtId="172" fontId="62" fillId="4" borderId="30" xfId="118" applyNumberFormat="1" applyFont="1" applyFill="1" applyBorder="1" applyAlignment="1">
      <alignment vertical="center"/>
    </xf>
    <xf numFmtId="172" fontId="62" fillId="4" borderId="32" xfId="118" applyNumberFormat="1" applyFont="1" applyFill="1" applyBorder="1" applyAlignment="1">
      <alignment vertical="center"/>
    </xf>
    <xf numFmtId="172" fontId="59" fillId="4" borderId="32" xfId="118" applyNumberFormat="1" applyFont="1" applyFill="1" applyBorder="1" applyAlignment="1">
      <alignment vertical="center"/>
    </xf>
    <xf numFmtId="172" fontId="61" fillId="4" borderId="32" xfId="118" applyNumberFormat="1" applyFont="1" applyFill="1" applyBorder="1" applyAlignment="1">
      <alignment vertical="center"/>
    </xf>
    <xf numFmtId="172" fontId="61" fillId="4" borderId="38" xfId="118" applyNumberFormat="1" applyFont="1" applyFill="1" applyBorder="1" applyAlignment="1">
      <alignment vertical="center"/>
    </xf>
    <xf numFmtId="0" fontId="59" fillId="4" borderId="2" xfId="118" applyFont="1" applyFill="1" applyBorder="1" applyAlignment="1">
      <alignment vertical="center"/>
    </xf>
    <xf numFmtId="0" fontId="59" fillId="4" borderId="2" xfId="118" applyFont="1" applyFill="1" applyBorder="1" applyAlignment="1">
      <alignment vertical="center" wrapText="1"/>
    </xf>
    <xf numFmtId="172" fontId="62" fillId="4" borderId="31" xfId="118" applyNumberFormat="1" applyFont="1" applyFill="1" applyBorder="1" applyAlignment="1">
      <alignment vertical="center"/>
    </xf>
    <xf numFmtId="172" fontId="62" fillId="4" borderId="2" xfId="118" applyNumberFormat="1" applyFont="1" applyFill="1" applyBorder="1" applyAlignment="1">
      <alignment vertical="center"/>
    </xf>
    <xf numFmtId="172" fontId="62" fillId="4" borderId="35" xfId="118" applyNumberFormat="1" applyFont="1" applyFill="1" applyBorder="1" applyAlignment="1">
      <alignment vertical="center"/>
    </xf>
    <xf numFmtId="172" fontId="59" fillId="4" borderId="17" xfId="118" applyNumberFormat="1" applyFont="1" applyFill="1" applyBorder="1" applyAlignment="1">
      <alignment vertical="center"/>
    </xf>
    <xf numFmtId="172" fontId="62" fillId="4" borderId="17" xfId="118" applyNumberFormat="1" applyFont="1" applyFill="1" applyBorder="1" applyAlignment="1">
      <alignment vertical="center"/>
    </xf>
    <xf numFmtId="172" fontId="61" fillId="4" borderId="33" xfId="118" applyNumberFormat="1" applyFont="1" applyFill="1" applyBorder="1" applyAlignment="1">
      <alignment vertical="center"/>
    </xf>
    <xf numFmtId="0" fontId="60" fillId="4" borderId="2" xfId="118" applyFont="1" applyFill="1" applyBorder="1" applyAlignment="1">
      <alignment vertical="center"/>
    </xf>
    <xf numFmtId="0" fontId="59" fillId="4" borderId="38" xfId="118" applyFont="1" applyFill="1" applyBorder="1" applyAlignment="1">
      <alignment vertical="center" wrapText="1"/>
    </xf>
    <xf numFmtId="172" fontId="59" fillId="4" borderId="31" xfId="118" applyNumberFormat="1" applyFont="1" applyFill="1" applyBorder="1" applyAlignment="1">
      <alignment vertical="center"/>
    </xf>
    <xf numFmtId="172" fontId="59" fillId="4" borderId="2" xfId="118" applyNumberFormat="1" applyFont="1" applyFill="1" applyBorder="1" applyAlignment="1">
      <alignment vertical="center"/>
    </xf>
    <xf numFmtId="172" fontId="23" fillId="4" borderId="38" xfId="118" applyNumberFormat="1" applyFont="1" applyFill="1" applyBorder="1" applyAlignment="1">
      <alignment vertical="center"/>
    </xf>
    <xf numFmtId="172" fontId="61" fillId="4" borderId="37" xfId="118" applyNumberFormat="1" applyFont="1" applyFill="1" applyBorder="1" applyAlignment="1">
      <alignment vertical="center"/>
    </xf>
    <xf numFmtId="172" fontId="23" fillId="4" borderId="36" xfId="118" applyNumberFormat="1" applyFont="1" applyFill="1" applyBorder="1" applyAlignment="1">
      <alignment vertical="center"/>
    </xf>
    <xf numFmtId="172" fontId="23" fillId="4" borderId="33" xfId="118" applyNumberFormat="1" applyFont="1" applyFill="1" applyBorder="1" applyAlignment="1">
      <alignment vertical="center"/>
    </xf>
    <xf numFmtId="172" fontId="23" fillId="4" borderId="31" xfId="118" applyNumberFormat="1" applyFont="1" applyFill="1" applyBorder="1" applyAlignment="1">
      <alignment vertical="center"/>
    </xf>
    <xf numFmtId="172" fontId="23" fillId="4" borderId="2" xfId="118" applyNumberFormat="1" applyFont="1" applyFill="1" applyBorder="1" applyAlignment="1">
      <alignment vertical="center"/>
    </xf>
    <xf numFmtId="0" fontId="59" fillId="4" borderId="2" xfId="118" applyFont="1" applyFill="1" applyBorder="1"/>
    <xf numFmtId="172" fontId="62" fillId="4" borderId="16" xfId="118" applyNumberFormat="1" applyFont="1" applyFill="1" applyBorder="1" applyAlignment="1">
      <alignment vertical="center"/>
    </xf>
    <xf numFmtId="0" fontId="59" fillId="4" borderId="34" xfId="118" applyFont="1" applyFill="1" applyBorder="1" applyAlignment="1">
      <alignment horizontal="center" vertical="center"/>
    </xf>
    <xf numFmtId="172" fontId="62" fillId="4" borderId="33" xfId="118" applyNumberFormat="1" applyFont="1" applyFill="1" applyBorder="1" applyAlignment="1">
      <alignment vertical="center"/>
    </xf>
    <xf numFmtId="172" fontId="62" fillId="4" borderId="29" xfId="118" applyNumberFormat="1" applyFont="1" applyFill="1" applyBorder="1" applyAlignment="1">
      <alignment vertical="center"/>
    </xf>
    <xf numFmtId="0" fontId="59" fillId="4" borderId="29" xfId="118" applyFont="1" applyFill="1" applyBorder="1" applyAlignment="1">
      <alignment horizontal="center" vertical="center"/>
    </xf>
    <xf numFmtId="172" fontId="62" fillId="4" borderId="28" xfId="118" applyNumberFormat="1" applyFont="1" applyFill="1" applyBorder="1" applyAlignment="1">
      <alignment vertical="center"/>
    </xf>
    <xf numFmtId="172" fontId="62" fillId="4" borderId="27" xfId="118" applyNumberFormat="1" applyFont="1" applyFill="1" applyBorder="1" applyAlignment="1">
      <alignment vertical="center"/>
    </xf>
    <xf numFmtId="172" fontId="59" fillId="4" borderId="27" xfId="118" applyNumberFormat="1" applyFont="1" applyFill="1" applyBorder="1" applyAlignment="1">
      <alignment vertical="center"/>
    </xf>
    <xf numFmtId="172" fontId="61" fillId="4" borderId="27" xfId="118" applyNumberFormat="1" applyFont="1" applyFill="1" applyBorder="1" applyAlignment="1">
      <alignment vertical="center"/>
    </xf>
    <xf numFmtId="172" fontId="61" fillId="4" borderId="26" xfId="118" applyNumberFormat="1" applyFont="1" applyFill="1" applyBorder="1" applyAlignment="1">
      <alignment vertical="center"/>
    </xf>
    <xf numFmtId="0" fontId="61" fillId="4" borderId="0" xfId="118" applyFont="1" applyFill="1"/>
    <xf numFmtId="0" fontId="59" fillId="4" borderId="2" xfId="118" quotePrefix="1" applyFont="1" applyFill="1" applyBorder="1"/>
    <xf numFmtId="0" fontId="63" fillId="4" borderId="0" xfId="118" applyFont="1" applyFill="1"/>
    <xf numFmtId="0" fontId="17" fillId="4" borderId="0" xfId="122" applyFill="1"/>
    <xf numFmtId="0" fontId="33" fillId="4" borderId="0" xfId="122" applyFont="1" applyFill="1" applyAlignment="1">
      <alignment horizontal="center"/>
    </xf>
    <xf numFmtId="0" fontId="33" fillId="4" borderId="2" xfId="122" applyFont="1" applyFill="1" applyBorder="1" applyAlignment="1">
      <alignment horizontal="center" vertical="center"/>
    </xf>
    <xf numFmtId="0" fontId="17" fillId="4" borderId="2" xfId="122" applyFill="1" applyBorder="1"/>
    <xf numFmtId="1" fontId="17" fillId="4" borderId="2" xfId="122" applyNumberFormat="1" applyFill="1" applyBorder="1"/>
    <xf numFmtId="0" fontId="33" fillId="4" borderId="0" xfId="122" applyFont="1" applyFill="1"/>
    <xf numFmtId="1" fontId="33" fillId="4" borderId="0" xfId="122" applyNumberFormat="1" applyFont="1" applyFill="1"/>
    <xf numFmtId="0" fontId="33" fillId="4" borderId="0" xfId="122" applyFont="1" applyFill="1" applyAlignment="1">
      <alignment horizontal="right"/>
    </xf>
    <xf numFmtId="0" fontId="17" fillId="4" borderId="44" xfId="122" applyFill="1" applyBorder="1"/>
    <xf numFmtId="0" fontId="23" fillId="4" borderId="0" xfId="122" applyFont="1" applyFill="1" applyAlignment="1">
      <alignment horizontal="center" vertical="center"/>
    </xf>
    <xf numFmtId="0" fontId="33" fillId="4" borderId="2" xfId="122" applyFont="1" applyFill="1" applyBorder="1"/>
    <xf numFmtId="0" fontId="23" fillId="4" borderId="45" xfId="122" applyFont="1" applyFill="1" applyBorder="1" applyAlignment="1">
      <alignment horizontal="centerContinuous" vertical="center"/>
    </xf>
    <xf numFmtId="0" fontId="59" fillId="4" borderId="0" xfId="118" quotePrefix="1" applyFont="1" applyFill="1"/>
    <xf numFmtId="0" fontId="33" fillId="4" borderId="0" xfId="118" applyFont="1" applyFill="1"/>
    <xf numFmtId="0" fontId="17" fillId="4" borderId="0" xfId="118" applyFill="1" applyBorder="1"/>
    <xf numFmtId="0" fontId="33" fillId="0" borderId="0" xfId="118" applyFont="1" applyBorder="1"/>
    <xf numFmtId="0" fontId="33" fillId="0" borderId="45" xfId="118" applyFont="1" applyBorder="1"/>
    <xf numFmtId="14" fontId="17" fillId="0" borderId="25" xfId="118" applyNumberFormat="1" applyFill="1" applyBorder="1"/>
    <xf numFmtId="0" fontId="17" fillId="0" borderId="0" xfId="118" applyFont="1" applyBorder="1"/>
    <xf numFmtId="0" fontId="17" fillId="0" borderId="45" xfId="118" applyFont="1" applyBorder="1"/>
    <xf numFmtId="0" fontId="17" fillId="0" borderId="45" xfId="118" applyBorder="1"/>
    <xf numFmtId="0" fontId="69" fillId="0" borderId="0" xfId="118" applyFont="1" applyBorder="1"/>
    <xf numFmtId="0" fontId="69" fillId="0" borderId="45" xfId="118" applyFont="1" applyBorder="1"/>
    <xf numFmtId="14" fontId="17" fillId="4" borderId="0" xfId="118" applyNumberFormat="1" applyFill="1"/>
    <xf numFmtId="0" fontId="69" fillId="0" borderId="19" xfId="118" applyFont="1" applyBorder="1"/>
    <xf numFmtId="0" fontId="69" fillId="0" borderId="18" xfId="118" applyFont="1" applyBorder="1"/>
    <xf numFmtId="0" fontId="17" fillId="4" borderId="0" xfId="118" applyFont="1" applyFill="1"/>
    <xf numFmtId="0" fontId="78" fillId="4" borderId="0" xfId="118" applyFont="1" applyFill="1"/>
    <xf numFmtId="0" fontId="17" fillId="4" borderId="0" xfId="118" applyFont="1" applyFill="1" applyAlignment="1">
      <alignment horizontal="right" vertical="top"/>
    </xf>
    <xf numFmtId="0" fontId="33" fillId="4" borderId="0" xfId="121" applyFont="1" applyFill="1" applyAlignment="1">
      <alignment wrapText="1"/>
    </xf>
    <xf numFmtId="0" fontId="78" fillId="4" borderId="0" xfId="121" applyFont="1" applyFill="1" applyAlignment="1">
      <alignment wrapText="1"/>
    </xf>
    <xf numFmtId="0" fontId="17" fillId="4" borderId="0" xfId="121" quotePrefix="1" applyFont="1" applyFill="1"/>
    <xf numFmtId="0" fontId="17" fillId="4" borderId="0" xfId="121" applyFont="1" applyFill="1"/>
    <xf numFmtId="0" fontId="17" fillId="4" borderId="0" xfId="121" quotePrefix="1" applyFont="1" applyFill="1" applyAlignment="1">
      <alignment horizontal="right" vertical="top"/>
    </xf>
    <xf numFmtId="0" fontId="80" fillId="4" borderId="0" xfId="118" applyFont="1" applyFill="1" applyAlignment="1"/>
    <xf numFmtId="0" fontId="17" fillId="4" borderId="0" xfId="118" applyFont="1" applyFill="1" applyAlignment="1">
      <alignment horizontal="center"/>
    </xf>
    <xf numFmtId="0" fontId="17" fillId="4" borderId="0" xfId="118" applyFill="1" applyAlignment="1">
      <alignment horizontal="center"/>
    </xf>
    <xf numFmtId="2" fontId="17" fillId="32" borderId="3" xfId="126" applyNumberFormat="1" applyFill="1" applyBorder="1" applyAlignment="1">
      <alignment horizontal="center"/>
    </xf>
    <xf numFmtId="2" fontId="17" fillId="32" borderId="60" xfId="126" applyNumberFormat="1" applyFill="1" applyBorder="1" applyAlignment="1">
      <alignment horizontal="center"/>
    </xf>
    <xf numFmtId="2" fontId="58" fillId="0" borderId="58" xfId="126" applyNumberFormat="1" applyFont="1" applyFill="1" applyBorder="1" applyAlignment="1">
      <alignment horizontal="center" vertical="center" wrapText="1"/>
    </xf>
    <xf numFmtId="2" fontId="58" fillId="0" borderId="57" xfId="126" applyNumberFormat="1" applyFont="1" applyFill="1" applyBorder="1" applyAlignment="1">
      <alignment horizontal="center" vertical="center" wrapText="1"/>
    </xf>
    <xf numFmtId="2" fontId="58" fillId="0" borderId="56" xfId="126" applyNumberFormat="1" applyFont="1" applyFill="1" applyBorder="1" applyAlignment="1">
      <alignment horizontal="center" vertical="center" wrapText="1"/>
    </xf>
    <xf numFmtId="0" fontId="17" fillId="0" borderId="0" xfId="118" applyFill="1" applyBorder="1"/>
    <xf numFmtId="0" fontId="17" fillId="0" borderId="45" xfId="118" applyFill="1" applyBorder="1"/>
    <xf numFmtId="0" fontId="70" fillId="0" borderId="0" xfId="118" quotePrefix="1" applyFont="1" applyFill="1" applyBorder="1" applyAlignment="1">
      <alignment horizontal="left" vertical="top" wrapText="1"/>
    </xf>
    <xf numFmtId="0" fontId="70" fillId="0" borderId="45" xfId="118" quotePrefix="1" applyFont="1" applyFill="1" applyBorder="1" applyAlignment="1">
      <alignment horizontal="left" vertical="top" wrapText="1"/>
    </xf>
    <xf numFmtId="0" fontId="13" fillId="4" borderId="0" xfId="129" applyFill="1"/>
    <xf numFmtId="0" fontId="13" fillId="4" borderId="0" xfId="129" applyFill="1" applyAlignment="1">
      <alignment horizontal="left" vertical="top" wrapText="1"/>
    </xf>
    <xf numFmtId="0" fontId="13" fillId="4" borderId="0" xfId="129" applyFill="1" applyAlignment="1">
      <alignment wrapText="1"/>
    </xf>
    <xf numFmtId="0" fontId="13" fillId="4" borderId="0" xfId="129" applyFill="1" applyAlignment="1">
      <alignment horizontal="center" vertical="center" wrapText="1"/>
    </xf>
    <xf numFmtId="0" fontId="13" fillId="4" borderId="0" xfId="129" applyFill="1" applyAlignment="1">
      <alignment horizontal="center" vertical="center"/>
    </xf>
    <xf numFmtId="0" fontId="13" fillId="4" borderId="2" xfId="129" applyFill="1" applyBorder="1" applyAlignment="1">
      <alignment horizontal="center"/>
    </xf>
    <xf numFmtId="179" fontId="13" fillId="4" borderId="2" xfId="129" applyNumberFormat="1" applyFill="1" applyBorder="1"/>
    <xf numFmtId="0" fontId="13" fillId="4" borderId="2" xfId="129" applyFill="1" applyBorder="1" applyAlignment="1">
      <alignment horizontal="center" vertical="center"/>
    </xf>
    <xf numFmtId="179" fontId="13" fillId="4" borderId="2" xfId="129" applyNumberFormat="1" applyFill="1" applyBorder="1" applyAlignment="1">
      <alignment horizontal="right" vertical="center"/>
    </xf>
    <xf numFmtId="0" fontId="13" fillId="4" borderId="0" xfId="129" applyFill="1" applyAlignment="1">
      <alignment horizontal="center"/>
    </xf>
    <xf numFmtId="0" fontId="13" fillId="4" borderId="0" xfId="129" applyFill="1" applyAlignment="1">
      <alignment horizontal="centerContinuous" vertical="top" wrapText="1"/>
    </xf>
    <xf numFmtId="0" fontId="45" fillId="4" borderId="0" xfId="129" applyFont="1" applyFill="1"/>
    <xf numFmtId="0" fontId="86" fillId="4" borderId="0" xfId="120" applyFont="1" applyFill="1" applyBorder="1" applyAlignment="1">
      <alignment horizontal="center" vertical="center" wrapText="1"/>
    </xf>
    <xf numFmtId="0" fontId="28" fillId="0" borderId="24" xfId="117" applyFont="1" applyBorder="1" applyAlignment="1">
      <alignment wrapText="1"/>
    </xf>
    <xf numFmtId="0" fontId="28" fillId="0" borderId="51" xfId="117" applyFont="1" applyBorder="1" applyAlignment="1">
      <alignment wrapText="1"/>
    </xf>
    <xf numFmtId="171" fontId="34" fillId="32" borderId="2" xfId="117" applyNumberFormat="1" applyFont="1" applyFill="1" applyBorder="1"/>
    <xf numFmtId="0" fontId="28" fillId="0" borderId="3" xfId="117" applyFont="1" applyBorder="1" applyAlignment="1">
      <alignment wrapText="1"/>
    </xf>
    <xf numFmtId="0" fontId="28" fillId="0" borderId="2" xfId="117" applyFont="1" applyBorder="1"/>
    <xf numFmtId="0" fontId="32" fillId="0" borderId="2" xfId="117" applyFont="1" applyBorder="1" applyAlignment="1">
      <alignment wrapText="1"/>
    </xf>
    <xf numFmtId="49" fontId="0" fillId="4" borderId="0" xfId="0" applyNumberFormat="1" applyFont="1" applyFill="1"/>
    <xf numFmtId="49" fontId="28" fillId="4" borderId="0" xfId="0" applyNumberFormat="1" applyFont="1" applyFill="1"/>
    <xf numFmtId="49" fontId="4" fillId="4" borderId="0" xfId="0" applyNumberFormat="1" applyFont="1" applyFill="1"/>
    <xf numFmtId="49" fontId="17" fillId="4" borderId="0" xfId="0" applyNumberFormat="1" applyFont="1" applyFill="1" applyAlignment="1">
      <alignment wrapText="1"/>
    </xf>
    <xf numFmtId="49" fontId="17" fillId="4" borderId="0" xfId="9" applyNumberFormat="1" applyFont="1" applyFill="1"/>
    <xf numFmtId="49" fontId="0" fillId="0" borderId="0" xfId="0" applyNumberFormat="1" applyFont="1"/>
    <xf numFmtId="0" fontId="0" fillId="0" borderId="0" xfId="0"/>
    <xf numFmtId="0" fontId="91" fillId="0" borderId="0" xfId="0" applyFont="1"/>
    <xf numFmtId="0" fontId="28" fillId="0" borderId="0" xfId="132" applyFont="1" applyAlignment="1">
      <alignment horizontal="left"/>
    </xf>
    <xf numFmtId="171" fontId="3" fillId="25" borderId="2" xfId="0" applyNumberFormat="1" applyFont="1" applyFill="1" applyBorder="1" applyAlignment="1">
      <alignment horizontal="center"/>
    </xf>
    <xf numFmtId="0" fontId="3" fillId="0" borderId="0" xfId="132" applyAlignment="1">
      <alignment horizontal="left"/>
    </xf>
    <xf numFmtId="0" fontId="28" fillId="0" borderId="0" xfId="0" applyFont="1" applyAlignment="1">
      <alignment vertical="center"/>
    </xf>
    <xf numFmtId="171" fontId="3" fillId="0" borderId="0" xfId="0" applyNumberFormat="1" applyFont="1" applyAlignment="1">
      <alignment horizontal="center"/>
    </xf>
    <xf numFmtId="181" fontId="28" fillId="36" borderId="2" xfId="134" applyNumberFormat="1" applyFont="1" applyFill="1" applyBorder="1" applyAlignment="1">
      <alignment horizontal="center" vertical="top"/>
    </xf>
    <xf numFmtId="181" fontId="32" fillId="37" borderId="2" xfId="134" applyNumberFormat="1" applyFont="1" applyFill="1" applyBorder="1" applyAlignment="1">
      <alignment horizontal="center" vertical="top"/>
    </xf>
    <xf numFmtId="181" fontId="105" fillId="36" borderId="2" xfId="134" applyNumberFormat="1" applyFont="1" applyFill="1" applyBorder="1" applyAlignment="1">
      <alignment horizontal="center" vertical="top"/>
    </xf>
    <xf numFmtId="181" fontId="110" fillId="37" borderId="2" xfId="94" applyNumberFormat="1" applyFont="1" applyFill="1" applyBorder="1" applyAlignment="1">
      <alignment horizontal="center" vertical="top"/>
    </xf>
    <xf numFmtId="181" fontId="110" fillId="40" borderId="2" xfId="94" applyNumberFormat="1" applyFont="1" applyFill="1" applyBorder="1" applyAlignment="1">
      <alignment horizontal="center" vertical="center"/>
    </xf>
    <xf numFmtId="181" fontId="110" fillId="0" borderId="0" xfId="94" applyNumberFormat="1" applyFont="1" applyAlignment="1">
      <alignment horizontal="center" vertical="center"/>
    </xf>
    <xf numFmtId="2" fontId="110" fillId="40" borderId="2" xfId="94" applyNumberFormat="1" applyFont="1" applyFill="1" applyBorder="1" applyAlignment="1">
      <alignment horizontal="center" vertical="center"/>
    </xf>
    <xf numFmtId="2" fontId="110" fillId="0" borderId="0" xfId="94" applyNumberFormat="1" applyFont="1" applyAlignment="1">
      <alignment horizontal="center" vertical="center"/>
    </xf>
    <xf numFmtId="181" fontId="110" fillId="4" borderId="0" xfId="94" applyNumberFormat="1" applyFont="1" applyFill="1" applyAlignment="1" applyProtection="1">
      <alignment horizontal="center" vertical="center"/>
      <protection locked="0"/>
    </xf>
    <xf numFmtId="0" fontId="51" fillId="4" borderId="0" xfId="0" applyFont="1" applyFill="1"/>
    <xf numFmtId="0" fontId="32" fillId="0" borderId="24" xfId="117" applyFont="1" applyBorder="1" applyAlignment="1">
      <alignment wrapText="1"/>
    </xf>
    <xf numFmtId="0" fontId="1" fillId="0" borderId="0" xfId="117" applyFont="1"/>
    <xf numFmtId="0" fontId="13" fillId="4" borderId="45" xfId="129" applyFill="1" applyBorder="1"/>
    <xf numFmtId="2" fontId="33" fillId="32" borderId="2" xfId="128" applyNumberFormat="1" applyFont="1" applyFill="1" applyBorder="1" applyAlignment="1">
      <alignment horizontal="center"/>
    </xf>
    <xf numFmtId="0" fontId="121" fillId="0" borderId="2" xfId="125" applyFont="1" applyBorder="1" applyAlignment="1">
      <alignment horizontal="center" vertical="center" wrapText="1"/>
    </xf>
    <xf numFmtId="172" fontId="61" fillId="29" borderId="33" xfId="118" applyNumberFormat="1" applyFont="1" applyFill="1" applyBorder="1" applyAlignment="1">
      <alignment vertical="center"/>
    </xf>
    <xf numFmtId="172" fontId="61" fillId="29" borderId="32" xfId="118" applyNumberFormat="1" applyFont="1" applyFill="1" applyBorder="1" applyAlignment="1">
      <alignment vertical="center"/>
    </xf>
    <xf numFmtId="172" fontId="61" fillId="29" borderId="30" xfId="118" applyNumberFormat="1" applyFont="1" applyFill="1" applyBorder="1" applyAlignment="1">
      <alignment vertical="center"/>
    </xf>
    <xf numFmtId="172" fontId="23" fillId="29" borderId="30" xfId="118" applyNumberFormat="1" applyFont="1" applyFill="1" applyBorder="1" applyAlignment="1">
      <alignment vertical="center"/>
    </xf>
    <xf numFmtId="172" fontId="61" fillId="29" borderId="16" xfId="118" applyNumberFormat="1" applyFont="1" applyFill="1" applyBorder="1" applyAlignment="1">
      <alignment vertical="center"/>
    </xf>
    <xf numFmtId="164" fontId="17" fillId="4" borderId="2" xfId="123" applyNumberFormat="1" applyFill="1" applyBorder="1" applyAlignment="1">
      <alignment horizontal="center"/>
    </xf>
    <xf numFmtId="164" fontId="17" fillId="4" borderId="40" xfId="123" applyNumberFormat="1" applyFill="1" applyBorder="1" applyAlignment="1">
      <alignment horizontal="center"/>
    </xf>
    <xf numFmtId="175" fontId="17" fillId="4" borderId="2" xfId="121" quotePrefix="1" applyNumberFormat="1" applyFont="1" applyFill="1" applyBorder="1" applyAlignment="1">
      <alignment horizontal="center"/>
    </xf>
    <xf numFmtId="2" fontId="17" fillId="0" borderId="0" xfId="118" applyNumberFormat="1" applyFont="1"/>
    <xf numFmtId="0" fontId="33" fillId="4" borderId="2" xfId="120" applyFont="1" applyFill="1" applyBorder="1" applyAlignment="1">
      <alignment horizontal="center" vertical="center" wrapText="1"/>
    </xf>
    <xf numFmtId="0" fontId="33" fillId="4" borderId="2" xfId="118" applyFont="1" applyFill="1" applyBorder="1" applyAlignment="1">
      <alignment horizontal="center" wrapText="1"/>
    </xf>
    <xf numFmtId="0" fontId="33" fillId="4" borderId="2" xfId="118" applyFont="1" applyFill="1" applyBorder="1" applyAlignment="1">
      <alignment horizontal="center"/>
    </xf>
    <xf numFmtId="186" fontId="58" fillId="4" borderId="2" xfId="120" applyNumberFormat="1" applyFont="1" applyFill="1" applyBorder="1" applyAlignment="1">
      <alignment horizontal="center"/>
    </xf>
    <xf numFmtId="0" fontId="58" fillId="4" borderId="2" xfId="120" applyFont="1" applyFill="1" applyBorder="1" applyAlignment="1">
      <alignment horizontal="center" vertical="center" wrapText="1"/>
    </xf>
    <xf numFmtId="17" fontId="33" fillId="4" borderId="2" xfId="123" applyNumberFormat="1" applyFont="1" applyFill="1" applyBorder="1" applyAlignment="1">
      <alignment horizontal="center"/>
    </xf>
    <xf numFmtId="164" fontId="82" fillId="4" borderId="2" xfId="120" applyNumberFormat="1" applyFont="1" applyFill="1" applyBorder="1" applyAlignment="1">
      <alignment horizontal="center"/>
    </xf>
    <xf numFmtId="0" fontId="17" fillId="4" borderId="2" xfId="118" applyFill="1" applyBorder="1" applyAlignment="1">
      <alignment horizontal="center" vertical="center"/>
    </xf>
    <xf numFmtId="164" fontId="17" fillId="4" borderId="2" xfId="118" applyNumberFormat="1" applyFill="1" applyBorder="1"/>
    <xf numFmtId="0" fontId="58" fillId="4" borderId="2" xfId="118" applyFont="1" applyFill="1" applyBorder="1" applyAlignment="1">
      <alignment horizontal="center" vertical="center" wrapText="1"/>
    </xf>
    <xf numFmtId="164" fontId="78" fillId="4" borderId="2" xfId="118" applyNumberFormat="1" applyFont="1" applyFill="1" applyBorder="1"/>
    <xf numFmtId="0" fontId="17" fillId="4" borderId="0" xfId="118" applyFill="1" applyAlignment="1">
      <alignment horizontal="centerContinuous" vertical="top" wrapText="1"/>
    </xf>
    <xf numFmtId="171" fontId="32" fillId="4" borderId="42" xfId="118" applyNumberFormat="1" applyFont="1" applyFill="1" applyBorder="1"/>
    <xf numFmtId="171" fontId="32" fillId="4" borderId="40" xfId="118" applyNumberFormat="1" applyFont="1" applyFill="1" applyBorder="1"/>
    <xf numFmtId="171" fontId="32" fillId="4" borderId="36" xfId="118" applyNumberFormat="1" applyFont="1" applyFill="1" applyBorder="1"/>
    <xf numFmtId="171" fontId="32" fillId="4" borderId="33" xfId="118" applyNumberFormat="1" applyFont="1" applyFill="1" applyBorder="1"/>
    <xf numFmtId="171" fontId="32" fillId="4" borderId="34" xfId="118" applyNumberFormat="1" applyFont="1" applyFill="1" applyBorder="1"/>
    <xf numFmtId="171" fontId="32" fillId="4" borderId="62" xfId="118" applyNumberFormat="1" applyFont="1" applyFill="1" applyBorder="1"/>
    <xf numFmtId="171" fontId="32" fillId="4" borderId="29" xfId="118" applyNumberFormat="1" applyFont="1" applyFill="1" applyBorder="1"/>
    <xf numFmtId="0" fontId="78" fillId="0" borderId="2" xfId="125" applyFont="1" applyBorder="1" applyAlignment="1">
      <alignment horizontal="center" vertical="center" wrapText="1"/>
    </xf>
    <xf numFmtId="0" fontId="33" fillId="0" borderId="2" xfId="125" applyFont="1" applyBorder="1" applyAlignment="1">
      <alignment horizontal="center" vertical="center" wrapText="1"/>
    </xf>
    <xf numFmtId="0" fontId="33" fillId="0" borderId="2" xfId="125" quotePrefix="1" applyFont="1" applyBorder="1" applyAlignment="1">
      <alignment horizontal="center" vertical="center" wrapText="1"/>
    </xf>
    <xf numFmtId="0" fontId="33" fillId="0" borderId="2" xfId="123" applyFont="1" applyFill="1" applyBorder="1" applyAlignment="1">
      <alignment horizontal="center" vertical="center" wrapText="1"/>
    </xf>
    <xf numFmtId="0" fontId="33" fillId="0" borderId="2" xfId="127" applyFont="1" applyFill="1" applyBorder="1" applyAlignment="1">
      <alignment horizontal="center" vertical="center" wrapText="1"/>
    </xf>
    <xf numFmtId="0" fontId="33" fillId="0" borderId="2" xfId="120" applyFont="1" applyFill="1" applyBorder="1" applyAlignment="1">
      <alignment horizontal="center" vertical="center" wrapText="1"/>
    </xf>
    <xf numFmtId="0" fontId="0" fillId="13" borderId="2" xfId="141" applyFont="1" applyBorder="1"/>
    <xf numFmtId="0" fontId="28" fillId="0" borderId="2" xfId="8" applyFont="1" applyBorder="1"/>
    <xf numFmtId="0" fontId="28" fillId="5" borderId="2" xfId="8" applyFont="1" applyFill="1" applyBorder="1" applyAlignment="1">
      <alignment horizontal="center"/>
    </xf>
    <xf numFmtId="0" fontId="28" fillId="41" borderId="2" xfId="8" applyFont="1" applyFill="1" applyBorder="1" applyAlignment="1" applyProtection="1">
      <alignment horizontal="center"/>
      <protection locked="0"/>
    </xf>
    <xf numFmtId="0" fontId="28" fillId="5" borderId="2" xfId="8" applyFont="1" applyFill="1" applyBorder="1" applyAlignment="1" applyProtection="1">
      <alignment horizontal="center"/>
      <protection locked="0"/>
    </xf>
    <xf numFmtId="187" fontId="28" fillId="5" borderId="2" xfId="8" applyNumberFormat="1" applyFont="1" applyFill="1" applyBorder="1" applyAlignment="1" applyProtection="1">
      <alignment horizontal="center"/>
      <protection locked="0"/>
    </xf>
    <xf numFmtId="0" fontId="28" fillId="16" borderId="2" xfId="8" applyFont="1" applyFill="1" applyBorder="1" applyAlignment="1">
      <alignment horizontal="center"/>
    </xf>
    <xf numFmtId="0" fontId="28" fillId="0" borderId="2" xfId="8" applyFont="1" applyBorder="1" applyAlignment="1">
      <alignment horizontal="right"/>
    </xf>
    <xf numFmtId="2" fontId="28" fillId="4" borderId="2" xfId="8" applyNumberFormat="1" applyFont="1" applyFill="1" applyBorder="1"/>
    <xf numFmtId="0" fontId="32" fillId="0" borderId="2" xfId="8" applyFont="1" applyBorder="1" applyAlignment="1">
      <alignment wrapText="1"/>
    </xf>
    <xf numFmtId="0" fontId="34" fillId="0" borderId="2" xfId="0" applyFont="1" applyBorder="1" applyAlignment="1">
      <alignment wrapText="1"/>
    </xf>
    <xf numFmtId="0" fontId="32" fillId="0" borderId="2" xfId="8" applyFont="1" applyBorder="1" applyAlignment="1">
      <alignment horizontal="center" wrapText="1"/>
    </xf>
    <xf numFmtId="49" fontId="28" fillId="0" borderId="2" xfId="8" applyNumberFormat="1" applyFont="1" applyBorder="1"/>
    <xf numFmtId="0" fontId="0" fillId="0" borderId="2" xfId="0" applyBorder="1" applyAlignment="1">
      <alignment horizontal="center"/>
    </xf>
    <xf numFmtId="171" fontId="28" fillId="28" borderId="2" xfId="8" applyNumberFormat="1" applyFont="1" applyFill="1" applyBorder="1"/>
    <xf numFmtId="188" fontId="1" fillId="13" borderId="2" xfId="141" applyNumberFormat="1" applyFont="1" applyBorder="1"/>
    <xf numFmtId="188" fontId="0" fillId="16" borderId="2" xfId="0" applyNumberFormat="1" applyFill="1" applyBorder="1"/>
    <xf numFmtId="171" fontId="1" fillId="13" borderId="2" xfId="141" applyNumberFormat="1" applyFont="1" applyBorder="1"/>
    <xf numFmtId="171" fontId="0" fillId="16" borderId="2" xfId="0" applyNumberFormat="1" applyFill="1" applyBorder="1"/>
    <xf numFmtId="49" fontId="1" fillId="4" borderId="0" xfId="0" applyNumberFormat="1" applyFont="1" applyFill="1"/>
    <xf numFmtId="0" fontId="34" fillId="43" borderId="0" xfId="0" applyFont="1" applyFill="1"/>
    <xf numFmtId="0" fontId="123" fillId="0" borderId="0" xfId="0" applyFont="1" applyAlignment="1">
      <alignment horizontal="center"/>
    </xf>
    <xf numFmtId="0" fontId="123" fillId="0" borderId="0" xfId="0" applyFont="1"/>
    <xf numFmtId="0" fontId="123" fillId="0" borderId="19" xfId="0" applyFont="1" applyBorder="1"/>
    <xf numFmtId="0" fontId="123" fillId="41" borderId="22" xfId="0" applyFont="1" applyFill="1" applyBorder="1" applyAlignment="1">
      <alignment horizontal="center"/>
    </xf>
    <xf numFmtId="0" fontId="123" fillId="41" borderId="24" xfId="0" applyFont="1" applyFill="1" applyBorder="1" applyAlignment="1">
      <alignment horizontal="center"/>
    </xf>
    <xf numFmtId="0" fontId="123" fillId="41" borderId="0" xfId="0" applyFont="1" applyFill="1" applyAlignment="1">
      <alignment horizontal="center"/>
    </xf>
    <xf numFmtId="0" fontId="123" fillId="41" borderId="51" xfId="0" applyFont="1" applyFill="1" applyBorder="1" applyAlignment="1">
      <alignment horizontal="center"/>
    </xf>
    <xf numFmtId="189" fontId="123" fillId="41" borderId="23" xfId="0" applyNumberFormat="1" applyFont="1" applyFill="1" applyBorder="1" applyAlignment="1">
      <alignment horizontal="center"/>
    </xf>
    <xf numFmtId="189" fontId="123" fillId="41" borderId="22" xfId="0" applyNumberFormat="1" applyFont="1" applyFill="1" applyBorder="1" applyAlignment="1">
      <alignment horizontal="center"/>
    </xf>
    <xf numFmtId="189" fontId="123" fillId="41" borderId="21" xfId="0" applyNumberFormat="1" applyFont="1" applyFill="1" applyBorder="1" applyAlignment="1">
      <alignment horizontal="center"/>
    </xf>
    <xf numFmtId="176" fontId="123" fillId="16" borderId="21" xfId="0" applyNumberFormat="1" applyFont="1" applyFill="1" applyBorder="1" applyAlignment="1">
      <alignment horizontal="center"/>
    </xf>
    <xf numFmtId="0" fontId="123" fillId="41" borderId="21" xfId="0" applyFont="1" applyFill="1" applyBorder="1" applyAlignment="1">
      <alignment horizontal="center"/>
    </xf>
    <xf numFmtId="189" fontId="123" fillId="41" borderId="25" xfId="0" applyNumberFormat="1" applyFont="1" applyFill="1" applyBorder="1" applyAlignment="1">
      <alignment horizontal="center"/>
    </xf>
    <xf numFmtId="189" fontId="123" fillId="41" borderId="0" xfId="0" applyNumberFormat="1" applyFont="1" applyFill="1" applyAlignment="1">
      <alignment horizontal="center"/>
    </xf>
    <xf numFmtId="189" fontId="123" fillId="41" borderId="45" xfId="0" applyNumberFormat="1" applyFont="1" applyFill="1" applyBorder="1" applyAlignment="1">
      <alignment horizontal="center"/>
    </xf>
    <xf numFmtId="176" fontId="123" fillId="16" borderId="45" xfId="0" applyNumberFormat="1" applyFont="1" applyFill="1" applyBorder="1" applyAlignment="1">
      <alignment horizontal="center"/>
    </xf>
    <xf numFmtId="0" fontId="123" fillId="41" borderId="45" xfId="0" applyFont="1" applyFill="1" applyBorder="1" applyAlignment="1">
      <alignment horizontal="center"/>
    </xf>
    <xf numFmtId="0" fontId="123" fillId="41" borderId="19" xfId="0" applyFont="1" applyFill="1" applyBorder="1" applyAlignment="1">
      <alignment horizontal="center"/>
    </xf>
    <xf numFmtId="189" fontId="123" fillId="41" borderId="20" xfId="0" applyNumberFormat="1" applyFont="1" applyFill="1" applyBorder="1" applyAlignment="1">
      <alignment horizontal="center"/>
    </xf>
    <xf numFmtId="189" fontId="123" fillId="41" borderId="19" xfId="0" applyNumberFormat="1" applyFont="1" applyFill="1" applyBorder="1" applyAlignment="1">
      <alignment horizontal="center"/>
    </xf>
    <xf numFmtId="189" fontId="123" fillId="41" borderId="18" xfId="0" applyNumberFormat="1" applyFont="1" applyFill="1" applyBorder="1" applyAlignment="1">
      <alignment horizontal="center"/>
    </xf>
    <xf numFmtId="176" fontId="123" fillId="16" borderId="18" xfId="0" applyNumberFormat="1" applyFont="1" applyFill="1" applyBorder="1" applyAlignment="1">
      <alignment horizontal="center"/>
    </xf>
    <xf numFmtId="0" fontId="123" fillId="41" borderId="18" xfId="0" applyFont="1" applyFill="1" applyBorder="1" applyAlignment="1">
      <alignment horizontal="center"/>
    </xf>
    <xf numFmtId="0" fontId="123" fillId="41" borderId="3" xfId="0" applyFont="1" applyFill="1" applyBorder="1" applyAlignment="1">
      <alignment horizontal="center"/>
    </xf>
    <xf numFmtId="2" fontId="123" fillId="41" borderId="23" xfId="0" applyNumberFormat="1" applyFont="1" applyFill="1" applyBorder="1" applyAlignment="1">
      <alignment horizontal="center"/>
    </xf>
    <xf numFmtId="2" fontId="123" fillId="41" borderId="25" xfId="0" applyNumberFormat="1" applyFont="1" applyFill="1" applyBorder="1" applyAlignment="1">
      <alignment horizontal="center"/>
    </xf>
    <xf numFmtId="0" fontId="123" fillId="41" borderId="25" xfId="0" applyFont="1" applyFill="1" applyBorder="1" applyAlignment="1">
      <alignment horizontal="center"/>
    </xf>
    <xf numFmtId="0" fontId="123" fillId="41" borderId="20" xfId="0" applyFont="1" applyFill="1" applyBorder="1" applyAlignment="1">
      <alignment horizontal="center"/>
    </xf>
    <xf numFmtId="17" fontId="123" fillId="41" borderId="21" xfId="0" applyNumberFormat="1" applyFont="1" applyFill="1" applyBorder="1" applyAlignment="1">
      <alignment horizontal="center"/>
    </xf>
    <xf numFmtId="17" fontId="123" fillId="41" borderId="45" xfId="0" applyNumberFormat="1" applyFont="1" applyFill="1" applyBorder="1" applyAlignment="1">
      <alignment horizontal="center"/>
    </xf>
    <xf numFmtId="17" fontId="123" fillId="41" borderId="18" xfId="0" applyNumberFormat="1" applyFont="1" applyFill="1" applyBorder="1" applyAlignment="1">
      <alignment horizontal="center"/>
    </xf>
    <xf numFmtId="0" fontId="123" fillId="0" borderId="22" xfId="0" applyFont="1" applyFill="1" applyBorder="1" applyAlignment="1">
      <alignment horizontal="center"/>
    </xf>
    <xf numFmtId="0" fontId="123" fillId="0" borderId="0" xfId="0" applyFont="1" applyFill="1" applyAlignment="1">
      <alignment horizontal="center"/>
    </xf>
    <xf numFmtId="0" fontId="123" fillId="0" borderId="21" xfId="0" applyFont="1" applyFill="1" applyBorder="1" applyAlignment="1">
      <alignment horizontal="center"/>
    </xf>
    <xf numFmtId="0" fontId="123" fillId="0" borderId="45" xfId="0" applyFont="1" applyFill="1" applyBorder="1" applyAlignment="1">
      <alignment horizontal="center"/>
    </xf>
    <xf numFmtId="0" fontId="123" fillId="0" borderId="24" xfId="0" applyFont="1" applyFill="1" applyBorder="1" applyAlignment="1">
      <alignment horizontal="center"/>
    </xf>
    <xf numFmtId="0" fontId="123" fillId="0" borderId="51" xfId="0" applyFont="1" applyFill="1" applyBorder="1" applyAlignment="1">
      <alignment horizontal="center"/>
    </xf>
    <xf numFmtId="0" fontId="123" fillId="0" borderId="3" xfId="0" applyFont="1" applyFill="1" applyBorder="1" applyAlignment="1">
      <alignment horizontal="center"/>
    </xf>
    <xf numFmtId="0" fontId="123" fillId="0" borderId="18" xfId="0" applyFont="1" applyFill="1" applyBorder="1" applyAlignment="1">
      <alignment horizontal="center"/>
    </xf>
    <xf numFmtId="0" fontId="123" fillId="0" borderId="19" xfId="0" applyFont="1" applyFill="1" applyBorder="1" applyAlignment="1">
      <alignment horizontal="center"/>
    </xf>
    <xf numFmtId="17" fontId="123" fillId="0" borderId="0" xfId="0" applyNumberFormat="1" applyFont="1" applyFill="1" applyAlignment="1">
      <alignment horizontal="center"/>
    </xf>
    <xf numFmtId="189" fontId="123" fillId="0" borderId="0" xfId="0" applyNumberFormat="1" applyFont="1" applyFill="1" applyAlignment="1">
      <alignment horizontal="center"/>
    </xf>
    <xf numFmtId="176" fontId="123" fillId="0" borderId="0" xfId="0" applyNumberFormat="1" applyFont="1" applyFill="1" applyAlignment="1">
      <alignment horizontal="center"/>
    </xf>
    <xf numFmtId="0" fontId="123" fillId="0" borderId="23" xfId="0" applyFont="1" applyFill="1" applyBorder="1" applyAlignment="1">
      <alignment horizontal="center"/>
    </xf>
    <xf numFmtId="0" fontId="123" fillId="0" borderId="25" xfId="0" applyFont="1" applyFill="1" applyBorder="1" applyAlignment="1">
      <alignment horizontal="center"/>
    </xf>
    <xf numFmtId="0" fontId="123" fillId="0" borderId="0" xfId="0" applyFont="1" applyFill="1"/>
    <xf numFmtId="0" fontId="124" fillId="0" borderId="25" xfId="0" applyFont="1" applyFill="1" applyBorder="1"/>
    <xf numFmtId="0" fontId="123" fillId="0" borderId="20" xfId="0" applyFont="1" applyFill="1" applyBorder="1" applyAlignment="1">
      <alignment horizontal="center"/>
    </xf>
    <xf numFmtId="0" fontId="123" fillId="0" borderId="19" xfId="0" applyFont="1" applyFill="1" applyBorder="1"/>
    <xf numFmtId="0" fontId="123" fillId="0" borderId="25" xfId="0" applyFont="1" applyFill="1" applyBorder="1" applyAlignment="1">
      <alignment horizontal="left"/>
    </xf>
    <xf numFmtId="0" fontId="123" fillId="0" borderId="51" xfId="0" applyFont="1" applyFill="1" applyBorder="1"/>
    <xf numFmtId="0" fontId="123" fillId="0" borderId="24" xfId="0" applyFont="1" applyFill="1" applyBorder="1" applyAlignment="1">
      <alignment horizontal="left"/>
    </xf>
    <xf numFmtId="2" fontId="123" fillId="0" borderId="23" xfId="0" applyNumberFormat="1" applyFont="1" applyFill="1" applyBorder="1" applyAlignment="1">
      <alignment horizontal="center"/>
    </xf>
    <xf numFmtId="0" fontId="123" fillId="0" borderId="51" xfId="0" applyFont="1" applyFill="1" applyBorder="1" applyAlignment="1">
      <alignment horizontal="left"/>
    </xf>
    <xf numFmtId="2" fontId="123" fillId="0" borderId="25" xfId="0" applyNumberFormat="1" applyFont="1" applyFill="1" applyBorder="1" applyAlignment="1">
      <alignment horizontal="center"/>
    </xf>
    <xf numFmtId="0" fontId="123" fillId="0" borderId="3" xfId="0" applyFont="1" applyFill="1" applyBorder="1" applyAlignment="1">
      <alignment horizontal="left"/>
    </xf>
    <xf numFmtId="2" fontId="123" fillId="0" borderId="20" xfId="0" applyNumberFormat="1" applyFont="1" applyFill="1" applyBorder="1" applyAlignment="1">
      <alignment horizontal="center"/>
    </xf>
    <xf numFmtId="0" fontId="123" fillId="0" borderId="20" xfId="0" applyFont="1" applyFill="1" applyBorder="1" applyAlignment="1">
      <alignment horizontal="left"/>
    </xf>
    <xf numFmtId="2" fontId="123" fillId="0" borderId="22" xfId="0" applyNumberFormat="1" applyFont="1" applyFill="1" applyBorder="1" applyAlignment="1">
      <alignment horizontal="center"/>
    </xf>
    <xf numFmtId="2" fontId="123" fillId="0" borderId="0" xfId="0" applyNumberFormat="1" applyFont="1" applyFill="1" applyAlignment="1">
      <alignment horizontal="center"/>
    </xf>
    <xf numFmtId="17" fontId="123" fillId="0" borderId="21" xfId="0" applyNumberFormat="1" applyFont="1" applyFill="1" applyBorder="1" applyAlignment="1">
      <alignment horizontal="center"/>
    </xf>
    <xf numFmtId="17" fontId="123" fillId="0" borderId="45" xfId="0" applyNumberFormat="1" applyFont="1" applyFill="1" applyBorder="1" applyAlignment="1">
      <alignment horizontal="center"/>
    </xf>
    <xf numFmtId="17" fontId="123" fillId="0" borderId="18" xfId="0" applyNumberFormat="1" applyFont="1" applyFill="1" applyBorder="1" applyAlignment="1">
      <alignment horizontal="center"/>
    </xf>
    <xf numFmtId="2" fontId="123" fillId="0" borderId="23" xfId="0" applyNumberFormat="1" applyFont="1" applyFill="1" applyBorder="1" applyAlignment="1">
      <alignment horizontal="left"/>
    </xf>
    <xf numFmtId="0" fontId="123" fillId="0" borderId="20" xfId="0" applyFont="1" applyFill="1" applyBorder="1" applyAlignment="1">
      <alignment horizontal="centerContinuous"/>
    </xf>
    <xf numFmtId="0" fontId="123" fillId="0" borderId="0" xfId="0" applyFont="1" applyFill="1" applyAlignment="1">
      <alignment horizontal="centerContinuous"/>
    </xf>
    <xf numFmtId="0" fontId="123" fillId="0" borderId="45" xfId="0" applyFont="1" applyFill="1" applyBorder="1" applyAlignment="1">
      <alignment horizontal="centerContinuous"/>
    </xf>
    <xf numFmtId="0" fontId="125" fillId="0" borderId="20" xfId="0" applyFont="1" applyFill="1" applyBorder="1" applyAlignment="1">
      <alignment horizontal="centerContinuous"/>
    </xf>
    <xf numFmtId="0" fontId="125" fillId="0" borderId="19" xfId="0" applyFont="1" applyFill="1" applyBorder="1" applyAlignment="1">
      <alignment horizontal="centerContinuous"/>
    </xf>
    <xf numFmtId="0" fontId="125" fillId="0" borderId="18" xfId="0" applyFont="1" applyFill="1" applyBorder="1" applyAlignment="1">
      <alignment horizontal="centerContinuous"/>
    </xf>
    <xf numFmtId="0" fontId="123" fillId="0" borderId="23" xfId="0" applyFont="1" applyFill="1" applyBorder="1" applyAlignment="1">
      <alignment horizontal="centerContinuous"/>
    </xf>
    <xf numFmtId="0" fontId="123" fillId="0" borderId="22" xfId="0" applyFont="1" applyFill="1" applyBorder="1" applyAlignment="1">
      <alignment horizontal="centerContinuous"/>
    </xf>
    <xf numFmtId="0" fontId="123" fillId="0" borderId="21" xfId="0" applyFont="1" applyFill="1" applyBorder="1" applyAlignment="1">
      <alignment horizontal="centerContinuous"/>
    </xf>
    <xf numFmtId="0" fontId="20" fillId="13" borderId="24" xfId="40" applyFont="1" applyBorder="1"/>
    <xf numFmtId="0" fontId="20" fillId="13" borderId="51" xfId="40" applyFont="1" applyBorder="1"/>
    <xf numFmtId="0" fontId="20" fillId="13" borderId="3" xfId="40" applyFont="1" applyBorder="1"/>
    <xf numFmtId="0" fontId="123" fillId="0" borderId="0" xfId="0" applyFont="1" applyFill="1" applyBorder="1"/>
    <xf numFmtId="0" fontId="123" fillId="0" borderId="0" xfId="0" applyFont="1" applyFill="1" applyBorder="1" applyAlignment="1">
      <alignment horizontal="center"/>
    </xf>
    <xf numFmtId="0" fontId="123" fillId="0" borderId="0" xfId="0" applyFont="1" applyBorder="1" applyAlignment="1">
      <alignment horizontal="center"/>
    </xf>
    <xf numFmtId="0" fontId="123" fillId="0" borderId="0" xfId="0" applyFont="1" applyBorder="1"/>
    <xf numFmtId="0" fontId="49" fillId="24" borderId="19" xfId="0" applyFont="1" applyFill="1" applyBorder="1"/>
    <xf numFmtId="0" fontId="0" fillId="24" borderId="19" xfId="0" applyFill="1" applyBorder="1"/>
    <xf numFmtId="0" fontId="20" fillId="13" borderId="21" xfId="40" applyFont="1" applyBorder="1"/>
    <xf numFmtId="0" fontId="20" fillId="13" borderId="45" xfId="40" applyFont="1" applyBorder="1"/>
    <xf numFmtId="0" fontId="20" fillId="13" borderId="18" xfId="40" applyFont="1" applyBorder="1"/>
    <xf numFmtId="189" fontId="123" fillId="41" borderId="0" xfId="0" applyNumberFormat="1" applyFont="1" applyFill="1" applyBorder="1" applyAlignment="1">
      <alignment horizontal="center"/>
    </xf>
    <xf numFmtId="0" fontId="20" fillId="13" borderId="0" xfId="40" applyFont="1" applyBorder="1"/>
    <xf numFmtId="0" fontId="20" fillId="13" borderId="23" xfId="40" applyFont="1" applyBorder="1"/>
    <xf numFmtId="0" fontId="20" fillId="13" borderId="22" xfId="40" applyFont="1" applyBorder="1"/>
    <xf numFmtId="0" fontId="20" fillId="13" borderId="25" xfId="40" applyFont="1" applyBorder="1"/>
    <xf numFmtId="0" fontId="20" fillId="13" borderId="20" xfId="40" applyFont="1" applyBorder="1"/>
    <xf numFmtId="0" fontId="20" fillId="13" borderId="19" xfId="40" applyFont="1" applyBorder="1"/>
    <xf numFmtId="0" fontId="34" fillId="4" borderId="2" xfId="142" applyFont="1" applyFill="1" applyBorder="1" applyAlignment="1">
      <alignment wrapText="1"/>
    </xf>
    <xf numFmtId="0" fontId="32" fillId="0" borderId="2" xfId="142" applyFont="1" applyBorder="1" applyAlignment="1">
      <alignment wrapText="1"/>
    </xf>
    <xf numFmtId="0" fontId="1" fillId="4" borderId="0" xfId="142" applyFill="1"/>
    <xf numFmtId="0" fontId="32" fillId="4" borderId="19" xfId="142" applyFont="1" applyFill="1" applyBorder="1" applyAlignment="1">
      <alignment wrapText="1"/>
    </xf>
    <xf numFmtId="0" fontId="1" fillId="4" borderId="19" xfId="142" applyFill="1" applyBorder="1"/>
    <xf numFmtId="0" fontId="34" fillId="0" borderId="2" xfId="142" applyFont="1" applyBorder="1"/>
    <xf numFmtId="0" fontId="34" fillId="0" borderId="2" xfId="142" applyFont="1" applyBorder="1" applyAlignment="1">
      <alignment wrapText="1"/>
    </xf>
    <xf numFmtId="0" fontId="28" fillId="0" borderId="2" xfId="142" applyFont="1" applyBorder="1" applyAlignment="1">
      <alignment wrapText="1"/>
    </xf>
    <xf numFmtId="0" fontId="1" fillId="0" borderId="2" xfId="142" applyBorder="1" applyAlignment="1">
      <alignment wrapText="1"/>
    </xf>
    <xf numFmtId="0" fontId="1" fillId="4" borderId="2" xfId="142" applyFill="1" applyBorder="1" applyAlignment="1">
      <alignment wrapText="1"/>
    </xf>
    <xf numFmtId="0" fontId="59" fillId="30" borderId="2" xfId="142" applyFont="1" applyFill="1" applyBorder="1" applyAlignment="1">
      <alignment horizontal="left" vertical="center" wrapText="1"/>
    </xf>
    <xf numFmtId="17" fontId="33" fillId="0" borderId="25" xfId="118" applyNumberFormat="1" applyFont="1" applyBorder="1"/>
    <xf numFmtId="14" fontId="17" fillId="0" borderId="25" xfId="121" applyNumberFormat="1" applyFont="1" applyFill="1" applyBorder="1"/>
    <xf numFmtId="17" fontId="33" fillId="0" borderId="25" xfId="118" applyNumberFormat="1" applyFont="1" applyFill="1" applyBorder="1"/>
    <xf numFmtId="0" fontId="69" fillId="0" borderId="51" xfId="118" applyFont="1" applyBorder="1"/>
    <xf numFmtId="0" fontId="17" fillId="0" borderId="25" xfId="118" applyBorder="1"/>
    <xf numFmtId="0" fontId="17" fillId="0" borderId="51" xfId="118" applyBorder="1"/>
    <xf numFmtId="14" fontId="17" fillId="0" borderId="25" xfId="118" applyNumberFormat="1" applyFont="1" applyFill="1" applyBorder="1"/>
    <xf numFmtId="17" fontId="33" fillId="0" borderId="20" xfId="118" applyNumberFormat="1" applyFont="1" applyFill="1" applyBorder="1"/>
    <xf numFmtId="0" fontId="17" fillId="44" borderId="2" xfId="118" applyFont="1" applyFill="1" applyBorder="1"/>
    <xf numFmtId="2" fontId="17" fillId="43" borderId="2" xfId="121" quotePrefix="1" applyNumberFormat="1" applyFont="1" applyFill="1" applyBorder="1" applyAlignment="1">
      <alignment horizontal="center"/>
    </xf>
    <xf numFmtId="2" fontId="17" fillId="4" borderId="2" xfId="124" quotePrefix="1" applyNumberFormat="1" applyFont="1" applyFill="1" applyBorder="1" applyAlignment="1">
      <alignment horizontal="center"/>
    </xf>
    <xf numFmtId="2" fontId="17" fillId="4" borderId="2" xfId="121" quotePrefix="1" applyNumberFormat="1" applyFont="1" applyFill="1" applyBorder="1" applyAlignment="1">
      <alignment horizontal="center"/>
    </xf>
    <xf numFmtId="2" fontId="17" fillId="43" borderId="2" xfId="121" quotePrefix="1" applyNumberFormat="1" applyFill="1" applyBorder="1" applyAlignment="1">
      <alignment horizontal="center"/>
    </xf>
    <xf numFmtId="175" fontId="17" fillId="43" borderId="2" xfId="121" quotePrefix="1" applyNumberFormat="1" applyFill="1" applyBorder="1" applyAlignment="1">
      <alignment horizontal="center"/>
    </xf>
    <xf numFmtId="0" fontId="58" fillId="0" borderId="29" xfId="142" applyFont="1" applyBorder="1" applyAlignment="1">
      <alignment horizontal="center" vertical="center" wrapText="1"/>
    </xf>
    <xf numFmtId="2" fontId="17" fillId="44" borderId="2" xfId="121" quotePrefix="1" applyNumberFormat="1" applyFill="1" applyBorder="1" applyAlignment="1">
      <alignment horizontal="center"/>
    </xf>
    <xf numFmtId="175" fontId="17" fillId="44" borderId="2" xfId="121" quotePrefix="1" applyNumberFormat="1" applyFill="1" applyBorder="1" applyAlignment="1">
      <alignment horizontal="center"/>
    </xf>
    <xf numFmtId="176" fontId="17" fillId="4" borderId="2" xfId="121" quotePrefix="1" applyNumberFormat="1" applyFont="1" applyFill="1" applyBorder="1" applyAlignment="1">
      <alignment horizontal="center"/>
    </xf>
    <xf numFmtId="175" fontId="17" fillId="4" borderId="2" xfId="121" applyNumberFormat="1" applyFont="1" applyFill="1" applyBorder="1" applyAlignment="1">
      <alignment horizontal="center"/>
    </xf>
    <xf numFmtId="0" fontId="17" fillId="0" borderId="0" xfId="118" applyFont="1" applyFill="1"/>
    <xf numFmtId="0" fontId="33" fillId="4" borderId="0" xfId="120" applyFont="1" applyFill="1" applyBorder="1" applyAlignment="1">
      <alignment horizontal="center" vertical="center" wrapText="1"/>
    </xf>
    <xf numFmtId="17" fontId="33" fillId="4" borderId="0" xfId="123" applyNumberFormat="1" applyFont="1" applyFill="1" applyBorder="1" applyAlignment="1">
      <alignment horizontal="center"/>
    </xf>
    <xf numFmtId="164" fontId="82" fillId="4" borderId="0" xfId="120" applyNumberFormat="1" applyFont="1" applyFill="1" applyBorder="1" applyAlignment="1">
      <alignment horizontal="center"/>
    </xf>
    <xf numFmtId="0" fontId="58" fillId="4" borderId="0" xfId="118" applyFont="1" applyFill="1" applyBorder="1" applyAlignment="1">
      <alignment horizontal="center" vertical="center" wrapText="1"/>
    </xf>
    <xf numFmtId="164" fontId="78" fillId="4" borderId="0" xfId="118" applyNumberFormat="1" applyFont="1" applyFill="1" applyBorder="1"/>
    <xf numFmtId="0" fontId="17" fillId="30" borderId="0" xfId="118" applyFill="1" applyBorder="1"/>
    <xf numFmtId="0" fontId="45" fillId="0" borderId="43" xfId="142" applyFont="1" applyBorder="1"/>
    <xf numFmtId="0" fontId="45" fillId="0" borderId="50" xfId="142" applyFont="1" applyBorder="1"/>
    <xf numFmtId="0" fontId="45" fillId="0" borderId="39" xfId="142" applyFont="1" applyBorder="1"/>
    <xf numFmtId="171" fontId="1" fillId="32" borderId="66" xfId="142" applyNumberFormat="1" applyFill="1" applyBorder="1"/>
    <xf numFmtId="171" fontId="1" fillId="32" borderId="57" xfId="142" applyNumberFormat="1" applyFill="1" applyBorder="1"/>
    <xf numFmtId="171" fontId="1" fillId="32" borderId="65" xfId="142" applyNumberFormat="1" applyFill="1" applyBorder="1"/>
    <xf numFmtId="171" fontId="1" fillId="32" borderId="17" xfId="142" applyNumberFormat="1" applyFill="1" applyBorder="1"/>
    <xf numFmtId="171" fontId="1" fillId="32" borderId="2" xfId="142" applyNumberFormat="1" applyFill="1" applyBorder="1"/>
    <xf numFmtId="171" fontId="1" fillId="32" borderId="16" xfId="142" applyNumberFormat="1" applyFill="1" applyBorder="1"/>
    <xf numFmtId="171" fontId="1" fillId="32" borderId="21" xfId="142" applyNumberFormat="1" applyFill="1" applyBorder="1"/>
    <xf numFmtId="171" fontId="1" fillId="32" borderId="24" xfId="142" applyNumberFormat="1" applyFill="1" applyBorder="1"/>
    <xf numFmtId="171" fontId="1" fillId="32" borderId="23" xfId="142" applyNumberFormat="1" applyFill="1" applyBorder="1"/>
    <xf numFmtId="0" fontId="45" fillId="0" borderId="42" xfId="142" applyFont="1" applyBorder="1"/>
    <xf numFmtId="0" fontId="45" fillId="0" borderId="64" xfId="142" applyFont="1" applyBorder="1"/>
    <xf numFmtId="0" fontId="45" fillId="0" borderId="41" xfId="142" applyFont="1" applyBorder="1"/>
    <xf numFmtId="0" fontId="28" fillId="31" borderId="61" xfId="142" applyFont="1" applyFill="1" applyBorder="1"/>
    <xf numFmtId="0" fontId="28" fillId="31" borderId="3" xfId="142" applyFont="1" applyFill="1" applyBorder="1"/>
    <xf numFmtId="0" fontId="1" fillId="31" borderId="60" xfId="142" applyFill="1" applyBorder="1"/>
    <xf numFmtId="171" fontId="1" fillId="32" borderId="18" xfId="142" applyNumberFormat="1" applyFill="1" applyBorder="1"/>
    <xf numFmtId="171" fontId="1" fillId="32" borderId="3" xfId="142" applyNumberFormat="1" applyFill="1" applyBorder="1"/>
    <xf numFmtId="171" fontId="1" fillId="32" borderId="60" xfId="142" applyNumberFormat="1" applyFill="1" applyBorder="1"/>
    <xf numFmtId="0" fontId="28" fillId="31" borderId="31" xfId="142" applyFont="1" applyFill="1" applyBorder="1"/>
    <xf numFmtId="0" fontId="28" fillId="31" borderId="2" xfId="142" applyFont="1" applyFill="1" applyBorder="1"/>
    <xf numFmtId="171" fontId="1" fillId="32" borderId="35" xfId="142" applyNumberFormat="1" applyFill="1" applyBorder="1"/>
    <xf numFmtId="0" fontId="1" fillId="31" borderId="35" xfId="142" applyFill="1" applyBorder="1"/>
    <xf numFmtId="0" fontId="28" fillId="31" borderId="63" xfId="142" applyFont="1" applyFill="1" applyBorder="1"/>
    <xf numFmtId="0" fontId="28" fillId="31" borderId="24" xfId="142" applyFont="1" applyFill="1" applyBorder="1"/>
    <xf numFmtId="0" fontId="1" fillId="31" borderId="55" xfId="142" applyFill="1" applyBorder="1"/>
    <xf numFmtId="171" fontId="1" fillId="32" borderId="55" xfId="142" applyNumberFormat="1" applyFill="1" applyBorder="1"/>
    <xf numFmtId="0" fontId="28" fillId="31" borderId="59" xfId="142" applyFont="1" applyFill="1" applyBorder="1"/>
    <xf numFmtId="0" fontId="28" fillId="31" borderId="53" xfId="142" applyFont="1" applyFill="1" applyBorder="1"/>
    <xf numFmtId="0" fontId="1" fillId="31" borderId="52" xfId="142" applyFill="1" applyBorder="1"/>
    <xf numFmtId="171" fontId="1" fillId="32" borderId="54" xfId="142" applyNumberFormat="1" applyFill="1" applyBorder="1"/>
    <xf numFmtId="171" fontId="1" fillId="32" borderId="53" xfId="142" applyNumberFormat="1" applyFill="1" applyBorder="1"/>
    <xf numFmtId="171" fontId="1" fillId="32" borderId="52" xfId="142" applyNumberFormat="1" applyFill="1" applyBorder="1"/>
    <xf numFmtId="0" fontId="1" fillId="4" borderId="0" xfId="142" applyFill="1" applyAlignment="1">
      <alignment horizontal="center" vertical="center"/>
    </xf>
    <xf numFmtId="0" fontId="1" fillId="32" borderId="2" xfId="142" applyFill="1" applyBorder="1"/>
    <xf numFmtId="0" fontId="1" fillId="31" borderId="2" xfId="142" applyFill="1" applyBorder="1"/>
    <xf numFmtId="0" fontId="1" fillId="0" borderId="2" xfId="142" applyBorder="1"/>
    <xf numFmtId="14" fontId="1" fillId="32" borderId="2" xfId="142" applyNumberFormat="1" applyFill="1" applyBorder="1"/>
    <xf numFmtId="2" fontId="1" fillId="32" borderId="2" xfId="142" applyNumberFormat="1" applyFill="1" applyBorder="1"/>
    <xf numFmtId="1" fontId="1" fillId="32" borderId="2" xfId="142" applyNumberFormat="1" applyFill="1" applyBorder="1"/>
    <xf numFmtId="14" fontId="1" fillId="32" borderId="2" xfId="142" applyNumberFormat="1" applyFill="1" applyBorder="1" applyAlignment="1">
      <alignment wrapText="1"/>
    </xf>
    <xf numFmtId="14" fontId="1" fillId="29" borderId="2" xfId="142" applyNumberFormat="1" applyFill="1" applyBorder="1" applyAlignment="1">
      <alignment wrapText="1"/>
    </xf>
    <xf numFmtId="14" fontId="1" fillId="29" borderId="2" xfId="142" applyNumberFormat="1" applyFill="1" applyBorder="1"/>
    <xf numFmtId="14" fontId="34" fillId="32" borderId="2" xfId="142" applyNumberFormat="1" applyFont="1" applyFill="1" applyBorder="1" applyAlignment="1">
      <alignment wrapText="1"/>
    </xf>
    <xf numFmtId="171" fontId="1" fillId="25" borderId="2" xfId="0" applyNumberFormat="1" applyFont="1" applyFill="1" applyBorder="1" applyAlignment="1">
      <alignment horizontal="center"/>
    </xf>
    <xf numFmtId="0" fontId="20" fillId="13" borderId="2" xfId="141" applyFont="1" applyBorder="1"/>
    <xf numFmtId="171" fontId="1" fillId="0" borderId="0" xfId="0" applyNumberFormat="1" applyFont="1" applyBorder="1" applyAlignment="1">
      <alignment horizontal="center"/>
    </xf>
    <xf numFmtId="170" fontId="127" fillId="20" borderId="0" xfId="103" applyFont="1" applyAlignment="1">
      <alignment vertical="center"/>
    </xf>
    <xf numFmtId="170" fontId="128" fillId="20" borderId="0" xfId="103" applyFont="1" applyAlignment="1">
      <alignment vertical="center"/>
    </xf>
    <xf numFmtId="0" fontId="1" fillId="0" borderId="0" xfId="142"/>
    <xf numFmtId="170" fontId="1" fillId="0" borderId="0" xfId="142" applyNumberFormat="1" applyAlignment="1">
      <alignment vertical="center"/>
    </xf>
    <xf numFmtId="180" fontId="1" fillId="0" borderId="0" xfId="142" applyNumberFormat="1" applyAlignment="1">
      <alignment vertical="center"/>
    </xf>
    <xf numFmtId="0" fontId="1" fillId="0" borderId="0" xfId="142" applyProtection="1">
      <protection locked="0"/>
    </xf>
    <xf numFmtId="170" fontId="130" fillId="20" borderId="0" xfId="103" applyFont="1" applyAlignment="1">
      <alignment vertical="center"/>
    </xf>
    <xf numFmtId="170" fontId="44" fillId="20" borderId="0" xfId="103" applyAlignment="1">
      <alignment vertical="center"/>
    </xf>
    <xf numFmtId="180" fontId="28" fillId="0" borderId="0" xfId="142" applyNumberFormat="1" applyFont="1" applyAlignment="1">
      <alignment vertical="center"/>
    </xf>
    <xf numFmtId="170" fontId="127" fillId="47" borderId="0" xfId="103" applyFont="1" applyFill="1" applyAlignment="1">
      <alignment vertical="center"/>
    </xf>
    <xf numFmtId="170" fontId="1" fillId="0" borderId="0" xfId="145" applyFont="1" applyFill="1" applyAlignment="1">
      <alignment vertical="center"/>
    </xf>
    <xf numFmtId="170" fontId="0" fillId="0" borderId="0" xfId="145" applyFont="1" applyFill="1" applyAlignment="1">
      <alignment vertical="center"/>
    </xf>
    <xf numFmtId="181" fontId="32" fillId="37" borderId="2" xfId="94" applyNumberFormat="1" applyFont="1" applyFill="1" applyBorder="1" applyAlignment="1">
      <alignment horizontal="center" vertical="top"/>
    </xf>
    <xf numFmtId="183" fontId="28" fillId="36" borderId="2" xfId="134" applyNumberFormat="1" applyFont="1" applyFill="1" applyBorder="1" applyAlignment="1">
      <alignment horizontal="center" vertical="top"/>
    </xf>
    <xf numFmtId="184" fontId="28" fillId="36" borderId="2" xfId="134" applyNumberFormat="1" applyFont="1" applyFill="1" applyBorder="1" applyAlignment="1">
      <alignment horizontal="center" vertical="top"/>
    </xf>
    <xf numFmtId="185" fontId="28" fillId="40" borderId="2" xfId="94" applyNumberFormat="1" applyFont="1" applyFill="1" applyBorder="1" applyAlignment="1">
      <alignment horizontal="center" vertical="center"/>
    </xf>
    <xf numFmtId="0" fontId="32" fillId="0" borderId="0" xfId="142" applyFont="1"/>
    <xf numFmtId="184" fontId="32" fillId="37" borderId="2" xfId="147" applyNumberFormat="1" applyFont="1" applyFill="1" applyBorder="1"/>
    <xf numFmtId="9" fontId="28" fillId="38" borderId="2" xfId="147" applyFont="1" applyFill="1" applyBorder="1" applyProtection="1">
      <protection locked="0"/>
    </xf>
    <xf numFmtId="10" fontId="32" fillId="37" borderId="2" xfId="147" applyNumberFormat="1" applyFont="1" applyFill="1" applyBorder="1"/>
    <xf numFmtId="9" fontId="32" fillId="37" borderId="2" xfId="147" applyFont="1" applyFill="1" applyBorder="1"/>
    <xf numFmtId="174" fontId="32" fillId="37" borderId="2" xfId="147" applyNumberFormat="1" applyFont="1" applyFill="1" applyBorder="1"/>
    <xf numFmtId="0" fontId="32" fillId="37" borderId="2" xfId="147" applyNumberFormat="1" applyFont="1" applyFill="1" applyBorder="1"/>
    <xf numFmtId="10" fontId="28" fillId="38" borderId="2" xfId="147" applyNumberFormat="1" applyFont="1" applyFill="1" applyBorder="1" applyProtection="1">
      <protection locked="0"/>
    </xf>
    <xf numFmtId="10" fontId="28" fillId="0" borderId="0" xfId="147" applyNumberFormat="1" applyFont="1" applyBorder="1"/>
    <xf numFmtId="176" fontId="32" fillId="37" borderId="2" xfId="147" applyNumberFormat="1" applyFont="1" applyFill="1" applyBorder="1"/>
    <xf numFmtId="10" fontId="28" fillId="37" borderId="2" xfId="147" applyNumberFormat="1" applyFont="1" applyFill="1" applyBorder="1" applyAlignment="1" applyProtection="1">
      <alignment horizontal="right"/>
      <protection locked="0"/>
    </xf>
    <xf numFmtId="176" fontId="28" fillId="39" borderId="2" xfId="147" applyNumberFormat="1" applyFont="1" applyFill="1" applyBorder="1" applyAlignment="1" applyProtection="1">
      <alignment horizontal="right"/>
      <protection locked="0"/>
    </xf>
    <xf numFmtId="176" fontId="146" fillId="37" borderId="2" xfId="147" applyNumberFormat="1" applyFont="1" applyFill="1" applyBorder="1"/>
    <xf numFmtId="0" fontId="0" fillId="4" borderId="0" xfId="148" applyFont="1" applyFill="1"/>
    <xf numFmtId="0" fontId="0" fillId="0" borderId="0" xfId="148" applyFont="1"/>
    <xf numFmtId="0" fontId="34" fillId="4" borderId="0" xfId="148" applyFont="1" applyFill="1"/>
    <xf numFmtId="181" fontId="28" fillId="31" borderId="2" xfId="94" applyNumberFormat="1" applyFont="1" applyFill="1" applyBorder="1" applyAlignment="1">
      <alignment horizontal="center" vertical="top"/>
    </xf>
    <xf numFmtId="10" fontId="105" fillId="36" borderId="2" xfId="147" applyNumberFormat="1" applyFont="1" applyFill="1" applyBorder="1" applyAlignment="1">
      <alignment horizontal="center" vertical="top"/>
    </xf>
    <xf numFmtId="181" fontId="28" fillId="40" borderId="2" xfId="94" applyNumberFormat="1" applyFont="1" applyFill="1" applyBorder="1" applyAlignment="1">
      <alignment horizontal="center" vertical="center"/>
    </xf>
    <xf numFmtId="181" fontId="32" fillId="40" borderId="2" xfId="94" applyNumberFormat="1" applyFont="1" applyFill="1" applyBorder="1" applyAlignment="1">
      <alignment horizontal="center" vertical="center"/>
    </xf>
    <xf numFmtId="0" fontId="110" fillId="40" borderId="2" xfId="94" applyFont="1" applyFill="1" applyBorder="1" applyAlignment="1">
      <alignment horizontal="center" vertical="center"/>
    </xf>
    <xf numFmtId="181" fontId="110" fillId="17" borderId="2" xfId="94" applyNumberFormat="1" applyFont="1" applyFill="1" applyBorder="1" applyAlignment="1">
      <alignment horizontal="center" vertical="center"/>
    </xf>
    <xf numFmtId="170" fontId="28" fillId="29" borderId="0" xfId="149" applyFont="1" applyAlignment="1">
      <alignment vertical="center"/>
    </xf>
    <xf numFmtId="10" fontId="28" fillId="37" borderId="0" xfId="147" applyNumberFormat="1" applyFont="1" applyFill="1" applyAlignment="1">
      <alignment vertical="center"/>
    </xf>
    <xf numFmtId="197" fontId="156" fillId="37" borderId="22" xfId="147" applyNumberFormat="1" applyFont="1" applyFill="1" applyBorder="1" applyAlignment="1">
      <alignment vertical="center"/>
    </xf>
    <xf numFmtId="170" fontId="43" fillId="29" borderId="0" xfId="149" applyAlignment="1">
      <alignment vertical="center"/>
    </xf>
    <xf numFmtId="10" fontId="43" fillId="37" borderId="0" xfId="147" applyNumberFormat="1" applyFont="1" applyFill="1" applyAlignment="1">
      <alignment vertical="center"/>
    </xf>
    <xf numFmtId="197" fontId="157" fillId="37" borderId="22" xfId="147" applyNumberFormat="1" applyFont="1" applyFill="1" applyBorder="1" applyAlignment="1">
      <alignment vertical="center"/>
    </xf>
    <xf numFmtId="0" fontId="34" fillId="0" borderId="2" xfId="57" applyFont="1" applyBorder="1"/>
    <xf numFmtId="0" fontId="34" fillId="0" borderId="2" xfId="57" applyFont="1" applyBorder="1" applyAlignment="1">
      <alignment horizontal="center" wrapText="1"/>
    </xf>
    <xf numFmtId="0" fontId="34" fillId="0" borderId="2" xfId="57" applyFont="1" applyBorder="1" applyAlignment="1">
      <alignment wrapText="1"/>
    </xf>
    <xf numFmtId="0" fontId="45" fillId="0" borderId="2" xfId="142" applyFont="1" applyBorder="1"/>
    <xf numFmtId="0" fontId="1" fillId="0" borderId="2" xfId="57" applyFont="1" applyBorder="1"/>
    <xf numFmtId="1" fontId="28" fillId="49" borderId="2" xfId="58" applyNumberFormat="1" applyFont="1" applyFill="1" applyBorder="1" applyAlignment="1">
      <alignment horizontal="right"/>
    </xf>
    <xf numFmtId="199" fontId="1" fillId="31" borderId="2" xfId="57" applyNumberFormat="1" applyFont="1" applyFill="1" applyBorder="1"/>
    <xf numFmtId="1" fontId="28" fillId="31" borderId="2" xfId="58" applyNumberFormat="1" applyFont="1" applyFill="1" applyBorder="1" applyAlignment="1">
      <alignment horizontal="right"/>
    </xf>
    <xf numFmtId="199" fontId="1" fillId="31" borderId="2" xfId="57" applyNumberFormat="1" applyFont="1" applyFill="1" applyBorder="1" applyAlignment="1">
      <alignment horizontal="right"/>
    </xf>
    <xf numFmtId="0" fontId="32" fillId="0" borderId="2" xfId="57" applyFont="1" applyBorder="1" applyAlignment="1">
      <alignment horizontal="center" vertical="center" wrapText="1"/>
    </xf>
    <xf numFmtId="0" fontId="34" fillId="0" borderId="0" xfId="57" applyFont="1" applyAlignment="1">
      <alignment horizontal="center" vertical="center" wrapText="1"/>
    </xf>
    <xf numFmtId="0" fontId="34" fillId="0" borderId="0" xfId="57" applyFont="1" applyAlignment="1">
      <alignment horizontal="center"/>
    </xf>
    <xf numFmtId="0" fontId="17" fillId="0" borderId="2" xfId="150" applyBorder="1" applyAlignment="1">
      <alignment horizontal="center" vertical="center"/>
    </xf>
    <xf numFmtId="0" fontId="1" fillId="50" borderId="2" xfId="142" applyFill="1" applyBorder="1"/>
    <xf numFmtId="0" fontId="1" fillId="51" borderId="2" xfId="142" applyFill="1" applyBorder="1"/>
    <xf numFmtId="0" fontId="28" fillId="0" borderId="2" xfId="57" applyFont="1" applyFill="1" applyBorder="1"/>
    <xf numFmtId="0" fontId="32" fillId="0" borderId="2" xfId="57" applyFont="1" applyFill="1" applyBorder="1"/>
    <xf numFmtId="0" fontId="28" fillId="0" borderId="0" xfId="50" applyFont="1"/>
    <xf numFmtId="0" fontId="158" fillId="0" borderId="0" xfId="50" applyFont="1"/>
    <xf numFmtId="0" fontId="32" fillId="0" borderId="0" xfId="50" applyFont="1"/>
    <xf numFmtId="0" fontId="34" fillId="0" borderId="19" xfId="151" applyFont="1" applyBorder="1" applyAlignment="1">
      <alignment horizontal="center" wrapText="1"/>
    </xf>
    <xf numFmtId="0" fontId="45" fillId="0" borderId="1" xfId="151" applyFont="1" applyBorder="1"/>
    <xf numFmtId="0" fontId="45" fillId="0" borderId="26" xfId="151" applyFont="1" applyBorder="1"/>
    <xf numFmtId="0" fontId="32" fillId="0" borderId="21" xfId="152" applyFont="1" applyBorder="1" applyAlignment="1" applyProtection="1">
      <alignment horizontal="center"/>
      <protection locked="0"/>
    </xf>
    <xf numFmtId="0" fontId="34" fillId="0" borderId="24" xfId="152" applyFont="1" applyBorder="1" applyAlignment="1" applyProtection="1">
      <alignment horizontal="center"/>
      <protection locked="0"/>
    </xf>
    <xf numFmtId="0" fontId="32" fillId="0" borderId="24" xfId="152" applyFont="1" applyBorder="1" applyAlignment="1" applyProtection="1">
      <alignment horizontal="center"/>
      <protection locked="0"/>
    </xf>
    <xf numFmtId="0" fontId="32" fillId="0" borderId="55" xfId="152" applyFont="1" applyBorder="1" applyAlignment="1" applyProtection="1">
      <alignment horizontal="center"/>
      <protection locked="0"/>
    </xf>
    <xf numFmtId="0" fontId="28" fillId="0" borderId="17" xfId="151" applyFont="1" applyBorder="1" applyAlignment="1">
      <alignment vertical="center"/>
    </xf>
    <xf numFmtId="0" fontId="0" fillId="0" borderId="3" xfId="151" applyFont="1" applyBorder="1"/>
    <xf numFmtId="184" fontId="1" fillId="3" borderId="2" xfId="147" applyNumberFormat="1" applyFont="1" applyFill="1" applyBorder="1" applyAlignment="1">
      <alignment horizontal="center"/>
    </xf>
    <xf numFmtId="184" fontId="1" fillId="3" borderId="35" xfId="147" applyNumberFormat="1" applyFont="1" applyFill="1" applyBorder="1" applyAlignment="1">
      <alignment horizontal="center"/>
    </xf>
    <xf numFmtId="0" fontId="0" fillId="0" borderId="2" xfId="151" applyFont="1" applyBorder="1"/>
    <xf numFmtId="0" fontId="0" fillId="0" borderId="17" xfId="151" applyFont="1" applyBorder="1" applyAlignment="1">
      <alignment vertical="center"/>
    </xf>
    <xf numFmtId="0" fontId="0" fillId="0" borderId="21" xfId="151" applyFont="1" applyBorder="1" applyAlignment="1">
      <alignment vertical="center"/>
    </xf>
    <xf numFmtId="0" fontId="0" fillId="0" borderId="24" xfId="151" applyFont="1" applyBorder="1"/>
    <xf numFmtId="1" fontId="1" fillId="3" borderId="2" xfId="147" applyNumberFormat="1" applyFont="1" applyFill="1" applyBorder="1" applyAlignment="1">
      <alignment horizontal="center"/>
    </xf>
    <xf numFmtId="0" fontId="28" fillId="0" borderId="54" xfId="151" applyFont="1" applyBorder="1"/>
    <xf numFmtId="0" fontId="0" fillId="0" borderId="53" xfId="151" applyFont="1" applyBorder="1"/>
    <xf numFmtId="0" fontId="32" fillId="0" borderId="0" xfId="50" applyFont="1" applyAlignment="1">
      <alignment horizontal="right"/>
    </xf>
    <xf numFmtId="0" fontId="159" fillId="0" borderId="0" xfId="50" applyFont="1"/>
    <xf numFmtId="0" fontId="1" fillId="52" borderId="2" xfId="151" applyFill="1" applyBorder="1" applyAlignment="1">
      <alignment vertical="center" wrapText="1"/>
    </xf>
    <xf numFmtId="200" fontId="1" fillId="25" borderId="2" xfId="50" applyNumberFormat="1" applyFont="1" applyFill="1" applyBorder="1" applyAlignment="1" applyProtection="1">
      <alignment horizontal="center"/>
      <protection locked="0"/>
    </xf>
    <xf numFmtId="201" fontId="1" fillId="25" borderId="2" xfId="50" applyNumberFormat="1" applyFont="1" applyFill="1" applyBorder="1" applyAlignment="1" applyProtection="1">
      <alignment horizontal="center"/>
      <protection locked="0"/>
    </xf>
    <xf numFmtId="0" fontId="1" fillId="53" borderId="2" xfId="151" applyFill="1" applyBorder="1" applyAlignment="1">
      <alignment vertical="center" wrapText="1"/>
    </xf>
    <xf numFmtId="202" fontId="1" fillId="25" borderId="2" xfId="50" applyNumberFormat="1" applyFont="1" applyFill="1" applyBorder="1" applyAlignment="1" applyProtection="1">
      <alignment horizontal="center"/>
      <protection locked="0"/>
    </xf>
    <xf numFmtId="0" fontId="1" fillId="0" borderId="2" xfId="151" applyBorder="1" applyAlignment="1">
      <alignment vertical="center" wrapText="1"/>
    </xf>
    <xf numFmtId="9" fontId="158" fillId="40" borderId="3" xfId="147" applyFont="1" applyFill="1" applyBorder="1"/>
    <xf numFmtId="0" fontId="28" fillId="0" borderId="0" xfId="50" applyFont="1" applyAlignment="1">
      <alignment horizontal="right"/>
    </xf>
    <xf numFmtId="200" fontId="1" fillId="53" borderId="2" xfId="151" applyNumberFormat="1" applyFill="1" applyBorder="1" applyAlignment="1">
      <alignment vertical="center" wrapText="1"/>
    </xf>
    <xf numFmtId="184" fontId="0" fillId="53" borderId="2" xfId="147" applyNumberFormat="1" applyFont="1" applyFill="1" applyBorder="1" applyAlignment="1">
      <alignment vertical="center" wrapText="1"/>
    </xf>
    <xf numFmtId="2" fontId="1" fillId="53" borderId="2" xfId="151" applyNumberFormat="1" applyFill="1" applyBorder="1" applyAlignment="1">
      <alignment vertical="center" wrapText="1"/>
    </xf>
    <xf numFmtId="184" fontId="158" fillId="40" borderId="3" xfId="147" applyNumberFormat="1" applyFont="1" applyFill="1" applyBorder="1"/>
    <xf numFmtId="0" fontId="1" fillId="0" borderId="0" xfId="50" applyFont="1"/>
    <xf numFmtId="0" fontId="0" fillId="53" borderId="2" xfId="147" applyNumberFormat="1" applyFont="1" applyFill="1" applyBorder="1" applyAlignment="1">
      <alignment vertical="center" wrapText="1"/>
    </xf>
    <xf numFmtId="184" fontId="158" fillId="40" borderId="2" xfId="147" applyNumberFormat="1" applyFont="1" applyFill="1" applyBorder="1"/>
    <xf numFmtId="0" fontId="146" fillId="0" borderId="0" xfId="50" applyFont="1"/>
    <xf numFmtId="200" fontId="1" fillId="25" borderId="2" xfId="50" applyNumberFormat="1" applyFont="1" applyFill="1" applyBorder="1" applyAlignment="1" applyProtection="1">
      <alignment horizontal="left"/>
      <protection locked="0"/>
    </xf>
    <xf numFmtId="203" fontId="1" fillId="25" borderId="2" xfId="50" applyNumberFormat="1" applyFont="1" applyFill="1" applyBorder="1" applyAlignment="1" applyProtection="1">
      <alignment horizontal="center"/>
      <protection locked="0"/>
    </xf>
    <xf numFmtId="10" fontId="158" fillId="40" borderId="2" xfId="147" applyNumberFormat="1" applyFont="1" applyFill="1" applyBorder="1"/>
    <xf numFmtId="0" fontId="32" fillId="0" borderId="0" xfId="50" applyFont="1" applyAlignment="1">
      <alignment horizontal="center"/>
    </xf>
    <xf numFmtId="0" fontId="32" fillId="0" borderId="0" xfId="50" applyFont="1" applyAlignment="1">
      <alignment horizontal="left" wrapText="1"/>
    </xf>
    <xf numFmtId="0" fontId="32" fillId="0" borderId="0" xfId="50" applyFont="1" applyAlignment="1">
      <alignment horizontal="center" vertical="center" wrapText="1"/>
    </xf>
    <xf numFmtId="0" fontId="32" fillId="0" borderId="0" xfId="50" applyFont="1" applyAlignment="1">
      <alignment wrapText="1"/>
    </xf>
    <xf numFmtId="0" fontId="32" fillId="0" borderId="0" xfId="50" applyFont="1" applyAlignment="1">
      <alignment horizontal="center" wrapText="1"/>
    </xf>
    <xf numFmtId="0" fontId="32" fillId="0" borderId="0" xfId="50" applyFont="1" applyAlignment="1">
      <alignment horizontal="left"/>
    </xf>
    <xf numFmtId="200" fontId="97" fillId="25" borderId="2" xfId="50" applyNumberFormat="1" applyFont="1" applyFill="1" applyBorder="1" applyAlignment="1" applyProtection="1">
      <alignment horizontal="center" wrapText="1"/>
      <protection locked="0"/>
    </xf>
    <xf numFmtId="200" fontId="52" fillId="25" borderId="2" xfId="50" applyNumberFormat="1" applyFont="1" applyFill="1" applyBorder="1" applyAlignment="1" applyProtection="1">
      <alignment horizontal="center"/>
      <protection locked="0"/>
    </xf>
    <xf numFmtId="9" fontId="1" fillId="25" borderId="2" xfId="147" applyFont="1" applyFill="1" applyBorder="1" applyAlignment="1" applyProtection="1">
      <alignment horizontal="center"/>
      <protection locked="0"/>
    </xf>
    <xf numFmtId="204" fontId="0" fillId="53" borderId="2" xfId="147" applyNumberFormat="1" applyFont="1" applyFill="1" applyBorder="1" applyAlignment="1">
      <alignment vertical="center" wrapText="1"/>
    </xf>
    <xf numFmtId="204" fontId="53" fillId="53" borderId="2" xfId="147" applyNumberFormat="1" applyFont="1" applyFill="1" applyBorder="1" applyAlignment="1">
      <alignment vertical="center" wrapText="1"/>
    </xf>
    <xf numFmtId="205" fontId="53" fillId="53" borderId="2" xfId="147" applyNumberFormat="1" applyFont="1" applyFill="1" applyBorder="1" applyAlignment="1">
      <alignment vertical="center" wrapText="1"/>
    </xf>
    <xf numFmtId="0" fontId="146" fillId="0" borderId="0" xfId="50" applyFont="1" applyAlignment="1">
      <alignment horizontal="left"/>
    </xf>
    <xf numFmtId="204" fontId="28" fillId="0" borderId="2" xfId="50" applyNumberFormat="1" applyFont="1" applyBorder="1"/>
    <xf numFmtId="200" fontId="28" fillId="0" borderId="0" xfId="50" applyNumberFormat="1" applyFont="1"/>
    <xf numFmtId="204" fontId="28" fillId="0" borderId="0" xfId="50" applyNumberFormat="1" applyFont="1"/>
    <xf numFmtId="184" fontId="0" fillId="53" borderId="2" xfId="147" applyNumberFormat="1" applyFont="1" applyFill="1" applyBorder="1" applyAlignment="1">
      <alignment horizontal="center" vertical="center" wrapText="1"/>
    </xf>
    <xf numFmtId="1" fontId="158" fillId="40" borderId="2" xfId="147" applyNumberFormat="1" applyFont="1" applyFill="1" applyBorder="1"/>
    <xf numFmtId="1" fontId="158" fillId="40" borderId="3" xfId="147" applyNumberFormat="1" applyFont="1" applyFill="1" applyBorder="1"/>
    <xf numFmtId="0" fontId="45" fillId="0" borderId="2" xfId="0" applyFont="1" applyBorder="1"/>
    <xf numFmtId="171" fontId="20" fillId="5" borderId="2" xfId="42" applyNumberFormat="1" applyFont="1" applyBorder="1"/>
    <xf numFmtId="0" fontId="1" fillId="0" borderId="0" xfId="117" applyFont="1" applyAlignment="1">
      <alignment wrapText="1"/>
    </xf>
    <xf numFmtId="0" fontId="1" fillId="0" borderId="2" xfId="117" applyFont="1" applyBorder="1" applyAlignment="1">
      <alignment wrapText="1"/>
    </xf>
    <xf numFmtId="0" fontId="1" fillId="0" borderId="2" xfId="117" applyFont="1" applyBorder="1"/>
    <xf numFmtId="0" fontId="94" fillId="24" borderId="0" xfId="0" applyFont="1" applyFill="1"/>
    <xf numFmtId="0" fontId="1" fillId="0" borderId="2" xfId="117" applyFont="1" applyBorder="1" applyAlignment="1">
      <alignment horizontal="centerContinuous"/>
    </xf>
    <xf numFmtId="0" fontId="92" fillId="0" borderId="2" xfId="117" applyFont="1" applyBorder="1" applyAlignment="1">
      <alignment wrapText="1"/>
    </xf>
    <xf numFmtId="0" fontId="92" fillId="0" borderId="2" xfId="117" applyFont="1" applyBorder="1"/>
    <xf numFmtId="0" fontId="96" fillId="0" borderId="2" xfId="117" applyFont="1" applyBorder="1"/>
    <xf numFmtId="0" fontId="96" fillId="0" borderId="2" xfId="117" applyFont="1" applyBorder="1" applyAlignment="1">
      <alignment horizontal="center"/>
    </xf>
    <xf numFmtId="171" fontId="1" fillId="32" borderId="2" xfId="117" applyNumberFormat="1" applyFont="1" applyFill="1" applyBorder="1"/>
    <xf numFmtId="171" fontId="1" fillId="31" borderId="2" xfId="117" applyNumberFormat="1" applyFont="1" applyFill="1" applyBorder="1"/>
    <xf numFmtId="171" fontId="1" fillId="54" borderId="2" xfId="117" applyNumberFormat="1" applyFont="1" applyFill="1" applyBorder="1"/>
    <xf numFmtId="0" fontId="1" fillId="4" borderId="0" xfId="117" applyFont="1" applyFill="1"/>
    <xf numFmtId="0" fontId="1" fillId="4" borderId="0" xfId="117" applyFont="1" applyFill="1" applyAlignment="1">
      <alignment wrapText="1"/>
    </xf>
    <xf numFmtId="0" fontId="34" fillId="4" borderId="2" xfId="117" applyFont="1" applyFill="1" applyBorder="1" applyAlignment="1">
      <alignment wrapText="1"/>
    </xf>
    <xf numFmtId="0" fontId="34" fillId="4" borderId="2" xfId="117" applyFont="1" applyFill="1" applyBorder="1"/>
    <xf numFmtId="171" fontId="34" fillId="31" borderId="2" xfId="117" applyNumberFormat="1" applyFont="1" applyFill="1" applyBorder="1"/>
    <xf numFmtId="0" fontId="53" fillId="0" borderId="0" xfId="0" applyFont="1"/>
    <xf numFmtId="0" fontId="1" fillId="0" borderId="2" xfId="0" applyNumberFormat="1" applyFont="1" applyFill="1" applyBorder="1" applyAlignment="1">
      <alignment horizontal="left"/>
    </xf>
    <xf numFmtId="0" fontId="19" fillId="0" borderId="0" xfId="55" quotePrefix="1" applyFont="1" applyFill="1" applyBorder="1" applyAlignment="1">
      <alignment horizontal="left"/>
    </xf>
    <xf numFmtId="171" fontId="97" fillId="25" borderId="2" xfId="0" applyNumberFormat="1" applyFont="1" applyFill="1" applyBorder="1" applyAlignment="1">
      <alignment horizontal="left"/>
    </xf>
    <xf numFmtId="9" fontId="20" fillId="11" borderId="2" xfId="45" applyNumberFormat="1" applyFont="1" applyBorder="1"/>
    <xf numFmtId="0" fontId="160" fillId="0" borderId="0" xfId="155" applyFont="1" applyAlignment="1">
      <alignment horizontal="left"/>
    </xf>
    <xf numFmtId="0" fontId="16" fillId="0" borderId="0" xfId="155" applyFont="1" applyAlignment="1">
      <alignment horizontal="left" vertical="center"/>
    </xf>
    <xf numFmtId="0" fontId="16" fillId="0" borderId="0" xfId="155" applyFont="1" applyAlignment="1">
      <alignment horizontal="left"/>
    </xf>
    <xf numFmtId="0" fontId="16" fillId="0" borderId="0" xfId="155" applyFont="1" applyAlignment="1">
      <alignment horizontal="left" wrapText="1"/>
    </xf>
    <xf numFmtId="0" fontId="23" fillId="0" borderId="0" xfId="155" applyFont="1" applyAlignment="1">
      <alignment horizontal="left"/>
    </xf>
    <xf numFmtId="0" fontId="23" fillId="0" borderId="0" xfId="5" applyFont="1" applyAlignment="1">
      <alignment horizontal="left"/>
    </xf>
    <xf numFmtId="0" fontId="160" fillId="0" borderId="2" xfId="139" applyFont="1" applyBorder="1" applyAlignment="1">
      <alignment horizontal="left" vertical="center"/>
    </xf>
    <xf numFmtId="0" fontId="19" fillId="0" borderId="0" xfId="5" applyFont="1" applyAlignment="1">
      <alignment horizontal="left"/>
    </xf>
    <xf numFmtId="0" fontId="161" fillId="2" borderId="0" xfId="5" applyFont="1" applyFill="1"/>
    <xf numFmtId="0" fontId="20" fillId="0" borderId="0" xfId="155" applyFont="1" applyAlignment="1">
      <alignment vertical="center"/>
    </xf>
    <xf numFmtId="0" fontId="18" fillId="31" borderId="0" xfId="5" applyFont="1" applyFill="1"/>
    <xf numFmtId="0" fontId="19" fillId="31" borderId="0" xfId="5" applyFont="1" applyFill="1"/>
    <xf numFmtId="0" fontId="160" fillId="0" borderId="0" xfId="155" applyFont="1"/>
    <xf numFmtId="0" fontId="16" fillId="0" borderId="0" xfId="155" applyFont="1" applyAlignment="1">
      <alignment vertical="center"/>
    </xf>
    <xf numFmtId="165" fontId="19" fillId="0" borderId="0" xfId="4" applyNumberFormat="1" applyFont="1"/>
    <xf numFmtId="0" fontId="20" fillId="10" borderId="2" xfId="140" applyFont="1" applyBorder="1"/>
    <xf numFmtId="0" fontId="19" fillId="0" borderId="0" xfId="155" applyFont="1"/>
    <xf numFmtId="0" fontId="160" fillId="0" borderId="0" xfId="155" applyFont="1" applyAlignment="1">
      <alignment horizontal="center"/>
    </xf>
    <xf numFmtId="0" fontId="19" fillId="0" borderId="0" xfId="156" applyFont="1" applyAlignment="1">
      <alignment horizontal="left" vertical="center"/>
    </xf>
    <xf numFmtId="0" fontId="160" fillId="0" borderId="0" xfId="155" applyFont="1" applyAlignment="1">
      <alignment vertical="center"/>
    </xf>
    <xf numFmtId="0" fontId="160" fillId="0" borderId="0" xfId="155" applyFont="1" applyAlignment="1">
      <alignment horizontal="center" vertical="center"/>
    </xf>
    <xf numFmtId="0" fontId="160" fillId="0" borderId="0" xfId="155" applyFont="1" applyAlignment="1">
      <alignment horizontal="left" vertical="center"/>
    </xf>
    <xf numFmtId="171" fontId="162" fillId="0" borderId="0" xfId="0" applyNumberFormat="1" applyFont="1" applyAlignment="1">
      <alignment horizontal="right"/>
    </xf>
    <xf numFmtId="0" fontId="20" fillId="0" borderId="0" xfId="155" applyFont="1" applyAlignment="1">
      <alignment horizontal="left" vertical="center"/>
    </xf>
    <xf numFmtId="4" fontId="25" fillId="11" borderId="2" xfId="157" applyFont="1" applyBorder="1" applyAlignment="1">
      <alignment horizontal="center"/>
    </xf>
    <xf numFmtId="171" fontId="34" fillId="0" borderId="0" xfId="0" applyNumberFormat="1" applyFont="1" applyAlignment="1">
      <alignment horizontal="right"/>
    </xf>
    <xf numFmtId="0" fontId="21" fillId="0" borderId="0" xfId="155" applyFont="1"/>
    <xf numFmtId="0" fontId="25" fillId="0" borderId="0" xfId="155" applyFont="1" applyAlignment="1">
      <alignment horizontal="right" vertical="center"/>
    </xf>
    <xf numFmtId="0" fontId="164" fillId="0" borderId="0" xfId="155" applyFont="1"/>
    <xf numFmtId="171" fontId="1" fillId="0" borderId="0" xfId="0" applyNumberFormat="1" applyFont="1" applyAlignment="1">
      <alignment horizontal="right"/>
    </xf>
    <xf numFmtId="0" fontId="18" fillId="2" borderId="0" xfId="159" applyFont="1" applyFill="1"/>
    <xf numFmtId="0" fontId="164" fillId="0" borderId="0" xfId="5" applyFont="1"/>
    <xf numFmtId="0" fontId="19" fillId="0" borderId="0" xfId="159" applyFont="1"/>
    <xf numFmtId="0" fontId="19" fillId="2" borderId="0" xfId="159" applyFont="1" applyFill="1"/>
    <xf numFmtId="0" fontId="18" fillId="0" borderId="0" xfId="5" applyFont="1"/>
    <xf numFmtId="165" fontId="18" fillId="0" borderId="0" xfId="4" applyNumberFormat="1" applyFont="1"/>
    <xf numFmtId="0" fontId="21" fillId="0" borderId="0" xfId="155" applyFont="1" applyAlignment="1">
      <alignment horizontal="left" vertical="center"/>
    </xf>
    <xf numFmtId="0" fontId="18" fillId="0" borderId="0" xfId="156" applyFont="1" applyAlignment="1">
      <alignment horizontal="left" vertical="center"/>
    </xf>
    <xf numFmtId="0" fontId="21" fillId="0" borderId="0" xfId="155" applyFont="1" applyAlignment="1">
      <alignment horizontal="center" vertical="center"/>
    </xf>
    <xf numFmtId="0" fontId="21" fillId="0" borderId="0" xfId="155" applyFont="1" applyAlignment="1">
      <alignment vertical="center"/>
    </xf>
    <xf numFmtId="4" fontId="164" fillId="0" borderId="0" xfId="5" applyNumberFormat="1" applyFont="1" applyAlignment="1">
      <alignment horizontal="center"/>
    </xf>
    <xf numFmtId="0" fontId="18" fillId="0" borderId="0" xfId="159" applyFont="1"/>
    <xf numFmtId="0" fontId="166" fillId="2" borderId="0" xfId="159" applyFont="1" applyFill="1"/>
    <xf numFmtId="0" fontId="49" fillId="24" borderId="0" xfId="0" applyFont="1" applyFill="1" applyAlignment="1">
      <alignment vertical="center"/>
    </xf>
    <xf numFmtId="0" fontId="0" fillId="24" borderId="0" xfId="0" applyFill="1" applyAlignment="1">
      <alignment vertical="center"/>
    </xf>
    <xf numFmtId="0" fontId="28" fillId="0" borderId="0" xfId="119" applyFont="1" applyAlignment="1">
      <alignment vertical="center"/>
    </xf>
    <xf numFmtId="0" fontId="4" fillId="0" borderId="0" xfId="117" applyAlignment="1">
      <alignment vertical="center"/>
    </xf>
    <xf numFmtId="0" fontId="89" fillId="0" borderId="0" xfId="117" applyFont="1" applyAlignment="1">
      <alignment vertical="center"/>
    </xf>
    <xf numFmtId="0" fontId="4" fillId="0" borderId="0" xfId="117" applyAlignment="1">
      <alignment vertical="center" wrapText="1"/>
    </xf>
    <xf numFmtId="0" fontId="34" fillId="0" borderId="2" xfId="117" applyFont="1" applyBorder="1" applyAlignment="1">
      <alignment vertical="center" wrapText="1"/>
    </xf>
    <xf numFmtId="0" fontId="4" fillId="0" borderId="19" xfId="117" applyBorder="1" applyAlignment="1">
      <alignment horizontal="centerContinuous" vertical="center"/>
    </xf>
    <xf numFmtId="0" fontId="32" fillId="0" borderId="2" xfId="117" applyFont="1" applyBorder="1" applyAlignment="1">
      <alignment vertical="center" wrapText="1"/>
    </xf>
    <xf numFmtId="0" fontId="32" fillId="0" borderId="2" xfId="117" applyFont="1" applyBorder="1" applyAlignment="1">
      <alignment vertical="center"/>
    </xf>
    <xf numFmtId="0" fontId="34" fillId="0" borderId="2" xfId="117" applyFont="1" applyBorder="1" applyAlignment="1">
      <alignment vertical="center"/>
    </xf>
    <xf numFmtId="0" fontId="34" fillId="0" borderId="2" xfId="117" applyFont="1" applyBorder="1" applyAlignment="1">
      <alignment horizontal="center" vertical="center"/>
    </xf>
    <xf numFmtId="0" fontId="32" fillId="0" borderId="3" xfId="117" applyFont="1" applyBorder="1" applyAlignment="1">
      <alignment vertical="center" wrapText="1"/>
    </xf>
    <xf numFmtId="0" fontId="4" fillId="0" borderId="2" xfId="117" applyBorder="1" applyAlignment="1">
      <alignment vertical="center"/>
    </xf>
    <xf numFmtId="0" fontId="32" fillId="0" borderId="0" xfId="117" applyFont="1" applyAlignment="1">
      <alignment vertical="center" wrapText="1"/>
    </xf>
    <xf numFmtId="0" fontId="32" fillId="0" borderId="0" xfId="117" applyFont="1" applyAlignment="1">
      <alignment vertical="center"/>
    </xf>
    <xf numFmtId="0" fontId="34" fillId="0" borderId="0" xfId="117" applyFont="1" applyAlignment="1">
      <alignment vertical="center"/>
    </xf>
    <xf numFmtId="0" fontId="34" fillId="0" borderId="0" xfId="117" applyFont="1" applyAlignment="1">
      <alignment horizontal="center" vertical="center"/>
    </xf>
    <xf numFmtId="0" fontId="32" fillId="0" borderId="19" xfId="117" applyFont="1" applyBorder="1" applyAlignment="1">
      <alignment vertical="center" wrapText="1"/>
    </xf>
    <xf numFmtId="0" fontId="4" fillId="0" borderId="19" xfId="117" applyBorder="1" applyAlignment="1">
      <alignment vertical="center"/>
    </xf>
    <xf numFmtId="0" fontId="32" fillId="0" borderId="19" xfId="117" applyFont="1" applyBorder="1" applyAlignment="1">
      <alignment vertical="center"/>
    </xf>
    <xf numFmtId="0" fontId="34" fillId="0" borderId="19" xfId="117" applyFont="1" applyBorder="1" applyAlignment="1">
      <alignment vertical="center"/>
    </xf>
    <xf numFmtId="0" fontId="34" fillId="0" borderId="19" xfId="117" applyFont="1" applyBorder="1" applyAlignment="1">
      <alignment horizontal="center" vertical="center"/>
    </xf>
    <xf numFmtId="0" fontId="34" fillId="0" borderId="3" xfId="117" applyFont="1" applyBorder="1" applyAlignment="1">
      <alignment vertical="center"/>
    </xf>
    <xf numFmtId="0" fontId="32" fillId="0" borderId="3" xfId="117" applyFont="1" applyBorder="1" applyAlignment="1">
      <alignment vertical="center"/>
    </xf>
    <xf numFmtId="0" fontId="28" fillId="0" borderId="2" xfId="117" applyFont="1" applyBorder="1" applyAlignment="1">
      <alignment vertical="center" wrapText="1"/>
    </xf>
    <xf numFmtId="0" fontId="4" fillId="0" borderId="2" xfId="117" applyBorder="1" applyAlignment="1">
      <alignment vertical="center" wrapText="1"/>
    </xf>
    <xf numFmtId="0" fontId="17" fillId="0" borderId="2" xfId="117" applyFont="1" applyBorder="1" applyAlignment="1">
      <alignment vertical="center"/>
    </xf>
    <xf numFmtId="171" fontId="4" fillId="0" borderId="2" xfId="117" applyNumberFormat="1" applyBorder="1" applyAlignment="1">
      <alignment vertical="center"/>
    </xf>
    <xf numFmtId="171" fontId="34" fillId="0" borderId="2" xfId="117" applyNumberFormat="1" applyFont="1" applyBorder="1" applyAlignment="1">
      <alignment vertical="center"/>
    </xf>
    <xf numFmtId="0" fontId="4" fillId="4" borderId="2" xfId="117" applyFill="1" applyBorder="1" applyAlignment="1">
      <alignment vertical="center" wrapText="1"/>
    </xf>
    <xf numFmtId="0" fontId="4" fillId="4" borderId="0" xfId="117" applyFill="1" applyAlignment="1">
      <alignment vertical="center"/>
    </xf>
    <xf numFmtId="0" fontId="4" fillId="4" borderId="0" xfId="117" applyFill="1" applyAlignment="1">
      <alignment vertical="center" wrapText="1"/>
    </xf>
    <xf numFmtId="0" fontId="34" fillId="0" borderId="0" xfId="0" applyFont="1" applyBorder="1" applyAlignment="1">
      <alignment vertical="top"/>
    </xf>
    <xf numFmtId="0" fontId="34" fillId="0" borderId="0" xfId="0" applyFont="1" applyBorder="1" applyAlignment="1">
      <alignment vertical="top" wrapText="1"/>
    </xf>
    <xf numFmtId="0" fontId="34" fillId="0" borderId="0" xfId="0" applyFont="1" applyBorder="1"/>
    <xf numFmtId="0" fontId="48" fillId="0" borderId="0" xfId="0" applyFont="1" applyBorder="1"/>
    <xf numFmtId="0" fontId="45" fillId="0" borderId="0" xfId="0" applyFont="1" applyBorder="1"/>
    <xf numFmtId="0" fontId="23" fillId="2" borderId="0" xfId="5" applyFont="1" applyFill="1"/>
    <xf numFmtId="14" fontId="0" fillId="0" borderId="0" xfId="0" applyNumberFormat="1"/>
    <xf numFmtId="0" fontId="97" fillId="0" borderId="0" xfId="142" applyFont="1"/>
    <xf numFmtId="180" fontId="1" fillId="0" borderId="0" xfId="142" applyNumberFormat="1" applyFill="1" applyAlignment="1">
      <alignment vertical="center"/>
    </xf>
    <xf numFmtId="0" fontId="91" fillId="24" borderId="0" xfId="0" applyFont="1" applyFill="1"/>
    <xf numFmtId="0" fontId="167" fillId="0" borderId="0" xfId="0" applyFont="1"/>
    <xf numFmtId="0" fontId="168" fillId="2" borderId="0" xfId="5" applyFont="1" applyFill="1"/>
    <xf numFmtId="180" fontId="97" fillId="0" borderId="0" xfId="142" applyNumberFormat="1" applyFont="1" applyAlignment="1">
      <alignment vertical="center"/>
    </xf>
    <xf numFmtId="0" fontId="28" fillId="0" borderId="0" xfId="142" applyFont="1" applyBorder="1" applyProtection="1">
      <protection locked="0"/>
    </xf>
    <xf numFmtId="0" fontId="28" fillId="0" borderId="0" xfId="142" applyFont="1" applyFill="1" applyAlignment="1" applyProtection="1">
      <alignment vertical="top"/>
      <protection locked="0"/>
    </xf>
    <xf numFmtId="0" fontId="28" fillId="0" borderId="0" xfId="142" applyFont="1" applyFill="1" applyBorder="1"/>
    <xf numFmtId="0" fontId="1" fillId="0" borderId="0" xfId="142" applyFill="1" applyProtection="1">
      <protection locked="0"/>
    </xf>
    <xf numFmtId="0" fontId="28" fillId="0" borderId="0" xfId="142" applyFont="1" applyFill="1" applyAlignment="1">
      <alignment vertical="top"/>
    </xf>
    <xf numFmtId="0" fontId="92" fillId="35" borderId="0" xfId="153" applyFont="1" applyFill="1"/>
    <xf numFmtId="0" fontId="93" fillId="35" borderId="69" xfId="153" applyFont="1" applyFill="1" applyBorder="1"/>
    <xf numFmtId="0" fontId="92" fillId="35" borderId="69" xfId="153" applyFont="1" applyFill="1" applyBorder="1"/>
    <xf numFmtId="0" fontId="92" fillId="0" borderId="0" xfId="153" applyFont="1"/>
    <xf numFmtId="0" fontId="28" fillId="30" borderId="0" xfId="153" applyFont="1" applyFill="1" applyAlignment="1" applyProtection="1">
      <alignment vertical="top"/>
      <protection locked="0"/>
    </xf>
    <xf numFmtId="0" fontId="93" fillId="35" borderId="0" xfId="153" applyFont="1" applyFill="1"/>
    <xf numFmtId="0" fontId="1" fillId="4" borderId="0" xfId="153" applyFill="1"/>
    <xf numFmtId="0" fontId="96" fillId="4" borderId="2" xfId="153" applyFont="1" applyFill="1" applyBorder="1" applyAlignment="1">
      <alignment horizontal="center"/>
    </xf>
    <xf numFmtId="0" fontId="96" fillId="4" borderId="0" xfId="153" applyFont="1" applyFill="1" applyAlignment="1">
      <alignment horizontal="center"/>
    </xf>
    <xf numFmtId="0" fontId="1" fillId="0" borderId="0" xfId="153"/>
    <xf numFmtId="170" fontId="1" fillId="0" borderId="0" xfId="153" applyNumberFormat="1" applyAlignment="1">
      <alignment vertical="center" wrapText="1"/>
    </xf>
    <xf numFmtId="170" fontId="1" fillId="0" borderId="0" xfId="153" applyNumberFormat="1" applyAlignment="1">
      <alignment vertical="center"/>
    </xf>
    <xf numFmtId="180" fontId="1" fillId="0" borderId="0" xfId="153" applyNumberFormat="1" applyAlignment="1">
      <alignment vertical="center"/>
    </xf>
    <xf numFmtId="170" fontId="1" fillId="4" borderId="24" xfId="153" applyNumberFormat="1" applyFill="1" applyBorder="1" applyAlignment="1">
      <alignment horizontal="center" vertical="center"/>
    </xf>
    <xf numFmtId="181" fontId="28" fillId="39" borderId="2" xfId="153" applyNumberFormat="1" applyFont="1" applyFill="1" applyBorder="1" applyAlignment="1">
      <alignment horizontal="center" vertical="top"/>
    </xf>
    <xf numFmtId="170" fontId="1" fillId="4" borderId="51" xfId="153" applyNumberFormat="1" applyFill="1" applyBorder="1" applyAlignment="1">
      <alignment horizontal="center" vertical="center"/>
    </xf>
    <xf numFmtId="181" fontId="28" fillId="20" borderId="2" xfId="153" applyNumberFormat="1" applyFont="1" applyFill="1" applyBorder="1" applyAlignment="1">
      <alignment horizontal="center" vertical="top"/>
    </xf>
    <xf numFmtId="170" fontId="1" fillId="4" borderId="3" xfId="153" applyNumberFormat="1" applyFill="1" applyBorder="1" applyAlignment="1">
      <alignment horizontal="center" vertical="center"/>
    </xf>
    <xf numFmtId="170" fontId="129" fillId="0" borderId="0" xfId="153" applyNumberFormat="1" applyFont="1" applyAlignment="1">
      <alignment vertical="center"/>
    </xf>
    <xf numFmtId="164" fontId="94" fillId="0" borderId="0" xfId="153" applyNumberFormat="1" applyFont="1"/>
    <xf numFmtId="0" fontId="1" fillId="0" borderId="0" xfId="153" applyProtection="1">
      <protection locked="0"/>
    </xf>
    <xf numFmtId="181" fontId="28" fillId="45" borderId="2" xfId="153" applyNumberFormat="1" applyFont="1" applyFill="1" applyBorder="1" applyAlignment="1">
      <alignment horizontal="center" vertical="top"/>
    </xf>
    <xf numFmtId="0" fontId="28" fillId="0" borderId="0" xfId="153" applyFont="1" applyAlignment="1">
      <alignment vertical="center"/>
    </xf>
    <xf numFmtId="10" fontId="1" fillId="46" borderId="2" xfId="153" applyNumberFormat="1" applyFill="1" applyBorder="1"/>
    <xf numFmtId="170" fontId="43" fillId="4" borderId="0" xfId="153" applyNumberFormat="1" applyFont="1" applyFill="1" applyAlignment="1">
      <alignment vertical="center"/>
    </xf>
    <xf numFmtId="180" fontId="131" fillId="4" borderId="0" xfId="153" applyNumberFormat="1" applyFont="1" applyFill="1" applyAlignment="1">
      <alignment vertical="center"/>
    </xf>
    <xf numFmtId="170" fontId="28" fillId="0" borderId="0" xfId="153" applyNumberFormat="1" applyFont="1" applyAlignment="1">
      <alignment vertical="center"/>
    </xf>
    <xf numFmtId="0" fontId="28" fillId="4" borderId="0" xfId="153" applyFont="1" applyFill="1"/>
    <xf numFmtId="180" fontId="28" fillId="0" borderId="0" xfId="153" applyNumberFormat="1" applyFont="1" applyAlignment="1">
      <alignment vertical="center"/>
    </xf>
    <xf numFmtId="181" fontId="28" fillId="37" borderId="2" xfId="153" applyNumberFormat="1" applyFont="1" applyFill="1" applyBorder="1" applyAlignment="1">
      <alignment horizontal="center" vertical="top"/>
    </xf>
    <xf numFmtId="0" fontId="1" fillId="47" borderId="0" xfId="153" applyFill="1"/>
    <xf numFmtId="0" fontId="27" fillId="0" borderId="0" xfId="153" applyFont="1" applyProtection="1">
      <protection locked="0"/>
    </xf>
    <xf numFmtId="0" fontId="28" fillId="0" borderId="0" xfId="153" applyFont="1" applyProtection="1">
      <protection locked="0"/>
    </xf>
    <xf numFmtId="0" fontId="94" fillId="0" borderId="0" xfId="153" applyFont="1"/>
    <xf numFmtId="0" fontId="95" fillId="0" borderId="0" xfId="153" applyFont="1" applyProtection="1">
      <protection locked="0"/>
    </xf>
    <xf numFmtId="0" fontId="27" fillId="4" borderId="0" xfId="153" applyFont="1" applyFill="1"/>
    <xf numFmtId="0" fontId="96" fillId="0" borderId="2" xfId="153" applyFont="1" applyBorder="1" applyAlignment="1">
      <alignment horizontal="center"/>
    </xf>
    <xf numFmtId="0" fontId="94" fillId="4" borderId="0" xfId="153" applyFont="1" applyFill="1"/>
    <xf numFmtId="0" fontId="27" fillId="0" borderId="0" xfId="153" applyFont="1"/>
    <xf numFmtId="0" fontId="32" fillId="4" borderId="49" xfId="153" applyFont="1" applyFill="1" applyBorder="1"/>
    <xf numFmtId="167" fontId="97" fillId="0" borderId="0" xfId="153" applyNumberFormat="1" applyFont="1"/>
    <xf numFmtId="167" fontId="1" fillId="0" borderId="0" xfId="153" applyNumberFormat="1"/>
    <xf numFmtId="164" fontId="1" fillId="0" borderId="0" xfId="153" applyNumberFormat="1"/>
    <xf numFmtId="0" fontId="1" fillId="4" borderId="49" xfId="153" applyFill="1" applyBorder="1"/>
    <xf numFmtId="0" fontId="116" fillId="0" borderId="0" xfId="153" applyFont="1" applyProtection="1">
      <protection locked="0"/>
    </xf>
    <xf numFmtId="180" fontId="34" fillId="0" borderId="0" xfId="153" applyNumberFormat="1" applyFont="1" applyAlignment="1">
      <alignment vertical="center"/>
    </xf>
    <xf numFmtId="170" fontId="34" fillId="0" borderId="0" xfId="153" applyNumberFormat="1" applyFont="1" applyAlignment="1">
      <alignment vertical="center" wrapText="1"/>
    </xf>
    <xf numFmtId="0" fontId="32" fillId="0" borderId="0" xfId="153" applyFont="1" applyProtection="1">
      <protection locked="0"/>
    </xf>
    <xf numFmtId="170" fontId="32" fillId="0" borderId="0" xfId="153" applyNumberFormat="1" applyFont="1" applyAlignment="1">
      <alignment vertical="center"/>
    </xf>
    <xf numFmtId="0" fontId="34" fillId="0" borderId="0" xfId="153" applyFont="1"/>
    <xf numFmtId="0" fontId="34" fillId="0" borderId="0" xfId="153" applyFont="1" applyProtection="1">
      <protection locked="0"/>
    </xf>
    <xf numFmtId="0" fontId="28" fillId="0" borderId="0" xfId="153" applyFont="1"/>
    <xf numFmtId="164" fontId="34" fillId="0" borderId="0" xfId="153" applyNumberFormat="1" applyFont="1"/>
    <xf numFmtId="0" fontId="28" fillId="4" borderId="49" xfId="153" applyFont="1" applyFill="1" applyBorder="1"/>
    <xf numFmtId="0" fontId="34" fillId="4" borderId="0" xfId="153" applyFont="1" applyFill="1"/>
    <xf numFmtId="181" fontId="1" fillId="0" borderId="0" xfId="153" applyNumberFormat="1"/>
    <xf numFmtId="190" fontId="1" fillId="0" borderId="0" xfId="153" applyNumberFormat="1"/>
    <xf numFmtId="0" fontId="132" fillId="0" borderId="0" xfId="153" applyFont="1" applyAlignment="1">
      <alignment vertical="center" wrapText="1"/>
    </xf>
    <xf numFmtId="0" fontId="133" fillId="0" borderId="0" xfId="153" applyFont="1" applyAlignment="1">
      <alignment vertical="center" wrapText="1"/>
    </xf>
    <xf numFmtId="0" fontId="134" fillId="0" borderId="0" xfId="153" applyFont="1" applyAlignment="1">
      <alignment vertical="center" wrapText="1"/>
    </xf>
    <xf numFmtId="0" fontId="92" fillId="4" borderId="49" xfId="153" applyFont="1" applyFill="1" applyBorder="1"/>
    <xf numFmtId="167" fontId="100" fillId="0" borderId="0" xfId="153" applyNumberFormat="1" applyFont="1"/>
    <xf numFmtId="167" fontId="94" fillId="0" borderId="0" xfId="153" applyNumberFormat="1" applyFont="1"/>
    <xf numFmtId="0" fontId="94" fillId="4" borderId="49" xfId="153" applyFont="1" applyFill="1" applyBorder="1"/>
    <xf numFmtId="0" fontId="92" fillId="0" borderId="49" xfId="153" applyFont="1" applyBorder="1"/>
    <xf numFmtId="0" fontId="96" fillId="4" borderId="0" xfId="153" applyFont="1" applyFill="1"/>
    <xf numFmtId="0" fontId="92" fillId="4" borderId="0" xfId="153" applyFont="1" applyFill="1"/>
    <xf numFmtId="0" fontId="32" fillId="0" borderId="49" xfId="153" applyFont="1" applyBorder="1"/>
    <xf numFmtId="0" fontId="102" fillId="35" borderId="69" xfId="153" applyFont="1" applyFill="1" applyBorder="1"/>
    <xf numFmtId="0" fontId="101" fillId="35" borderId="69" xfId="153" applyFont="1" applyFill="1" applyBorder="1"/>
    <xf numFmtId="0" fontId="101" fillId="35" borderId="0" xfId="153" applyFont="1" applyFill="1"/>
    <xf numFmtId="0" fontId="103" fillId="0" borderId="0" xfId="153" applyFont="1"/>
    <xf numFmtId="0" fontId="102" fillId="35" borderId="0" xfId="153" applyFont="1" applyFill="1"/>
    <xf numFmtId="0" fontId="104" fillId="0" borderId="0" xfId="153" applyFont="1" applyProtection="1">
      <protection locked="0"/>
    </xf>
    <xf numFmtId="0" fontId="105" fillId="0" borderId="0" xfId="153" applyFont="1" applyProtection="1">
      <protection locked="0"/>
    </xf>
    <xf numFmtId="0" fontId="101" fillId="0" borderId="0" xfId="153" applyFont="1"/>
    <xf numFmtId="0" fontId="106" fillId="0" borderId="0" xfId="153" applyFont="1"/>
    <xf numFmtId="0" fontId="103" fillId="0" borderId="0" xfId="153" applyFont="1" applyProtection="1">
      <protection locked="0"/>
    </xf>
    <xf numFmtId="0" fontId="107" fillId="0" borderId="0" xfId="153" applyFont="1" applyProtection="1">
      <protection locked="0"/>
    </xf>
    <xf numFmtId="0" fontId="104" fillId="4" borderId="0" xfId="153" applyFont="1" applyFill="1"/>
    <xf numFmtId="0" fontId="108" fillId="0" borderId="2" xfId="153" applyFont="1" applyBorder="1" applyAlignment="1">
      <alignment horizontal="center"/>
    </xf>
    <xf numFmtId="0" fontId="106" fillId="4" borderId="0" xfId="153" applyFont="1" applyFill="1"/>
    <xf numFmtId="0" fontId="104" fillId="0" borderId="0" xfId="153" applyFont="1"/>
    <xf numFmtId="0" fontId="103" fillId="4" borderId="0" xfId="153" applyFont="1" applyFill="1"/>
    <xf numFmtId="0" fontId="109" fillId="0" borderId="0" xfId="153" applyFont="1" applyProtection="1">
      <protection locked="0"/>
    </xf>
    <xf numFmtId="170" fontId="105" fillId="0" borderId="0" xfId="153" applyNumberFormat="1" applyFont="1" applyAlignment="1">
      <alignment vertical="center"/>
    </xf>
    <xf numFmtId="0" fontId="101" fillId="0" borderId="49" xfId="153" applyFont="1" applyBorder="1"/>
    <xf numFmtId="170" fontId="103" fillId="0" borderId="0" xfId="153" applyNumberFormat="1" applyFont="1" applyAlignment="1">
      <alignment vertical="center"/>
    </xf>
    <xf numFmtId="180" fontId="103" fillId="0" borderId="0" xfId="153" applyNumberFormat="1" applyFont="1" applyAlignment="1">
      <alignment vertical="center"/>
    </xf>
    <xf numFmtId="0" fontId="116" fillId="0" borderId="71" xfId="153" applyFont="1" applyBorder="1" applyProtection="1">
      <protection locked="0"/>
    </xf>
    <xf numFmtId="164" fontId="103" fillId="39" borderId="2" xfId="153" applyNumberFormat="1" applyFont="1" applyFill="1" applyBorder="1"/>
    <xf numFmtId="0" fontId="103" fillId="0" borderId="0" xfId="153" applyFont="1" applyAlignment="1">
      <alignment horizontal="left"/>
    </xf>
    <xf numFmtId="0" fontId="108" fillId="4" borderId="44" xfId="153" applyFont="1" applyFill="1" applyBorder="1" applyAlignment="1">
      <alignment horizontal="left"/>
    </xf>
    <xf numFmtId="0" fontId="103" fillId="0" borderId="69" xfId="153" applyFont="1" applyBorder="1" applyAlignment="1">
      <alignment horizontal="left"/>
    </xf>
    <xf numFmtId="0" fontId="103" fillId="0" borderId="69" xfId="153" applyFont="1" applyBorder="1" applyProtection="1">
      <protection locked="0"/>
    </xf>
    <xf numFmtId="0" fontId="103" fillId="0" borderId="69" xfId="153" applyFont="1" applyBorder="1"/>
    <xf numFmtId="0" fontId="103" fillId="0" borderId="70" xfId="153" applyFont="1" applyBorder="1" applyProtection="1">
      <protection locked="0"/>
    </xf>
    <xf numFmtId="0" fontId="103" fillId="0" borderId="49" xfId="153" applyFont="1" applyBorder="1"/>
    <xf numFmtId="0" fontId="103" fillId="0" borderId="71" xfId="153" applyFont="1" applyBorder="1" applyProtection="1">
      <protection locked="0"/>
    </xf>
    <xf numFmtId="0" fontId="105" fillId="0" borderId="49" xfId="153" applyFont="1" applyBorder="1" applyAlignment="1" applyProtection="1">
      <alignment vertical="center"/>
      <protection locked="0"/>
    </xf>
    <xf numFmtId="0" fontId="105" fillId="0" borderId="0" xfId="153" applyFont="1" applyAlignment="1" applyProtection="1">
      <alignment vertical="center"/>
      <protection locked="0"/>
    </xf>
    <xf numFmtId="164" fontId="109" fillId="37" borderId="2" xfId="153" applyNumberFormat="1" applyFont="1" applyFill="1" applyBorder="1"/>
    <xf numFmtId="0" fontId="105" fillId="0" borderId="0" xfId="153" applyFont="1" applyAlignment="1" applyProtection="1">
      <alignment vertical="center" wrapText="1"/>
      <protection locked="0"/>
    </xf>
    <xf numFmtId="0" fontId="109" fillId="0" borderId="49" xfId="153" applyFont="1" applyBorder="1"/>
    <xf numFmtId="0" fontId="110" fillId="0" borderId="0" xfId="153" applyFont="1" applyAlignment="1" applyProtection="1">
      <alignment vertical="center" wrapText="1"/>
      <protection locked="0"/>
    </xf>
    <xf numFmtId="170" fontId="109" fillId="0" borderId="0" xfId="153" applyNumberFormat="1" applyFont="1" applyAlignment="1">
      <alignment vertical="center"/>
    </xf>
    <xf numFmtId="170" fontId="110" fillId="0" borderId="0" xfId="153" applyNumberFormat="1" applyFont="1" applyAlignment="1">
      <alignment vertical="center"/>
    </xf>
    <xf numFmtId="0" fontId="103" fillId="0" borderId="48" xfId="153" applyFont="1" applyBorder="1" applyProtection="1">
      <protection locked="0"/>
    </xf>
    <xf numFmtId="0" fontId="103" fillId="0" borderId="1" xfId="153" applyFont="1" applyBorder="1" applyProtection="1">
      <protection locked="0"/>
    </xf>
    <xf numFmtId="0" fontId="103" fillId="0" borderId="26" xfId="153" applyFont="1" applyBorder="1" applyProtection="1">
      <protection locked="0"/>
    </xf>
    <xf numFmtId="0" fontId="108" fillId="4" borderId="49" xfId="153" applyFont="1" applyFill="1" applyBorder="1" applyAlignment="1">
      <alignment horizontal="left"/>
    </xf>
    <xf numFmtId="0" fontId="103" fillId="0" borderId="49" xfId="153" applyFont="1" applyBorder="1" applyProtection="1">
      <protection locked="0"/>
    </xf>
    <xf numFmtId="170" fontId="103" fillId="0" borderId="0" xfId="153" applyNumberFormat="1" applyFont="1" applyAlignment="1">
      <alignment vertical="center" wrapText="1"/>
    </xf>
    <xf numFmtId="164" fontId="103" fillId="37" borderId="2" xfId="153" applyNumberFormat="1" applyFont="1" applyFill="1" applyBorder="1"/>
    <xf numFmtId="170" fontId="109" fillId="0" borderId="0" xfId="153" applyNumberFormat="1" applyFont="1" applyAlignment="1">
      <alignment vertical="center" wrapText="1"/>
    </xf>
    <xf numFmtId="191" fontId="109" fillId="37" borderId="2" xfId="153" applyNumberFormat="1" applyFont="1" applyFill="1" applyBorder="1"/>
    <xf numFmtId="0" fontId="104" fillId="0" borderId="49" xfId="153" applyFont="1" applyBorder="1"/>
    <xf numFmtId="164" fontId="105" fillId="38" borderId="2" xfId="146" applyNumberFormat="1" applyFont="1" applyFill="1" applyBorder="1" applyAlignment="1" applyProtection="1">
      <alignment vertical="center"/>
      <protection locked="0"/>
    </xf>
    <xf numFmtId="2" fontId="109" fillId="37" borderId="2" xfId="153" applyNumberFormat="1" applyFont="1" applyFill="1" applyBorder="1"/>
    <xf numFmtId="176" fontId="109" fillId="37" borderId="2" xfId="153" applyNumberFormat="1" applyFont="1" applyFill="1" applyBorder="1"/>
    <xf numFmtId="0" fontId="103" fillId="0" borderId="44" xfId="153" applyFont="1" applyBorder="1" applyProtection="1">
      <protection locked="0"/>
    </xf>
    <xf numFmtId="170" fontId="103" fillId="0" borderId="49" xfId="153" applyNumberFormat="1" applyFont="1" applyBorder="1" applyAlignment="1">
      <alignment vertical="center" wrapText="1"/>
    </xf>
    <xf numFmtId="0" fontId="103" fillId="0" borderId="71" xfId="153" applyFont="1" applyBorder="1"/>
    <xf numFmtId="170" fontId="109" fillId="0" borderId="49" xfId="153" applyNumberFormat="1" applyFont="1" applyBorder="1" applyAlignment="1">
      <alignment vertical="center" wrapText="1"/>
    </xf>
    <xf numFmtId="180" fontId="109" fillId="0" borderId="0" xfId="153" applyNumberFormat="1" applyFont="1" applyAlignment="1">
      <alignment vertical="center"/>
    </xf>
    <xf numFmtId="0" fontId="110" fillId="0" borderId="0" xfId="153" applyFont="1" applyProtection="1">
      <protection locked="0"/>
    </xf>
    <xf numFmtId="0" fontId="109" fillId="0" borderId="0" xfId="153" applyFont="1"/>
    <xf numFmtId="0" fontId="34" fillId="0" borderId="44" xfId="153" applyFont="1" applyBorder="1" applyProtection="1">
      <protection locked="0"/>
    </xf>
    <xf numFmtId="170" fontId="28" fillId="0" borderId="69" xfId="153" applyNumberFormat="1" applyFont="1" applyBorder="1" applyAlignment="1">
      <alignment vertical="center"/>
    </xf>
    <xf numFmtId="0" fontId="1" fillId="0" borderId="69" xfId="153" applyBorder="1"/>
    <xf numFmtId="0" fontId="28" fillId="0" borderId="69" xfId="153" applyFont="1" applyBorder="1" applyProtection="1">
      <protection locked="0"/>
    </xf>
    <xf numFmtId="0" fontId="1" fillId="4" borderId="69" xfId="153" applyFill="1" applyBorder="1"/>
    <xf numFmtId="0" fontId="1" fillId="0" borderId="70" xfId="153" applyBorder="1"/>
    <xf numFmtId="0" fontId="1" fillId="0" borderId="71" xfId="153" applyBorder="1"/>
    <xf numFmtId="170" fontId="1" fillId="0" borderId="49" xfId="153" applyNumberFormat="1" applyBorder="1" applyAlignment="1">
      <alignment vertical="center"/>
    </xf>
    <xf numFmtId="164" fontId="1" fillId="39" borderId="2" xfId="153" applyNumberFormat="1" applyFill="1" applyBorder="1"/>
    <xf numFmtId="0" fontId="1" fillId="0" borderId="71" xfId="153" applyBorder="1" applyProtection="1">
      <protection locked="0"/>
    </xf>
    <xf numFmtId="180" fontId="1" fillId="0" borderId="49" xfId="153" applyNumberFormat="1" applyBorder="1" applyAlignment="1">
      <alignment vertical="center"/>
    </xf>
    <xf numFmtId="170" fontId="32" fillId="0" borderId="48" xfId="153" applyNumberFormat="1" applyFont="1" applyBorder="1" applyAlignment="1">
      <alignment vertical="center"/>
    </xf>
    <xf numFmtId="0" fontId="1" fillId="0" borderId="1" xfId="153" applyBorder="1" applyAlignment="1">
      <alignment horizontal="left"/>
    </xf>
    <xf numFmtId="0" fontId="1" fillId="0" borderId="1" xfId="153" applyBorder="1"/>
    <xf numFmtId="0" fontId="1" fillId="0" borderId="1" xfId="153" applyBorder="1" applyProtection="1">
      <protection locked="0"/>
    </xf>
    <xf numFmtId="164" fontId="34" fillId="0" borderId="1" xfId="153" applyNumberFormat="1" applyFont="1" applyBorder="1"/>
    <xf numFmtId="0" fontId="1" fillId="0" borderId="26" xfId="153" applyBorder="1" applyProtection="1">
      <protection locked="0"/>
    </xf>
    <xf numFmtId="0" fontId="1" fillId="0" borderId="44" xfId="153" applyBorder="1" applyProtection="1">
      <protection locked="0"/>
    </xf>
    <xf numFmtId="0" fontId="1" fillId="0" borderId="69" xfId="153" applyBorder="1" applyAlignment="1">
      <alignment horizontal="left"/>
    </xf>
    <xf numFmtId="0" fontId="1" fillId="0" borderId="69" xfId="153" applyBorder="1" applyProtection="1">
      <protection locked="0"/>
    </xf>
    <xf numFmtId="0" fontId="1" fillId="0" borderId="70" xfId="153" applyBorder="1" applyProtection="1">
      <protection locked="0"/>
    </xf>
    <xf numFmtId="0" fontId="34" fillId="4" borderId="49" xfId="153" applyFont="1" applyFill="1" applyBorder="1" applyAlignment="1">
      <alignment horizontal="left"/>
    </xf>
    <xf numFmtId="0" fontId="1" fillId="0" borderId="0" xfId="153" applyAlignment="1">
      <alignment horizontal="left"/>
    </xf>
    <xf numFmtId="0" fontId="1" fillId="0" borderId="49" xfId="153" applyBorder="1"/>
    <xf numFmtId="0" fontId="28" fillId="0" borderId="49" xfId="153" applyFont="1" applyBorder="1" applyAlignment="1" applyProtection="1">
      <alignment vertical="center"/>
      <protection locked="0"/>
    </xf>
    <xf numFmtId="0" fontId="28" fillId="0" borderId="0" xfId="153" applyFont="1" applyAlignment="1" applyProtection="1">
      <alignment vertical="center"/>
      <protection locked="0"/>
    </xf>
    <xf numFmtId="164" fontId="34" fillId="37" borderId="2" xfId="153" applyNumberFormat="1" applyFont="1" applyFill="1" applyBorder="1"/>
    <xf numFmtId="0" fontId="28" fillId="0" borderId="0" xfId="153" applyFont="1" applyAlignment="1" applyProtection="1">
      <alignment vertical="center" wrapText="1"/>
      <protection locked="0"/>
    </xf>
    <xf numFmtId="0" fontId="34" fillId="0" borderId="49" xfId="153" applyFont="1" applyBorder="1"/>
    <xf numFmtId="0" fontId="32" fillId="0" borderId="0" xfId="153" applyFont="1" applyAlignment="1" applyProtection="1">
      <alignment vertical="center" wrapText="1"/>
      <protection locked="0"/>
    </xf>
    <xf numFmtId="170" fontId="34" fillId="0" borderId="0" xfId="153" applyNumberFormat="1" applyFont="1" applyAlignment="1">
      <alignment vertical="center"/>
    </xf>
    <xf numFmtId="0" fontId="1" fillId="0" borderId="49" xfId="153" applyBorder="1" applyProtection="1">
      <protection locked="0"/>
    </xf>
    <xf numFmtId="0" fontId="1" fillId="0" borderId="48" xfId="153" applyBorder="1" applyProtection="1">
      <protection locked="0"/>
    </xf>
    <xf numFmtId="0" fontId="1" fillId="4" borderId="44" xfId="153" applyFill="1" applyBorder="1" applyProtection="1">
      <protection locked="0"/>
    </xf>
    <xf numFmtId="170" fontId="28" fillId="4" borderId="69" xfId="153" applyNumberFormat="1" applyFont="1" applyFill="1" applyBorder="1" applyAlignment="1">
      <alignment vertical="center"/>
    </xf>
    <xf numFmtId="0" fontId="28" fillId="4" borderId="69" xfId="153" applyFont="1" applyFill="1" applyBorder="1" applyProtection="1">
      <protection locked="0"/>
    </xf>
    <xf numFmtId="0" fontId="1" fillId="4" borderId="70" xfId="153" applyFill="1" applyBorder="1"/>
    <xf numFmtId="0" fontId="1" fillId="4" borderId="49" xfId="153" applyFill="1" applyBorder="1" applyProtection="1">
      <protection locked="0"/>
    </xf>
    <xf numFmtId="170" fontId="28" fillId="4" borderId="0" xfId="153" applyNumberFormat="1" applyFont="1" applyFill="1" applyAlignment="1">
      <alignment vertical="center"/>
    </xf>
    <xf numFmtId="0" fontId="28" fillId="4" borderId="0" xfId="153" applyFont="1" applyFill="1" applyProtection="1">
      <protection locked="0"/>
    </xf>
    <xf numFmtId="0" fontId="1" fillId="4" borderId="71" xfId="153" applyFill="1" applyBorder="1"/>
    <xf numFmtId="170" fontId="1" fillId="4" borderId="49" xfId="153" applyNumberFormat="1" applyFill="1" applyBorder="1" applyAlignment="1">
      <alignment vertical="center" wrapText="1"/>
    </xf>
    <xf numFmtId="180" fontId="1" fillId="4" borderId="0" xfId="153" applyNumberFormat="1" applyFill="1" applyAlignment="1">
      <alignment vertical="center"/>
    </xf>
    <xf numFmtId="170" fontId="1" fillId="4" borderId="0" xfId="153" applyNumberFormat="1" applyFill="1" applyAlignment="1">
      <alignment vertical="center" wrapText="1"/>
    </xf>
    <xf numFmtId="182" fontId="1" fillId="39" borderId="2" xfId="153" applyNumberFormat="1" applyFill="1" applyBorder="1" applyProtection="1">
      <protection locked="0"/>
    </xf>
    <xf numFmtId="164" fontId="0" fillId="38" borderId="2" xfId="160" applyFont="1" applyFill="1" applyBorder="1" applyAlignment="1">
      <alignment vertical="center"/>
    </xf>
    <xf numFmtId="170" fontId="34" fillId="4" borderId="0" xfId="153" applyNumberFormat="1" applyFont="1" applyFill="1" applyAlignment="1">
      <alignment vertical="center" wrapText="1"/>
    </xf>
    <xf numFmtId="180" fontId="1" fillId="4" borderId="49" xfId="153" applyNumberFormat="1" applyFill="1" applyBorder="1" applyAlignment="1">
      <alignment vertical="center"/>
    </xf>
    <xf numFmtId="0" fontId="97" fillId="4" borderId="71" xfId="153" applyFont="1" applyFill="1" applyBorder="1"/>
    <xf numFmtId="180" fontId="34" fillId="4" borderId="0" xfId="153" applyNumberFormat="1" applyFont="1" applyFill="1" applyAlignment="1">
      <alignment vertical="center"/>
    </xf>
    <xf numFmtId="170" fontId="32" fillId="4" borderId="0" xfId="153" applyNumberFormat="1" applyFont="1" applyFill="1" applyAlignment="1">
      <alignment vertical="center"/>
    </xf>
    <xf numFmtId="0" fontId="1" fillId="4" borderId="48" xfId="153" applyFill="1" applyBorder="1"/>
    <xf numFmtId="0" fontId="1" fillId="4" borderId="1" xfId="153" applyFill="1" applyBorder="1"/>
    <xf numFmtId="0" fontId="1" fillId="4" borderId="26" xfId="153" applyFill="1" applyBorder="1"/>
    <xf numFmtId="170" fontId="34" fillId="0" borderId="44" xfId="153" applyNumberFormat="1" applyFont="1" applyBorder="1" applyAlignment="1">
      <alignment vertical="center"/>
    </xf>
    <xf numFmtId="0" fontId="94" fillId="4" borderId="69" xfId="153" applyFont="1" applyFill="1" applyBorder="1"/>
    <xf numFmtId="0" fontId="138" fillId="0" borderId="48" xfId="153" applyFont="1" applyBorder="1" applyProtection="1">
      <protection locked="0"/>
    </xf>
    <xf numFmtId="0" fontId="138" fillId="0" borderId="0" xfId="153" applyFont="1" applyProtection="1">
      <protection locked="0"/>
    </xf>
    <xf numFmtId="0" fontId="96" fillId="0" borderId="0" xfId="153" applyFont="1" applyProtection="1">
      <protection locked="0"/>
    </xf>
    <xf numFmtId="0" fontId="96" fillId="0" borderId="69" xfId="153" applyFont="1" applyBorder="1" applyProtection="1">
      <protection locked="0"/>
    </xf>
    <xf numFmtId="0" fontId="34" fillId="0" borderId="49" xfId="153" applyFont="1" applyBorder="1" applyProtection="1">
      <protection locked="0"/>
    </xf>
    <xf numFmtId="170" fontId="34" fillId="0" borderId="49" xfId="153" applyNumberFormat="1" applyFont="1" applyBorder="1" applyAlignment="1">
      <alignment vertical="center"/>
    </xf>
    <xf numFmtId="0" fontId="139" fillId="0" borderId="0" xfId="153" applyFont="1" applyProtection="1">
      <protection locked="0"/>
    </xf>
    <xf numFmtId="0" fontId="28" fillId="0" borderId="49" xfId="153" applyFont="1" applyBorder="1" applyAlignment="1" applyProtection="1">
      <alignment vertical="top"/>
      <protection locked="0"/>
    </xf>
    <xf numFmtId="0" fontId="28" fillId="0" borderId="49" xfId="153" applyFont="1" applyBorder="1" applyProtection="1">
      <protection locked="0"/>
    </xf>
    <xf numFmtId="0" fontId="97" fillId="0" borderId="71" xfId="153" applyFont="1" applyBorder="1" applyProtection="1">
      <protection locked="0"/>
    </xf>
    <xf numFmtId="0" fontId="96" fillId="0" borderId="1" xfId="153" applyFont="1" applyBorder="1" applyProtection="1">
      <protection locked="0"/>
    </xf>
    <xf numFmtId="0" fontId="32" fillId="0" borderId="49" xfId="153" applyFont="1" applyBorder="1" applyAlignment="1">
      <alignment horizontal="left"/>
    </xf>
    <xf numFmtId="0" fontId="28" fillId="0" borderId="0" xfId="153" applyFont="1" applyAlignment="1">
      <alignment horizontal="center"/>
    </xf>
    <xf numFmtId="0" fontId="28" fillId="0" borderId="49" xfId="153" applyFont="1" applyBorder="1" applyAlignment="1">
      <alignment horizontal="left" wrapText="1"/>
    </xf>
    <xf numFmtId="0" fontId="141" fillId="0" borderId="0" xfId="153" applyFont="1" applyAlignment="1">
      <alignment horizontal="left" vertical="top"/>
    </xf>
    <xf numFmtId="0" fontId="142" fillId="0" borderId="0" xfId="153" applyFont="1" applyAlignment="1">
      <alignment horizontal="left" vertical="top"/>
    </xf>
    <xf numFmtId="0" fontId="28" fillId="0" borderId="49" xfId="153" applyFont="1" applyBorder="1" applyAlignment="1">
      <alignment horizontal="left"/>
    </xf>
    <xf numFmtId="192" fontId="28" fillId="38" borderId="2" xfId="153" applyNumberFormat="1" applyFont="1" applyFill="1" applyBorder="1" applyProtection="1">
      <protection locked="0"/>
    </xf>
    <xf numFmtId="193" fontId="28" fillId="39" borderId="2" xfId="153" applyNumberFormat="1" applyFont="1" applyFill="1" applyBorder="1" applyProtection="1">
      <protection locked="0"/>
    </xf>
    <xf numFmtId="0" fontId="32" fillId="0" borderId="0" xfId="153" applyFont="1"/>
    <xf numFmtId="0" fontId="32" fillId="0" borderId="0" xfId="153" applyFont="1" applyAlignment="1">
      <alignment horizontal="center"/>
    </xf>
    <xf numFmtId="164" fontId="32" fillId="37" borderId="2" xfId="153" applyNumberFormat="1" applyFont="1" applyFill="1" applyBorder="1"/>
    <xf numFmtId="0" fontId="32" fillId="0" borderId="49" xfId="153" applyFont="1" applyBorder="1" applyAlignment="1">
      <alignment horizontal="left" vertical="top"/>
    </xf>
    <xf numFmtId="0" fontId="32" fillId="0" borderId="0" xfId="153" quotePrefix="1" applyFont="1"/>
    <xf numFmtId="0" fontId="28" fillId="0" borderId="0" xfId="153" applyFont="1" applyAlignment="1" applyProtection="1">
      <alignment horizontal="center"/>
      <protection locked="0"/>
    </xf>
    <xf numFmtId="194" fontId="28" fillId="38" borderId="2" xfId="153" applyNumberFormat="1" applyFont="1" applyFill="1" applyBorder="1" applyProtection="1">
      <protection locked="0"/>
    </xf>
    <xf numFmtId="0" fontId="28" fillId="44" borderId="49" xfId="153" applyFont="1" applyFill="1" applyBorder="1" applyAlignment="1" applyProtection="1">
      <alignment horizontal="left"/>
      <protection locked="0"/>
    </xf>
    <xf numFmtId="0" fontId="28" fillId="0" borderId="49" xfId="153" applyFont="1" applyBorder="1" applyAlignment="1" applyProtection="1">
      <alignment horizontal="left"/>
      <protection locked="0"/>
    </xf>
    <xf numFmtId="174" fontId="28" fillId="17" borderId="2" xfId="153" applyNumberFormat="1" applyFont="1" applyFill="1" applyBorder="1" applyProtection="1">
      <protection locked="0"/>
    </xf>
    <xf numFmtId="188" fontId="32" fillId="37" borderId="2" xfId="153" applyNumberFormat="1" applyFont="1" applyFill="1" applyBorder="1"/>
    <xf numFmtId="0" fontId="32" fillId="37" borderId="2" xfId="153" applyFont="1" applyFill="1" applyBorder="1"/>
    <xf numFmtId="195" fontId="28" fillId="38" borderId="2" xfId="153" applyNumberFormat="1" applyFont="1" applyFill="1" applyBorder="1" applyProtection="1">
      <protection locked="0"/>
    </xf>
    <xf numFmtId="176" fontId="32" fillId="37" borderId="2" xfId="153" applyNumberFormat="1" applyFont="1" applyFill="1" applyBorder="1"/>
    <xf numFmtId="0" fontId="32" fillId="0" borderId="0" xfId="153" quotePrefix="1" applyFont="1" applyAlignment="1">
      <alignment wrapText="1"/>
    </xf>
    <xf numFmtId="0" fontId="28" fillId="0" borderId="49" xfId="153" applyFont="1" applyBorder="1" applyAlignment="1" applyProtection="1">
      <alignment horizontal="left" wrapText="1"/>
      <protection locked="0"/>
    </xf>
    <xf numFmtId="192" fontId="28" fillId="37" borderId="2" xfId="153" applyNumberFormat="1" applyFont="1" applyFill="1" applyBorder="1" applyProtection="1">
      <protection locked="0"/>
    </xf>
    <xf numFmtId="0" fontId="32" fillId="0" borderId="0" xfId="153" quotePrefix="1" applyFont="1" applyAlignment="1">
      <alignment vertical="top" wrapText="1"/>
    </xf>
    <xf numFmtId="0" fontId="32" fillId="0" borderId="49" xfId="153" quotePrefix="1" applyFont="1" applyBorder="1" applyAlignment="1">
      <alignment horizontal="left" vertical="top" wrapText="1"/>
    </xf>
    <xf numFmtId="192" fontId="28" fillId="39" borderId="2" xfId="153" applyNumberFormat="1" applyFont="1" applyFill="1" applyBorder="1" applyProtection="1">
      <protection locked="0"/>
    </xf>
    <xf numFmtId="196" fontId="32" fillId="37" borderId="2" xfId="153" applyNumberFormat="1" applyFont="1" applyFill="1" applyBorder="1"/>
    <xf numFmtId="0" fontId="103" fillId="0" borderId="0" xfId="153" applyFont="1" applyAlignment="1" applyProtection="1">
      <alignment wrapText="1"/>
      <protection locked="0"/>
    </xf>
    <xf numFmtId="193" fontId="28" fillId="37" borderId="2" xfId="153" applyNumberFormat="1" applyFont="1" applyFill="1" applyBorder="1" applyAlignment="1" applyProtection="1">
      <alignment horizontal="right"/>
      <protection locked="0"/>
    </xf>
    <xf numFmtId="193" fontId="28" fillId="39" borderId="2" xfId="153" applyNumberFormat="1" applyFont="1" applyFill="1" applyBorder="1" applyAlignment="1" applyProtection="1">
      <alignment horizontal="right"/>
      <protection locked="0"/>
    </xf>
    <xf numFmtId="0" fontId="28" fillId="0" borderId="0" xfId="153" quotePrefix="1" applyFont="1" applyAlignment="1" applyProtection="1">
      <alignment horizontal="left"/>
      <protection locked="0"/>
    </xf>
    <xf numFmtId="193" fontId="28" fillId="37" borderId="2" xfId="153" applyNumberFormat="1" applyFont="1" applyFill="1" applyBorder="1" applyProtection="1">
      <protection locked="0"/>
    </xf>
    <xf numFmtId="182" fontId="1" fillId="2" borderId="2" xfId="153" applyNumberFormat="1" applyFill="1" applyBorder="1" applyProtection="1">
      <protection locked="0"/>
    </xf>
    <xf numFmtId="176" fontId="34" fillId="0" borderId="0" xfId="153" applyNumberFormat="1" applyFont="1" applyAlignment="1">
      <alignment horizontal="left"/>
    </xf>
    <xf numFmtId="0" fontId="108" fillId="0" borderId="24" xfId="153" applyFont="1" applyBorder="1" applyAlignment="1">
      <alignment horizontal="center"/>
    </xf>
    <xf numFmtId="0" fontId="32" fillId="0" borderId="44" xfId="153" applyFont="1" applyBorder="1" applyProtection="1">
      <protection locked="0"/>
    </xf>
    <xf numFmtId="0" fontId="28" fillId="4" borderId="69" xfId="153" applyFont="1" applyFill="1" applyBorder="1"/>
    <xf numFmtId="0" fontId="28" fillId="0" borderId="69" xfId="153" applyFont="1" applyBorder="1"/>
    <xf numFmtId="0" fontId="52" fillId="0" borderId="71" xfId="153" applyFont="1" applyBorder="1" applyProtection="1">
      <protection locked="0"/>
    </xf>
    <xf numFmtId="0" fontId="1" fillId="0" borderId="0" xfId="153" applyAlignment="1" applyProtection="1">
      <alignment horizontal="left" indent="4"/>
      <protection locked="0"/>
    </xf>
    <xf numFmtId="0" fontId="52" fillId="0" borderId="0" xfId="153" applyFont="1" applyProtection="1">
      <protection locked="0"/>
    </xf>
    <xf numFmtId="0" fontId="32" fillId="0" borderId="49" xfId="153" applyFont="1" applyBorder="1" applyProtection="1">
      <protection locked="0"/>
    </xf>
    <xf numFmtId="0" fontId="148" fillId="0" borderId="71" xfId="153" applyFont="1" applyBorder="1" applyProtection="1">
      <protection locked="0"/>
    </xf>
    <xf numFmtId="0" fontId="28" fillId="30" borderId="0" xfId="153" applyFont="1" applyFill="1" applyAlignment="1">
      <alignment vertical="top"/>
    </xf>
    <xf numFmtId="167" fontId="34" fillId="37" borderId="2" xfId="153" applyNumberFormat="1" applyFont="1" applyFill="1" applyBorder="1"/>
    <xf numFmtId="0" fontId="28" fillId="4" borderId="0" xfId="153" applyFont="1" applyFill="1" applyAlignment="1">
      <alignment horizontal="left" vertical="center" wrapText="1"/>
    </xf>
    <xf numFmtId="164" fontId="1" fillId="31" borderId="2" xfId="153" applyNumberFormat="1" applyFill="1" applyBorder="1"/>
    <xf numFmtId="0" fontId="28" fillId="4" borderId="22" xfId="153" applyFont="1" applyFill="1" applyBorder="1" applyAlignment="1">
      <alignment horizontal="left" vertical="center" wrapText="1"/>
    </xf>
    <xf numFmtId="0" fontId="28" fillId="0" borderId="0" xfId="153" applyFont="1" applyAlignment="1">
      <alignment vertical="top"/>
    </xf>
    <xf numFmtId="0" fontId="28" fillId="0" borderId="0" xfId="153" applyFont="1" applyAlignment="1">
      <alignment horizontal="left" vertical="center" wrapText="1"/>
    </xf>
    <xf numFmtId="164" fontId="1" fillId="0" borderId="19" xfId="153" applyNumberFormat="1" applyBorder="1"/>
    <xf numFmtId="0" fontId="28" fillId="4" borderId="49" xfId="153" applyFont="1" applyFill="1" applyBorder="1" applyAlignment="1">
      <alignment vertical="center" wrapText="1"/>
    </xf>
    <xf numFmtId="0" fontId="149" fillId="0" borderId="0" xfId="153" applyFont="1" applyAlignment="1">
      <alignment vertical="center" wrapText="1"/>
    </xf>
    <xf numFmtId="164" fontId="1" fillId="31" borderId="17" xfId="153" applyNumberFormat="1" applyFill="1" applyBorder="1"/>
    <xf numFmtId="0" fontId="151" fillId="0" borderId="0" xfId="153" applyFont="1" applyAlignment="1">
      <alignment vertical="center" wrapText="1"/>
    </xf>
    <xf numFmtId="164" fontId="1" fillId="37" borderId="2" xfId="153" applyNumberFormat="1" applyFill="1" applyBorder="1" applyAlignment="1">
      <alignment horizontal="center"/>
    </xf>
    <xf numFmtId="0" fontId="1" fillId="31" borderId="2" xfId="153" applyFill="1" applyBorder="1" applyAlignment="1">
      <alignment horizontal="center" vertical="top"/>
    </xf>
    <xf numFmtId="0" fontId="1" fillId="31" borderId="17" xfId="153" applyFill="1" applyBorder="1" applyAlignment="1">
      <alignment horizontal="center" vertical="top"/>
    </xf>
    <xf numFmtId="0" fontId="28" fillId="0" borderId="49" xfId="153" applyFont="1" applyBorder="1"/>
    <xf numFmtId="164" fontId="1" fillId="0" borderId="22" xfId="153" applyNumberFormat="1" applyBorder="1" applyAlignment="1">
      <alignment horizontal="center"/>
    </xf>
    <xf numFmtId="0" fontId="1" fillId="0" borderId="32" xfId="153" applyBorder="1" applyAlignment="1">
      <alignment horizontal="center" vertical="top"/>
    </xf>
    <xf numFmtId="0" fontId="1" fillId="31" borderId="3" xfId="153" applyFill="1" applyBorder="1" applyAlignment="1">
      <alignment horizontal="center" vertical="top"/>
    </xf>
    <xf numFmtId="0" fontId="1" fillId="31" borderId="18" xfId="153" applyFill="1" applyBorder="1" applyAlignment="1">
      <alignment horizontal="center" vertical="top"/>
    </xf>
    <xf numFmtId="0" fontId="152" fillId="0" borderId="0" xfId="153" applyFont="1" applyProtection="1">
      <protection locked="0"/>
    </xf>
    <xf numFmtId="164" fontId="1" fillId="0" borderId="32" xfId="153" applyNumberFormat="1" applyBorder="1"/>
    <xf numFmtId="0" fontId="1" fillId="0" borderId="22" xfId="153" applyBorder="1" applyAlignment="1">
      <alignment horizontal="center" vertical="top"/>
    </xf>
    <xf numFmtId="0" fontId="1" fillId="0" borderId="19" xfId="153" applyBorder="1" applyAlignment="1">
      <alignment horizontal="center" vertical="top"/>
    </xf>
    <xf numFmtId="0" fontId="32" fillId="4" borderId="0" xfId="153" applyFont="1" applyFill="1" applyAlignment="1">
      <alignment horizontal="left" vertical="center"/>
    </xf>
    <xf numFmtId="167" fontId="34" fillId="37" borderId="2" xfId="153" applyNumberFormat="1" applyFont="1" applyFill="1" applyBorder="1" applyAlignment="1">
      <alignment horizontal="center"/>
    </xf>
    <xf numFmtId="164" fontId="103" fillId="0" borderId="0" xfId="153" applyNumberFormat="1" applyFont="1" applyProtection="1">
      <protection locked="0"/>
    </xf>
    <xf numFmtId="0" fontId="105" fillId="0" borderId="44" xfId="153" applyFont="1" applyBorder="1" applyProtection="1">
      <protection locked="0"/>
    </xf>
    <xf numFmtId="0" fontId="105" fillId="0" borderId="69" xfId="153" applyFont="1" applyBorder="1" applyProtection="1">
      <protection locked="0"/>
    </xf>
    <xf numFmtId="0" fontId="104" fillId="4" borderId="69" xfId="153" applyFont="1" applyFill="1" applyBorder="1"/>
    <xf numFmtId="0" fontId="104" fillId="0" borderId="69" xfId="153" applyFont="1" applyBorder="1"/>
    <xf numFmtId="0" fontId="106" fillId="0" borderId="69" xfId="153" applyFont="1" applyBorder="1"/>
    <xf numFmtId="0" fontId="103" fillId="4" borderId="70" xfId="153" applyFont="1" applyFill="1" applyBorder="1"/>
    <xf numFmtId="0" fontId="105" fillId="0" borderId="49" xfId="153" applyFont="1" applyBorder="1" applyProtection="1">
      <protection locked="0"/>
    </xf>
    <xf numFmtId="0" fontId="103" fillId="4" borderId="71" xfId="153" applyFont="1" applyFill="1" applyBorder="1"/>
    <xf numFmtId="0" fontId="109" fillId="4" borderId="49" xfId="153" applyFont="1" applyFill="1" applyBorder="1" applyProtection="1">
      <protection locked="0"/>
    </xf>
    <xf numFmtId="0" fontId="105" fillId="4" borderId="49" xfId="153" applyFont="1" applyFill="1" applyBorder="1" applyProtection="1">
      <protection locked="0"/>
    </xf>
    <xf numFmtId="2" fontId="103" fillId="39" borderId="2" xfId="153" applyNumberFormat="1" applyFont="1" applyFill="1" applyBorder="1" applyAlignment="1" applyProtection="1">
      <alignment horizontal="center"/>
      <protection locked="0"/>
    </xf>
    <xf numFmtId="0" fontId="103" fillId="4" borderId="49" xfId="153" applyFont="1" applyFill="1" applyBorder="1" applyProtection="1">
      <protection locked="0"/>
    </xf>
    <xf numFmtId="2" fontId="103" fillId="37" borderId="2" xfId="153" applyNumberFormat="1" applyFont="1" applyFill="1" applyBorder="1" applyAlignment="1" applyProtection="1">
      <alignment horizontal="center"/>
      <protection locked="0"/>
    </xf>
    <xf numFmtId="0" fontId="110" fillId="4" borderId="49" xfId="153" applyFont="1" applyFill="1" applyBorder="1" applyProtection="1">
      <protection locked="0"/>
    </xf>
    <xf numFmtId="0" fontId="115" fillId="0" borderId="0" xfId="153" applyFont="1" applyProtection="1">
      <protection locked="0"/>
    </xf>
    <xf numFmtId="0" fontId="1" fillId="0" borderId="0" xfId="153" quotePrefix="1" applyProtection="1">
      <protection locked="0"/>
    </xf>
    <xf numFmtId="0" fontId="103" fillId="0" borderId="0" xfId="153" applyFont="1" applyAlignment="1" applyProtection="1">
      <alignment horizontal="center"/>
      <protection locked="0"/>
    </xf>
    <xf numFmtId="0" fontId="105" fillId="4" borderId="49" xfId="153" applyFont="1" applyFill="1" applyBorder="1" applyAlignment="1" applyProtection="1">
      <alignment horizontal="left" wrapText="1"/>
      <protection locked="0"/>
    </xf>
    <xf numFmtId="0" fontId="115" fillId="0" borderId="71" xfId="153" applyFont="1" applyBorder="1" applyProtection="1">
      <protection locked="0"/>
    </xf>
    <xf numFmtId="181" fontId="105" fillId="36" borderId="2" xfId="153" applyNumberFormat="1" applyFont="1" applyFill="1" applyBorder="1" applyAlignment="1" applyProtection="1">
      <alignment horizontal="center"/>
      <protection locked="0"/>
    </xf>
    <xf numFmtId="2" fontId="103" fillId="39" borderId="2" xfId="153" applyNumberFormat="1" applyFont="1" applyFill="1" applyBorder="1" applyProtection="1">
      <protection locked="0"/>
    </xf>
    <xf numFmtId="0" fontId="103" fillId="0" borderId="0" xfId="153" quotePrefix="1" applyFont="1" applyProtection="1">
      <protection locked="0"/>
    </xf>
    <xf numFmtId="0" fontId="103" fillId="0" borderId="0" xfId="153" applyFont="1" applyAlignment="1" applyProtection="1">
      <alignment horizontal="left" indent="4"/>
      <protection locked="0"/>
    </xf>
    <xf numFmtId="0" fontId="103" fillId="48" borderId="0" xfId="153" applyFont="1" applyFill="1" applyProtection="1">
      <protection locked="0"/>
    </xf>
    <xf numFmtId="0" fontId="1" fillId="48" borderId="0" xfId="153" applyFill="1" applyProtection="1">
      <protection locked="0"/>
    </xf>
    <xf numFmtId="0" fontId="107" fillId="4" borderId="44" xfId="153" applyFont="1" applyFill="1" applyBorder="1" applyAlignment="1" applyProtection="1">
      <alignment vertical="top"/>
      <protection locked="0"/>
    </xf>
    <xf numFmtId="170" fontId="1" fillId="0" borderId="69" xfId="153" applyNumberFormat="1" applyBorder="1" applyAlignment="1">
      <alignment vertical="center"/>
    </xf>
    <xf numFmtId="170" fontId="103" fillId="0" borderId="69" xfId="153" applyNumberFormat="1" applyFont="1" applyBorder="1" applyAlignment="1">
      <alignment vertical="center"/>
    </xf>
    <xf numFmtId="170" fontId="103" fillId="0" borderId="70" xfId="153" applyNumberFormat="1" applyFont="1" applyBorder="1" applyAlignment="1">
      <alignment vertical="center"/>
    </xf>
    <xf numFmtId="170" fontId="103" fillId="0" borderId="49" xfId="153" applyNumberFormat="1" applyFont="1" applyBorder="1" applyAlignment="1">
      <alignment vertical="center"/>
    </xf>
    <xf numFmtId="170" fontId="103" fillId="0" borderId="71" xfId="153" applyNumberFormat="1" applyFont="1" applyBorder="1" applyAlignment="1">
      <alignment vertical="center"/>
    </xf>
    <xf numFmtId="0" fontId="108" fillId="0" borderId="2" xfId="153" applyFont="1" applyBorder="1" applyAlignment="1" applyProtection="1">
      <alignment horizontal="center"/>
      <protection locked="0"/>
    </xf>
    <xf numFmtId="164" fontId="103" fillId="39" borderId="2" xfId="153" applyNumberFormat="1" applyFont="1" applyFill="1" applyBorder="1" applyProtection="1">
      <protection locked="0"/>
    </xf>
    <xf numFmtId="0" fontId="108" fillId="0" borderId="0" xfId="153" applyFont="1" applyAlignment="1" applyProtection="1">
      <alignment horizontal="center"/>
      <protection locked="0"/>
    </xf>
    <xf numFmtId="0" fontId="103" fillId="4" borderId="48" xfId="153" applyFont="1" applyFill="1" applyBorder="1" applyProtection="1">
      <protection locked="0"/>
    </xf>
    <xf numFmtId="0" fontId="115" fillId="0" borderId="1" xfId="153" applyFont="1" applyBorder="1" applyProtection="1">
      <protection locked="0"/>
    </xf>
    <xf numFmtId="0" fontId="108" fillId="0" borderId="1" xfId="153" applyFont="1" applyBorder="1" applyAlignment="1" applyProtection="1">
      <alignment horizontal="center"/>
      <protection locked="0"/>
    </xf>
    <xf numFmtId="170" fontId="103" fillId="0" borderId="26" xfId="153" applyNumberFormat="1" applyFont="1" applyBorder="1" applyAlignment="1">
      <alignment vertical="center"/>
    </xf>
    <xf numFmtId="0" fontId="103" fillId="4" borderId="0" xfId="153" applyFont="1" applyFill="1" applyProtection="1">
      <protection locked="0"/>
    </xf>
    <xf numFmtId="0" fontId="108" fillId="4" borderId="44" xfId="153" applyFont="1" applyFill="1" applyBorder="1" applyProtection="1">
      <protection locked="0"/>
    </xf>
    <xf numFmtId="170" fontId="116" fillId="0" borderId="71" xfId="153" applyNumberFormat="1" applyFont="1" applyBorder="1" applyAlignment="1">
      <alignment vertical="center"/>
    </xf>
    <xf numFmtId="170" fontId="116" fillId="0" borderId="0" xfId="153" applyNumberFormat="1" applyFont="1" applyAlignment="1">
      <alignment vertical="center"/>
    </xf>
    <xf numFmtId="0" fontId="109" fillId="4" borderId="0" xfId="153" applyFont="1" applyFill="1" applyProtection="1">
      <protection locked="0"/>
    </xf>
    <xf numFmtId="0" fontId="105" fillId="0" borderId="0" xfId="153" applyFont="1" applyAlignment="1" applyProtection="1">
      <alignment vertical="top"/>
      <protection locked="0"/>
    </xf>
    <xf numFmtId="0" fontId="115" fillId="0" borderId="69" xfId="153" applyFont="1" applyBorder="1" applyProtection="1">
      <protection locked="0"/>
    </xf>
    <xf numFmtId="0" fontId="108" fillId="4" borderId="49" xfId="153" applyFont="1" applyFill="1" applyBorder="1" applyProtection="1">
      <protection locked="0"/>
    </xf>
    <xf numFmtId="170" fontId="109" fillId="0" borderId="71" xfId="153" applyNumberFormat="1" applyFont="1" applyBorder="1" applyAlignment="1">
      <alignment vertical="center"/>
    </xf>
    <xf numFmtId="0" fontId="103" fillId="4" borderId="44" xfId="153" applyFont="1" applyFill="1" applyBorder="1" applyProtection="1">
      <protection locked="0"/>
    </xf>
    <xf numFmtId="0" fontId="109" fillId="0" borderId="49" xfId="153" applyFont="1" applyBorder="1" applyProtection="1">
      <protection locked="0"/>
    </xf>
    <xf numFmtId="164" fontId="103" fillId="37" borderId="2" xfId="153" applyNumberFormat="1" applyFont="1" applyFill="1" applyBorder="1" applyProtection="1">
      <protection locked="0"/>
    </xf>
    <xf numFmtId="170" fontId="153" fillId="0" borderId="71" xfId="153" applyNumberFormat="1" applyFont="1" applyBorder="1" applyAlignment="1">
      <alignment vertical="center"/>
    </xf>
    <xf numFmtId="170" fontId="153" fillId="0" borderId="0" xfId="153" applyNumberFormat="1" applyFont="1" applyAlignment="1">
      <alignment vertical="center"/>
    </xf>
    <xf numFmtId="164" fontId="103" fillId="36" borderId="17" xfId="153" applyNumberFormat="1" applyFont="1" applyFill="1" applyBorder="1" applyProtection="1">
      <protection locked="0"/>
    </xf>
    <xf numFmtId="164" fontId="103" fillId="36" borderId="2" xfId="153" applyNumberFormat="1" applyFont="1" applyFill="1" applyBorder="1" applyProtection="1">
      <protection locked="0"/>
    </xf>
    <xf numFmtId="0" fontId="20" fillId="0" borderId="49" xfId="153" applyFont="1" applyBorder="1" applyAlignment="1">
      <alignment horizontal="left"/>
    </xf>
    <xf numFmtId="0" fontId="109" fillId="4" borderId="48" xfId="153" applyFont="1" applyFill="1" applyBorder="1" applyProtection="1">
      <protection locked="0"/>
    </xf>
    <xf numFmtId="0" fontId="109" fillId="4" borderId="44" xfId="153" applyFont="1" applyFill="1" applyBorder="1" applyProtection="1">
      <protection locked="0"/>
    </xf>
    <xf numFmtId="0" fontId="1" fillId="4" borderId="0" xfId="153" applyFill="1" applyProtection="1">
      <protection locked="0"/>
    </xf>
    <xf numFmtId="196" fontId="103" fillId="38" borderId="2" xfId="153" applyNumberFormat="1" applyFont="1" applyFill="1" applyBorder="1" applyProtection="1">
      <protection locked="0"/>
    </xf>
    <xf numFmtId="0" fontId="103" fillId="0" borderId="72" xfId="153" applyFont="1" applyBorder="1" applyProtection="1">
      <protection locked="0"/>
    </xf>
    <xf numFmtId="164" fontId="105" fillId="37" borderId="73" xfId="153" applyNumberFormat="1" applyFont="1" applyFill="1" applyBorder="1" applyProtection="1">
      <protection locked="0"/>
    </xf>
    <xf numFmtId="164" fontId="105" fillId="37" borderId="74" xfId="153" applyNumberFormat="1" applyFont="1" applyFill="1" applyBorder="1" applyProtection="1">
      <protection locked="0"/>
    </xf>
    <xf numFmtId="164" fontId="105" fillId="37" borderId="75" xfId="153" applyNumberFormat="1" applyFont="1" applyFill="1" applyBorder="1" applyProtection="1">
      <protection locked="0"/>
    </xf>
    <xf numFmtId="0" fontId="32" fillId="35" borderId="0" xfId="153" applyFont="1" applyFill="1" applyAlignment="1">
      <alignment vertical="top"/>
    </xf>
    <xf numFmtId="0" fontId="93" fillId="35" borderId="68" xfId="153" applyFont="1" applyFill="1" applyBorder="1"/>
    <xf numFmtId="0" fontId="93" fillId="35" borderId="19" xfId="153" applyFont="1" applyFill="1" applyBorder="1"/>
    <xf numFmtId="0" fontId="92" fillId="35" borderId="19" xfId="153" applyFont="1" applyFill="1" applyBorder="1"/>
    <xf numFmtId="170" fontId="131" fillId="4" borderId="0" xfId="153" applyNumberFormat="1" applyFont="1" applyFill="1" applyAlignment="1">
      <alignment vertical="center"/>
    </xf>
    <xf numFmtId="170" fontId="1" fillId="4" borderId="0" xfId="153" applyNumberFormat="1" applyFill="1" applyAlignment="1">
      <alignment vertical="center"/>
    </xf>
    <xf numFmtId="170" fontId="1" fillId="4" borderId="0" xfId="153" applyNumberFormat="1" applyFill="1" applyAlignment="1">
      <alignment horizontal="left" vertical="center" indent="1"/>
    </xf>
    <xf numFmtId="0" fontId="1" fillId="4" borderId="0" xfId="153" applyFill="1" applyAlignment="1">
      <alignment vertical="center"/>
    </xf>
    <xf numFmtId="170" fontId="1" fillId="4" borderId="19" xfId="153" applyNumberFormat="1" applyFill="1" applyBorder="1" applyAlignment="1">
      <alignment vertical="center"/>
    </xf>
    <xf numFmtId="170" fontId="1" fillId="4" borderId="19" xfId="153" applyNumberFormat="1" applyFill="1" applyBorder="1" applyAlignment="1">
      <alignment horizontal="left" vertical="center" indent="1"/>
    </xf>
    <xf numFmtId="0" fontId="1" fillId="4" borderId="19" xfId="153" applyFill="1" applyBorder="1" applyAlignment="1">
      <alignment vertical="center"/>
    </xf>
    <xf numFmtId="170" fontId="1" fillId="37" borderId="0" xfId="153" applyNumberFormat="1" applyFill="1" applyAlignment="1">
      <alignment vertical="center"/>
    </xf>
    <xf numFmtId="170" fontId="1" fillId="4" borderId="22" xfId="153" applyNumberFormat="1" applyFill="1" applyBorder="1" applyAlignment="1">
      <alignment vertical="center"/>
    </xf>
    <xf numFmtId="170" fontId="1" fillId="37" borderId="19" xfId="153" applyNumberFormat="1" applyFill="1" applyBorder="1" applyAlignment="1">
      <alignment vertical="center"/>
    </xf>
    <xf numFmtId="198" fontId="131" fillId="4" borderId="0" xfId="153" applyNumberFormat="1" applyFont="1" applyFill="1" applyAlignment="1">
      <alignment vertical="center"/>
    </xf>
    <xf numFmtId="197" fontId="28" fillId="4" borderId="0" xfId="153" applyNumberFormat="1" applyFont="1" applyFill="1" applyAlignment="1">
      <alignment vertical="center"/>
    </xf>
    <xf numFmtId="170" fontId="155" fillId="4" borderId="0" xfId="153" applyNumberFormat="1" applyFont="1" applyFill="1" applyAlignment="1">
      <alignment vertical="center"/>
    </xf>
    <xf numFmtId="0" fontId="131" fillId="4" borderId="0" xfId="153" applyFont="1" applyFill="1" applyAlignment="1">
      <alignment vertical="center"/>
    </xf>
    <xf numFmtId="170" fontId="131" fillId="4" borderId="19" xfId="153" applyNumberFormat="1" applyFont="1" applyFill="1" applyBorder="1" applyAlignment="1">
      <alignment vertical="center"/>
    </xf>
    <xf numFmtId="0" fontId="131" fillId="4" borderId="19" xfId="153" applyFont="1" applyFill="1" applyBorder="1" applyAlignment="1">
      <alignment vertical="center"/>
    </xf>
    <xf numFmtId="170" fontId="131" fillId="39" borderId="0" xfId="153" applyNumberFormat="1" applyFont="1" applyFill="1" applyAlignment="1">
      <alignment vertical="center"/>
    </xf>
    <xf numFmtId="170" fontId="131" fillId="4" borderId="22" xfId="153" applyNumberFormat="1" applyFont="1" applyFill="1" applyBorder="1" applyAlignment="1">
      <alignment vertical="center"/>
    </xf>
    <xf numFmtId="170" fontId="131" fillId="37" borderId="0" xfId="153" applyNumberFormat="1" applyFont="1" applyFill="1" applyAlignment="1">
      <alignment vertical="center"/>
    </xf>
    <xf numFmtId="170" fontId="131" fillId="37" borderId="19" xfId="153" applyNumberFormat="1" applyFont="1" applyFill="1" applyBorder="1" applyAlignment="1">
      <alignment vertical="center"/>
    </xf>
    <xf numFmtId="197" fontId="43" fillId="4" borderId="0" xfId="153" applyNumberFormat="1" applyFont="1" applyFill="1" applyAlignment="1">
      <alignment vertical="center"/>
    </xf>
    <xf numFmtId="0" fontId="103" fillId="0" borderId="0" xfId="153" applyFont="1" applyFill="1" applyBorder="1" applyProtection="1">
      <protection locked="0"/>
    </xf>
    <xf numFmtId="0" fontId="28" fillId="0" borderId="0" xfId="153" applyFont="1" applyBorder="1" applyProtection="1">
      <protection locked="0"/>
    </xf>
    <xf numFmtId="0" fontId="0" fillId="0" borderId="0" xfId="0" applyFont="1" applyBorder="1"/>
    <xf numFmtId="0" fontId="105" fillId="0" borderId="0" xfId="153" applyFont="1" applyFill="1" applyBorder="1" applyProtection="1">
      <protection locked="0"/>
    </xf>
    <xf numFmtId="0" fontId="0" fillId="0" borderId="0" xfId="0" applyFont="1" applyFill="1" applyBorder="1"/>
    <xf numFmtId="0" fontId="0" fillId="2" borderId="0" xfId="0" applyFill="1"/>
    <xf numFmtId="0" fontId="91" fillId="2" borderId="0" xfId="0" applyFont="1" applyFill="1"/>
    <xf numFmtId="0" fontId="45" fillId="2" borderId="0" xfId="0" applyFont="1" applyFill="1"/>
    <xf numFmtId="0" fontId="0" fillId="0" borderId="0" xfId="0" applyFill="1" applyBorder="1"/>
    <xf numFmtId="0" fontId="123" fillId="41" borderId="0" xfId="0" applyFont="1" applyFill="1" applyBorder="1" applyAlignment="1">
      <alignment horizontal="center"/>
    </xf>
    <xf numFmtId="2" fontId="123" fillId="0" borderId="0" xfId="0" applyNumberFormat="1" applyFont="1" applyFill="1" applyBorder="1" applyAlignment="1">
      <alignment horizontal="center"/>
    </xf>
    <xf numFmtId="2" fontId="123" fillId="0" borderId="19" xfId="0" applyNumberFormat="1" applyFont="1" applyFill="1" applyBorder="1" applyAlignment="1">
      <alignment horizontal="center"/>
    </xf>
    <xf numFmtId="0" fontId="123" fillId="0" borderId="16" xfId="0" applyFont="1" applyFill="1" applyBorder="1" applyAlignment="1">
      <alignment horizontal="center"/>
    </xf>
    <xf numFmtId="0" fontId="123" fillId="0" borderId="32" xfId="0" applyFont="1" applyFill="1" applyBorder="1" applyAlignment="1">
      <alignment horizontal="center"/>
    </xf>
    <xf numFmtId="0" fontId="123" fillId="0" borderId="17" xfId="0" applyFont="1" applyFill="1" applyBorder="1" applyAlignment="1">
      <alignment horizontal="center"/>
    </xf>
    <xf numFmtId="0" fontId="123" fillId="0" borderId="2" xfId="0" applyFont="1" applyFill="1" applyBorder="1" applyAlignment="1">
      <alignment horizontal="center"/>
    </xf>
    <xf numFmtId="0" fontId="123" fillId="0" borderId="24" xfId="0" applyFont="1" applyBorder="1" applyAlignment="1">
      <alignment horizontal="center"/>
    </xf>
    <xf numFmtId="0" fontId="123" fillId="0" borderId="22" xfId="0" applyFont="1" applyBorder="1" applyAlignment="1">
      <alignment horizontal="center"/>
    </xf>
    <xf numFmtId="2" fontId="123" fillId="0" borderId="22" xfId="0" applyNumberFormat="1" applyFont="1" applyBorder="1" applyAlignment="1">
      <alignment horizontal="center"/>
    </xf>
    <xf numFmtId="0" fontId="123" fillId="0" borderId="45" xfId="0" applyFont="1" applyBorder="1" applyAlignment="1">
      <alignment horizontal="center"/>
    </xf>
    <xf numFmtId="0" fontId="123" fillId="0" borderId="51" xfId="0" applyFont="1" applyBorder="1" applyAlignment="1">
      <alignment horizontal="center"/>
    </xf>
    <xf numFmtId="2" fontId="123" fillId="0" borderId="0" xfId="0" applyNumberFormat="1" applyFont="1" applyAlignment="1">
      <alignment horizontal="center"/>
    </xf>
    <xf numFmtId="0" fontId="123" fillId="0" borderId="3" xfId="0" applyFont="1" applyBorder="1" applyAlignment="1">
      <alignment horizontal="center"/>
    </xf>
    <xf numFmtId="0" fontId="123" fillId="0" borderId="19" xfId="0" applyFont="1" applyBorder="1" applyAlignment="1">
      <alignment horizontal="center"/>
    </xf>
    <xf numFmtId="176" fontId="123" fillId="16" borderId="24" xfId="0" applyNumberFormat="1" applyFont="1" applyFill="1" applyBorder="1" applyAlignment="1">
      <alignment horizontal="center"/>
    </xf>
    <xf numFmtId="176" fontId="123" fillId="16" borderId="51" xfId="0" applyNumberFormat="1" applyFont="1" applyFill="1" applyBorder="1" applyAlignment="1">
      <alignment horizontal="center"/>
    </xf>
    <xf numFmtId="176" fontId="123" fillId="16" borderId="3" xfId="0" applyNumberFormat="1" applyFont="1" applyFill="1" applyBorder="1" applyAlignment="1">
      <alignment horizontal="center"/>
    </xf>
    <xf numFmtId="0" fontId="123" fillId="0" borderId="23" xfId="0" applyFont="1" applyFill="1" applyBorder="1" applyAlignment="1">
      <alignment horizontal="left"/>
    </xf>
    <xf numFmtId="0" fontId="123" fillId="0" borderId="24" xfId="0" applyFont="1" applyBorder="1" applyAlignment="1">
      <alignment horizontal="left"/>
    </xf>
    <xf numFmtId="0" fontId="123" fillId="0" borderId="51" xfId="0" applyFont="1" applyBorder="1" applyAlignment="1">
      <alignment horizontal="left"/>
    </xf>
    <xf numFmtId="0" fontId="123" fillId="0" borderId="3" xfId="0" applyFont="1" applyBorder="1" applyAlignment="1">
      <alignment horizontal="left"/>
    </xf>
    <xf numFmtId="180" fontId="0" fillId="0" borderId="0" xfId="0" applyNumberFormat="1"/>
    <xf numFmtId="0" fontId="52" fillId="0" borderId="2" xfId="151" applyFont="1" applyBorder="1" applyAlignment="1">
      <alignment vertical="center" wrapText="1"/>
    </xf>
    <xf numFmtId="0" fontId="52" fillId="0" borderId="2" xfId="50" applyFont="1" applyBorder="1"/>
    <xf numFmtId="174" fontId="52" fillId="0" borderId="2" xfId="146" applyNumberFormat="1" applyFont="1" applyBorder="1"/>
    <xf numFmtId="204" fontId="52" fillId="0" borderId="2" xfId="50" applyNumberFormat="1" applyFont="1" applyBorder="1"/>
    <xf numFmtId="170" fontId="103" fillId="0" borderId="0" xfId="0" applyNumberFormat="1" applyFont="1" applyAlignment="1">
      <alignment vertical="center"/>
    </xf>
    <xf numFmtId="0" fontId="32" fillId="0" borderId="0" xfId="5" applyFont="1" applyFill="1" applyAlignment="1">
      <alignment wrapText="1"/>
    </xf>
    <xf numFmtId="0" fontId="1" fillId="41" borderId="0" xfId="0" applyFont="1" applyFill="1"/>
    <xf numFmtId="171" fontId="1" fillId="16" borderId="2" xfId="0" applyNumberFormat="1" applyFont="1" applyFill="1" applyBorder="1" applyAlignment="1">
      <alignment horizontal="center"/>
    </xf>
    <xf numFmtId="164" fontId="103" fillId="39" borderId="0" xfId="153" applyNumberFormat="1" applyFont="1" applyFill="1" applyBorder="1"/>
    <xf numFmtId="164" fontId="103" fillId="39" borderId="19" xfId="153" applyNumberFormat="1" applyFont="1" applyFill="1" applyBorder="1"/>
    <xf numFmtId="164" fontId="103" fillId="39" borderId="22" xfId="153" applyNumberFormat="1" applyFont="1" applyFill="1" applyBorder="1"/>
    <xf numFmtId="0" fontId="168" fillId="0" borderId="0" xfId="55" applyFont="1" applyFill="1" applyBorder="1" applyAlignment="1">
      <alignment horizontal="left"/>
    </xf>
    <xf numFmtId="0" fontId="103" fillId="39" borderId="2" xfId="153" applyFont="1" applyFill="1" applyBorder="1" applyProtection="1">
      <protection locked="0"/>
    </xf>
    <xf numFmtId="164" fontId="103" fillId="39" borderId="3" xfId="153" applyNumberFormat="1" applyFont="1" applyFill="1" applyBorder="1" applyProtection="1">
      <protection locked="0"/>
    </xf>
    <xf numFmtId="0" fontId="169" fillId="0" borderId="0" xfId="0" applyFont="1"/>
    <xf numFmtId="0" fontId="1" fillId="28" borderId="2" xfId="158" applyFill="1" applyBorder="1" applyAlignment="1"/>
    <xf numFmtId="0" fontId="1" fillId="28" borderId="2" xfId="155" applyFill="1" applyBorder="1" applyAlignment="1"/>
    <xf numFmtId="171" fontId="28" fillId="27" borderId="2" xfId="8" applyNumberFormat="1" applyFont="1" applyFill="1" applyBorder="1"/>
    <xf numFmtId="185" fontId="28" fillId="39" borderId="2" xfId="153" applyNumberFormat="1" applyFont="1" applyFill="1" applyBorder="1" applyAlignment="1">
      <alignment horizontal="center"/>
    </xf>
    <xf numFmtId="0" fontId="1" fillId="39" borderId="0" xfId="153" applyFill="1" applyProtection="1">
      <protection locked="0"/>
    </xf>
    <xf numFmtId="0" fontId="28" fillId="39" borderId="0" xfId="153" applyFont="1" applyFill="1" applyBorder="1" applyProtection="1">
      <protection locked="0"/>
    </xf>
    <xf numFmtId="0" fontId="1" fillId="0" borderId="0" xfId="153" applyFill="1" applyProtection="1">
      <protection locked="0"/>
    </xf>
    <xf numFmtId="0" fontId="1" fillId="0" borderId="0" xfId="31" applyFont="1" applyAlignment="1">
      <alignment horizontal="center"/>
    </xf>
    <xf numFmtId="0" fontId="0" fillId="0" borderId="0" xfId="0" applyAlignment="1"/>
    <xf numFmtId="0" fontId="0" fillId="55" borderId="0" xfId="0" applyFill="1" applyAlignment="1"/>
    <xf numFmtId="0" fontId="20" fillId="10" borderId="0" xfId="41" applyFont="1" applyAlignment="1">
      <alignment horizontal="center"/>
    </xf>
    <xf numFmtId="0" fontId="29" fillId="4" borderId="12" xfId="0" applyFont="1" applyFill="1" applyBorder="1" applyAlignment="1">
      <alignment horizontal="center" wrapText="1"/>
    </xf>
    <xf numFmtId="0" fontId="29" fillId="4" borderId="13" xfId="0" applyFont="1" applyFill="1" applyBorder="1" applyAlignment="1">
      <alignment horizontal="center" wrapText="1"/>
    </xf>
    <xf numFmtId="0" fontId="29" fillId="4" borderId="14" xfId="0" applyFont="1" applyFill="1" applyBorder="1" applyAlignment="1">
      <alignment horizontal="center" wrapText="1"/>
    </xf>
    <xf numFmtId="0" fontId="32" fillId="0" borderId="2" xfId="8" applyFont="1" applyBorder="1" applyAlignment="1">
      <alignment horizontal="left"/>
    </xf>
    <xf numFmtId="0" fontId="0" fillId="0" borderId="19" xfId="0" applyBorder="1" applyAlignment="1">
      <alignment horizontal="center"/>
    </xf>
    <xf numFmtId="0" fontId="47" fillId="5" borderId="23" xfId="0" applyFont="1" applyFill="1" applyBorder="1" applyAlignment="1">
      <alignment horizontal="center"/>
    </xf>
    <xf numFmtId="0" fontId="47" fillId="5" borderId="22" xfId="0" applyFont="1" applyFill="1" applyBorder="1" applyAlignment="1">
      <alignment horizontal="center"/>
    </xf>
    <xf numFmtId="0" fontId="47" fillId="5" borderId="21" xfId="0" applyFont="1" applyFill="1" applyBorder="1" applyAlignment="1">
      <alignment horizontal="center"/>
    </xf>
    <xf numFmtId="0" fontId="45" fillId="0" borderId="19" xfId="0" applyFont="1" applyBorder="1" applyAlignment="1">
      <alignment horizontal="center"/>
    </xf>
    <xf numFmtId="0" fontId="32" fillId="0" borderId="0" xfId="153" quotePrefix="1" applyFont="1" applyAlignment="1">
      <alignment horizontal="left" wrapText="1"/>
    </xf>
    <xf numFmtId="0" fontId="32" fillId="0" borderId="0" xfId="153" applyFont="1" applyAlignment="1">
      <alignment horizontal="left" wrapText="1"/>
    </xf>
    <xf numFmtId="0" fontId="32" fillId="0" borderId="0" xfId="153" applyFont="1" applyAlignment="1">
      <alignment horizontal="center" wrapText="1"/>
    </xf>
    <xf numFmtId="0" fontId="32" fillId="0" borderId="0" xfId="153" quotePrefix="1" applyFont="1" applyAlignment="1">
      <alignment horizontal="center" wrapText="1"/>
    </xf>
    <xf numFmtId="0" fontId="32" fillId="0" borderId="71" xfId="153" quotePrefix="1" applyFont="1" applyBorder="1" applyAlignment="1">
      <alignment horizontal="center" wrapText="1"/>
    </xf>
    <xf numFmtId="181" fontId="28" fillId="36" borderId="16" xfId="134" applyNumberFormat="1" applyFont="1" applyFill="1" applyBorder="1" applyAlignment="1">
      <alignment horizontal="center" vertical="center"/>
    </xf>
    <xf numFmtId="181" fontId="28" fillId="36" borderId="32" xfId="134" applyNumberFormat="1" applyFont="1" applyFill="1" applyBorder="1" applyAlignment="1">
      <alignment horizontal="center" vertical="center"/>
    </xf>
    <xf numFmtId="181" fontId="28" fillId="36" borderId="17" xfId="134" applyNumberFormat="1" applyFont="1" applyFill="1" applyBorder="1" applyAlignment="1">
      <alignment horizontal="center" vertical="center"/>
    </xf>
    <xf numFmtId="181" fontId="28" fillId="39" borderId="16" xfId="134" applyNumberFormat="1" applyFont="1" applyFill="1" applyBorder="1" applyAlignment="1">
      <alignment horizontal="center" vertical="center"/>
    </xf>
    <xf numFmtId="181" fontId="28" fillId="39" borderId="32" xfId="134" applyNumberFormat="1" applyFont="1" applyFill="1" applyBorder="1" applyAlignment="1">
      <alignment horizontal="center" vertical="center"/>
    </xf>
    <xf numFmtId="181" fontId="28" fillId="39" borderId="17" xfId="134" applyNumberFormat="1" applyFont="1" applyFill="1" applyBorder="1" applyAlignment="1">
      <alignment horizontal="center" vertical="center"/>
    </xf>
    <xf numFmtId="0" fontId="32" fillId="5" borderId="23" xfId="0" applyFont="1" applyFill="1" applyBorder="1" applyAlignment="1">
      <alignment horizontal="center"/>
    </xf>
    <xf numFmtId="0" fontId="32" fillId="5" borderId="22" xfId="0" applyFont="1" applyFill="1" applyBorder="1" applyAlignment="1">
      <alignment horizontal="center"/>
    </xf>
    <xf numFmtId="0" fontId="32" fillId="5" borderId="21" xfId="0" applyFont="1" applyFill="1" applyBorder="1" applyAlignment="1">
      <alignment horizontal="center"/>
    </xf>
    <xf numFmtId="0" fontId="47" fillId="5" borderId="16" xfId="0" applyFont="1" applyFill="1" applyBorder="1" applyAlignment="1">
      <alignment horizontal="center"/>
    </xf>
    <xf numFmtId="0" fontId="47" fillId="5" borderId="17" xfId="0" applyFont="1" applyFill="1" applyBorder="1" applyAlignment="1">
      <alignment horizontal="center"/>
    </xf>
    <xf numFmtId="0" fontId="32" fillId="0" borderId="24" xfId="57" applyFont="1" applyFill="1" applyBorder="1" applyAlignment="1">
      <alignment horizontal="center" vertical="center"/>
    </xf>
    <xf numFmtId="0" fontId="32" fillId="0" borderId="51" xfId="57" applyFont="1" applyFill="1" applyBorder="1" applyAlignment="1">
      <alignment horizontal="center" vertical="center"/>
    </xf>
    <xf numFmtId="0" fontId="32" fillId="0" borderId="3" xfId="57" applyFont="1" applyFill="1" applyBorder="1" applyAlignment="1">
      <alignment horizontal="center" vertical="center"/>
    </xf>
    <xf numFmtId="0" fontId="34" fillId="0" borderId="24" xfId="57" applyFont="1" applyBorder="1" applyAlignment="1">
      <alignment horizontal="center" vertical="center"/>
    </xf>
    <xf numFmtId="0" fontId="34" fillId="0" borderId="51" xfId="57" applyFont="1" applyBorder="1" applyAlignment="1">
      <alignment horizontal="center" vertical="center"/>
    </xf>
    <xf numFmtId="0" fontId="34" fillId="0" borderId="3" xfId="57" applyFont="1" applyBorder="1" applyAlignment="1">
      <alignment horizontal="center" vertical="center"/>
    </xf>
    <xf numFmtId="0" fontId="34" fillId="0" borderId="2" xfId="57" applyFont="1" applyBorder="1" applyAlignment="1">
      <alignment horizontal="right"/>
    </xf>
    <xf numFmtId="0" fontId="34" fillId="0" borderId="2" xfId="57" applyFont="1" applyBorder="1" applyAlignment="1">
      <alignment horizontal="center" vertical="center" wrapText="1"/>
    </xf>
    <xf numFmtId="0" fontId="34" fillId="0" borderId="2" xfId="57" applyFont="1" applyBorder="1" applyAlignment="1">
      <alignment horizontal="center" vertical="center"/>
    </xf>
    <xf numFmtId="0" fontId="34" fillId="0" borderId="16" xfId="57" applyFont="1" applyBorder="1" applyAlignment="1">
      <alignment horizontal="center"/>
    </xf>
    <xf numFmtId="0" fontId="34" fillId="0" borderId="17" xfId="57" applyFont="1" applyBorder="1" applyAlignment="1">
      <alignment horizontal="center"/>
    </xf>
    <xf numFmtId="0" fontId="34" fillId="0" borderId="2" xfId="57" applyFont="1" applyBorder="1" applyAlignment="1">
      <alignment horizontal="center"/>
    </xf>
    <xf numFmtId="0" fontId="34" fillId="27" borderId="24" xfId="142" applyFont="1" applyFill="1" applyBorder="1" applyAlignment="1">
      <alignment horizontal="center" vertical="center" wrapText="1"/>
    </xf>
    <xf numFmtId="0" fontId="34" fillId="27" borderId="51" xfId="142" applyFont="1" applyFill="1" applyBorder="1" applyAlignment="1">
      <alignment horizontal="center" vertical="center" wrapText="1"/>
    </xf>
    <xf numFmtId="0" fontId="34" fillId="27" borderId="3" xfId="142" applyFont="1" applyFill="1" applyBorder="1" applyAlignment="1">
      <alignment horizontal="center" vertical="center" wrapText="1"/>
    </xf>
    <xf numFmtId="0" fontId="34" fillId="0" borderId="24" xfId="57" applyFont="1" applyBorder="1" applyAlignment="1">
      <alignment horizontal="center" vertical="center" wrapText="1"/>
    </xf>
    <xf numFmtId="0" fontId="34" fillId="0" borderId="51" xfId="57" applyFont="1" applyBorder="1" applyAlignment="1">
      <alignment horizontal="center" vertical="center" wrapText="1"/>
    </xf>
    <xf numFmtId="0" fontId="34" fillId="0" borderId="3" xfId="57" applyFont="1" applyBorder="1" applyAlignment="1">
      <alignment horizontal="center" vertical="center" wrapText="1"/>
    </xf>
    <xf numFmtId="0" fontId="32" fillId="0" borderId="2" xfId="57" applyFont="1" applyFill="1" applyBorder="1" applyAlignment="1">
      <alignment horizontal="center" vertical="center" wrapText="1"/>
    </xf>
    <xf numFmtId="0" fontId="32" fillId="0" borderId="2" xfId="57" applyFont="1" applyFill="1" applyBorder="1" applyAlignment="1">
      <alignment horizontal="center" vertical="center"/>
    </xf>
    <xf numFmtId="0" fontId="32" fillId="0" borderId="0" xfId="50" applyFont="1" applyAlignment="1">
      <alignment horizontal="center"/>
    </xf>
    <xf numFmtId="0" fontId="34" fillId="0" borderId="16" xfId="117" applyFont="1" applyBorder="1" applyAlignment="1">
      <alignment horizontal="left" wrapText="1"/>
    </xf>
    <xf numFmtId="0" fontId="34" fillId="0" borderId="32" xfId="117" applyFont="1" applyBorder="1" applyAlignment="1">
      <alignment horizontal="left" wrapText="1"/>
    </xf>
    <xf numFmtId="0" fontId="34" fillId="0" borderId="17" xfId="117" applyFont="1" applyBorder="1" applyAlignment="1">
      <alignment horizontal="left" wrapText="1"/>
    </xf>
    <xf numFmtId="0" fontId="97" fillId="0" borderId="16" xfId="117" applyFont="1" applyBorder="1" applyAlignment="1">
      <alignment horizontal="left" wrapText="1"/>
    </xf>
    <xf numFmtId="0" fontId="97" fillId="0" borderId="17" xfId="117" applyFont="1" applyBorder="1" applyAlignment="1">
      <alignment horizontal="left" wrapText="1"/>
    </xf>
    <xf numFmtId="171" fontId="34" fillId="0" borderId="16" xfId="117" applyNumberFormat="1" applyFont="1" applyBorder="1" applyAlignment="1">
      <alignment horizontal="center" vertical="center"/>
    </xf>
    <xf numFmtId="171" fontId="34" fillId="0" borderId="17" xfId="117" applyNumberFormat="1" applyFont="1" applyBorder="1" applyAlignment="1">
      <alignment horizontal="center" vertical="center"/>
    </xf>
    <xf numFmtId="0" fontId="0" fillId="0" borderId="16" xfId="0" applyBorder="1" applyAlignment="1">
      <alignment horizontal="center"/>
    </xf>
    <xf numFmtId="0" fontId="0" fillId="0" borderId="32" xfId="0" applyBorder="1" applyAlignment="1">
      <alignment horizontal="center"/>
    </xf>
    <xf numFmtId="0" fontId="0" fillId="0" borderId="17" xfId="0" applyBorder="1" applyAlignment="1">
      <alignment horizontal="center"/>
    </xf>
    <xf numFmtId="0" fontId="33" fillId="0" borderId="24" xfId="120" applyFont="1" applyFill="1" applyBorder="1" applyAlignment="1">
      <alignment horizontal="center" vertical="center" wrapText="1"/>
    </xf>
    <xf numFmtId="0" fontId="33" fillId="0" borderId="51" xfId="120" applyFont="1" applyFill="1" applyBorder="1" applyAlignment="1">
      <alignment horizontal="center" vertical="center" wrapText="1"/>
    </xf>
    <xf numFmtId="0" fontId="33" fillId="0" borderId="3" xfId="120" applyFont="1" applyFill="1" applyBorder="1" applyAlignment="1">
      <alignment horizontal="center" vertical="center" wrapText="1"/>
    </xf>
    <xf numFmtId="0" fontId="64" fillId="4" borderId="2" xfId="118" applyFont="1" applyFill="1" applyBorder="1" applyAlignment="1">
      <alignment horizontal="left"/>
    </xf>
    <xf numFmtId="0" fontId="59" fillId="30" borderId="2" xfId="142" applyFont="1" applyFill="1" applyBorder="1" applyAlignment="1">
      <alignment horizontal="left" vertical="center" wrapText="1"/>
    </xf>
    <xf numFmtId="0" fontId="60" fillId="0" borderId="2" xfId="142" applyFont="1" applyBorder="1" applyAlignment="1">
      <alignment horizontal="left" vertical="center" wrapText="1"/>
    </xf>
    <xf numFmtId="0" fontId="70" fillId="4" borderId="0" xfId="118" quotePrefix="1" applyFont="1" applyFill="1" applyAlignment="1">
      <alignment horizontal="left" vertical="top" wrapText="1"/>
    </xf>
    <xf numFmtId="0" fontId="74" fillId="0" borderId="16" xfId="142" applyFont="1" applyBorder="1" applyAlignment="1">
      <alignment horizontal="center" vertical="center"/>
    </xf>
    <xf numFmtId="0" fontId="1" fillId="0" borderId="32" xfId="142" applyBorder="1" applyAlignment="1">
      <alignment horizontal="center" vertical="center"/>
    </xf>
    <xf numFmtId="0" fontId="1" fillId="0" borderId="17" xfId="142" applyBorder="1" applyAlignment="1">
      <alignment horizontal="center" vertical="center"/>
    </xf>
    <xf numFmtId="0" fontId="23" fillId="0" borderId="16" xfId="118" applyFont="1" applyFill="1" applyBorder="1" applyAlignment="1">
      <alignment horizontal="center" vertical="center"/>
    </xf>
    <xf numFmtId="0" fontId="78" fillId="42" borderId="2" xfId="125" applyFont="1" applyFill="1" applyBorder="1" applyAlignment="1">
      <alignment horizontal="center" vertical="center" wrapText="1"/>
    </xf>
    <xf numFmtId="0" fontId="33" fillId="0" borderId="16" xfId="118" applyFont="1" applyFill="1" applyBorder="1" applyAlignment="1">
      <alignment horizontal="center" vertical="center"/>
    </xf>
    <xf numFmtId="0" fontId="33" fillId="0" borderId="32" xfId="118" applyFont="1" applyFill="1" applyBorder="1" applyAlignment="1">
      <alignment horizontal="center" vertical="center"/>
    </xf>
    <xf numFmtId="0" fontId="33" fillId="0" borderId="17" xfId="118" applyFont="1" applyFill="1" applyBorder="1" applyAlignment="1">
      <alignment horizontal="center" vertical="center"/>
    </xf>
    <xf numFmtId="0" fontId="17" fillId="0" borderId="16" xfId="118" applyFont="1" applyBorder="1" applyAlignment="1">
      <alignment horizontal="center"/>
    </xf>
    <xf numFmtId="0" fontId="17" fillId="0" borderId="17" xfId="118" applyFont="1" applyBorder="1" applyAlignment="1">
      <alignment horizontal="center"/>
    </xf>
    <xf numFmtId="0" fontId="33" fillId="0" borderId="2" xfId="123" applyFont="1" applyFill="1" applyBorder="1" applyAlignment="1">
      <alignment horizontal="center" vertical="center" wrapText="1"/>
    </xf>
    <xf numFmtId="0" fontId="33" fillId="0" borderId="2" xfId="125" applyFont="1" applyBorder="1" applyAlignment="1">
      <alignment horizontal="center" vertical="center" wrapText="1"/>
    </xf>
    <xf numFmtId="0" fontId="33" fillId="0" borderId="2" xfId="125" quotePrefix="1" applyFont="1" applyBorder="1" applyAlignment="1">
      <alignment horizontal="center" vertical="center" wrapText="1"/>
    </xf>
    <xf numFmtId="0" fontId="33" fillId="0" borderId="43" xfId="118" applyFont="1" applyFill="1" applyBorder="1" applyAlignment="1">
      <alignment horizontal="center" wrapText="1"/>
    </xf>
    <xf numFmtId="0" fontId="33" fillId="0" borderId="50" xfId="118" applyFont="1" applyFill="1" applyBorder="1" applyAlignment="1">
      <alignment horizontal="center" wrapText="1"/>
    </xf>
    <xf numFmtId="0" fontId="33" fillId="0" borderId="39" xfId="118" applyFont="1" applyFill="1" applyBorder="1" applyAlignment="1">
      <alignment horizontal="center" wrapText="1"/>
    </xf>
    <xf numFmtId="0" fontId="33" fillId="0" borderId="16" xfId="126" applyFont="1" applyFill="1" applyBorder="1" applyAlignment="1">
      <alignment horizontal="center"/>
    </xf>
    <xf numFmtId="0" fontId="33" fillId="0" borderId="17" xfId="126" applyFont="1" applyFill="1" applyBorder="1" applyAlignment="1">
      <alignment horizontal="center"/>
    </xf>
    <xf numFmtId="0" fontId="33" fillId="0" borderId="2" xfId="127" applyFont="1" applyFill="1" applyBorder="1" applyAlignment="1">
      <alignment horizontal="center" vertical="center" wrapText="1"/>
    </xf>
    <xf numFmtId="14" fontId="58" fillId="0" borderId="49" xfId="126" applyNumberFormat="1" applyFont="1" applyFill="1" applyBorder="1" applyAlignment="1">
      <alignment horizontal="center" vertical="center" wrapText="1"/>
    </xf>
    <xf numFmtId="14" fontId="58" fillId="0" borderId="48" xfId="126" applyNumberFormat="1" applyFont="1" applyFill="1" applyBorder="1" applyAlignment="1">
      <alignment horizontal="center" vertical="center" wrapText="1"/>
    </xf>
    <xf numFmtId="0" fontId="70" fillId="30" borderId="0" xfId="118" quotePrefix="1" applyFont="1" applyFill="1" applyAlignment="1">
      <alignment horizontal="left" vertical="top" wrapText="1"/>
    </xf>
    <xf numFmtId="0" fontId="58" fillId="0" borderId="24" xfId="128" applyFont="1" applyFill="1" applyBorder="1" applyAlignment="1">
      <alignment horizontal="center" vertical="center" wrapText="1"/>
    </xf>
    <xf numFmtId="0" fontId="58" fillId="0" borderId="51" xfId="128" applyFont="1" applyFill="1" applyBorder="1" applyAlignment="1">
      <alignment horizontal="center" vertical="center" wrapText="1"/>
    </xf>
    <xf numFmtId="0" fontId="58" fillId="0" borderId="3" xfId="128" applyFont="1" applyFill="1" applyBorder="1" applyAlignment="1">
      <alignment horizontal="center" vertical="center" wrapText="1"/>
    </xf>
    <xf numFmtId="0" fontId="33" fillId="0" borderId="43" xfId="118" applyFont="1" applyFill="1" applyBorder="1" applyAlignment="1">
      <alignment horizontal="center" vertical="center"/>
    </xf>
    <xf numFmtId="0" fontId="33" fillId="0" borderId="50" xfId="118" applyFont="1" applyFill="1" applyBorder="1" applyAlignment="1">
      <alignment horizontal="center" vertical="center"/>
    </xf>
    <xf numFmtId="0" fontId="33" fillId="0" borderId="39" xfId="118" applyFont="1" applyFill="1" applyBorder="1" applyAlignment="1">
      <alignment horizontal="center" vertical="center"/>
    </xf>
    <xf numFmtId="0" fontId="17" fillId="30" borderId="0" xfId="126" quotePrefix="1" applyFill="1" applyBorder="1" applyAlignment="1">
      <alignment horizontal="left" vertical="top" wrapText="1"/>
    </xf>
    <xf numFmtId="164" fontId="78" fillId="31" borderId="16" xfId="118" applyNumberFormat="1" applyFont="1" applyFill="1" applyBorder="1" applyAlignment="1">
      <alignment horizontal="center"/>
    </xf>
    <xf numFmtId="164" fontId="78" fillId="31" borderId="17" xfId="118" applyNumberFormat="1" applyFont="1" applyFill="1" applyBorder="1" applyAlignment="1">
      <alignment horizontal="center"/>
    </xf>
    <xf numFmtId="0" fontId="33" fillId="4" borderId="0" xfId="120" applyFont="1" applyFill="1" applyBorder="1" applyAlignment="1">
      <alignment horizontal="center" vertical="center" wrapText="1"/>
    </xf>
    <xf numFmtId="0" fontId="33" fillId="4" borderId="24" xfId="120" applyFont="1" applyFill="1" applyBorder="1" applyAlignment="1">
      <alignment horizontal="center" vertical="center" wrapText="1"/>
    </xf>
    <xf numFmtId="0" fontId="33" fillId="4" borderId="51" xfId="120" applyFont="1" applyFill="1" applyBorder="1" applyAlignment="1">
      <alignment horizontal="center" vertical="center" wrapText="1"/>
    </xf>
    <xf numFmtId="0" fontId="33" fillId="4" borderId="3" xfId="120" applyFont="1" applyFill="1" applyBorder="1" applyAlignment="1">
      <alignment horizontal="center" vertical="center" wrapText="1"/>
    </xf>
    <xf numFmtId="0" fontId="58" fillId="4" borderId="0" xfId="120" applyFont="1" applyFill="1" applyBorder="1" applyAlignment="1">
      <alignment horizontal="center" vertical="center" wrapText="1"/>
    </xf>
    <xf numFmtId="0" fontId="33" fillId="0" borderId="2" xfId="120" applyFont="1" applyFill="1" applyBorder="1" applyAlignment="1">
      <alignment horizontal="center" vertical="center" wrapText="1"/>
    </xf>
    <xf numFmtId="0" fontId="33" fillId="0" borderId="43" xfId="118" applyFont="1" applyBorder="1" applyAlignment="1">
      <alignment horizontal="center" vertical="top" wrapText="1"/>
    </xf>
    <xf numFmtId="0" fontId="33" fillId="0" borderId="50" xfId="118" applyFont="1" applyBorder="1" applyAlignment="1">
      <alignment horizontal="center" vertical="top" wrapText="1"/>
    </xf>
    <xf numFmtId="0" fontId="33" fillId="0" borderId="39" xfId="118" applyFont="1" applyBorder="1" applyAlignment="1">
      <alignment horizontal="center" vertical="top" wrapText="1"/>
    </xf>
    <xf numFmtId="0" fontId="45" fillId="29" borderId="24" xfId="129" applyFont="1" applyFill="1" applyBorder="1" applyAlignment="1">
      <alignment horizontal="center" vertical="center" wrapText="1"/>
    </xf>
    <xf numFmtId="0" fontId="45" fillId="29" borderId="51" xfId="129" applyFont="1" applyFill="1" applyBorder="1" applyAlignment="1">
      <alignment horizontal="center" vertical="center" wrapText="1"/>
    </xf>
    <xf numFmtId="0" fontId="45" fillId="29" borderId="3" xfId="129" applyFont="1" applyFill="1" applyBorder="1" applyAlignment="1">
      <alignment horizontal="center" vertical="center" wrapText="1"/>
    </xf>
    <xf numFmtId="0" fontId="45" fillId="29" borderId="16" xfId="129" applyFont="1" applyFill="1" applyBorder="1" applyAlignment="1">
      <alignment horizontal="center"/>
    </xf>
    <xf numFmtId="0" fontId="45" fillId="29" borderId="32" xfId="129" applyFont="1" applyFill="1" applyBorder="1" applyAlignment="1">
      <alignment horizontal="center"/>
    </xf>
    <xf numFmtId="0" fontId="45" fillId="29" borderId="17" xfId="129" applyFont="1" applyFill="1" applyBorder="1" applyAlignment="1">
      <alignment horizontal="center"/>
    </xf>
    <xf numFmtId="0" fontId="45" fillId="29" borderId="2" xfId="129" applyFont="1" applyFill="1" applyBorder="1" applyAlignment="1">
      <alignment horizontal="center"/>
    </xf>
    <xf numFmtId="0" fontId="45" fillId="29" borderId="16" xfId="129" applyFont="1" applyFill="1" applyBorder="1" applyAlignment="1">
      <alignment horizontal="center" vertical="center"/>
    </xf>
    <xf numFmtId="0" fontId="45" fillId="29" borderId="32" xfId="129" applyFont="1" applyFill="1" applyBorder="1" applyAlignment="1">
      <alignment horizontal="center" vertical="center"/>
    </xf>
    <xf numFmtId="0" fontId="45" fillId="29" borderId="17" xfId="129" applyFont="1" applyFill="1" applyBorder="1" applyAlignment="1">
      <alignment horizontal="center" vertical="center"/>
    </xf>
    <xf numFmtId="0" fontId="45" fillId="29" borderId="16" xfId="129" applyFont="1" applyFill="1" applyBorder="1" applyAlignment="1">
      <alignment horizontal="center" vertical="center" wrapText="1"/>
    </xf>
    <xf numFmtId="0" fontId="45" fillId="29" borderId="32" xfId="129" applyFont="1" applyFill="1" applyBorder="1" applyAlignment="1">
      <alignment horizontal="center" vertical="center" wrapText="1"/>
    </xf>
    <xf numFmtId="0" fontId="45" fillId="29" borderId="17" xfId="129" applyFont="1" applyFill="1" applyBorder="1" applyAlignment="1">
      <alignment horizontal="center" vertical="center" wrapText="1"/>
    </xf>
  </cellXfs>
  <cellStyles count="161">
    <cellStyle name="%" xfId="8" xr:uid="{2D7CDAE8-BB70-4BE4-ABCB-D8E9A774A003}"/>
    <cellStyle name="% 10 2 3" xfId="80" xr:uid="{3B796D6C-3189-45C2-B969-71BDEE1032CA}"/>
    <cellStyle name="% 114" xfId="56" xr:uid="{37264ED4-2946-4F17-92F2-77F382959878}"/>
    <cellStyle name="% 2 2 2" xfId="77" xr:uid="{0A39A559-25EC-409A-8BA2-B560EA5C6CFD}"/>
    <cellStyle name="% 2 2 2 2 2" xfId="87" xr:uid="{BF977A91-DD09-4EB4-856D-BC470DCF3318}"/>
    <cellStyle name="% 2 2 4" xfId="12" xr:uid="{A80C6713-9577-482D-8C9C-CCDFFE05430B}"/>
    <cellStyle name="% 53" xfId="116" xr:uid="{8DB61019-84F3-4F2C-A976-4C25BD0831A8}"/>
    <cellStyle name="%_NGG Opex PCRRP Tables 31 Mar 2009 2 2" xfId="86" xr:uid="{4AD0D83F-5CB1-43C0-B45B-6C36B7CD1E45}"/>
    <cellStyle name="=C:\WINNT\SYSTEM32\COMMAND.COM" xfId="2" xr:uid="{0EF29728-1581-41BB-908B-5FBB84BE42DE}"/>
    <cellStyle name="=C:\WINNT\SYSTEM32\COMMAND.COM 2" xfId="16" xr:uid="{EBB5290F-89D3-44F7-B8D7-A84E6312CF68}"/>
    <cellStyle name="=C:\WINNT\SYSTEM32\COMMAND.COM 2 2 2" xfId="31" xr:uid="{4217F797-D472-429C-96A1-69D66EEDEB2D}"/>
    <cellStyle name="=C:\WINNT\SYSTEM32\COMMAND.COM 3" xfId="96" xr:uid="{34EB42A9-5C88-4E98-9787-7796FB244E9C}"/>
    <cellStyle name="Annotation" xfId="48" xr:uid="{117E2941-CD8F-47D7-8E5F-9D9A754F5754}"/>
    <cellStyle name="Blank" xfId="40" xr:uid="{5C376713-6B44-4B1B-B372-46F423A5FCCF}"/>
    <cellStyle name="Blank 2" xfId="141" xr:uid="{EF913E29-7C95-42D0-A2FD-55C5DAAB2F3A}"/>
    <cellStyle name="Calculations" xfId="45" xr:uid="{83DE157F-A1AD-4355-902D-6DF84E74A7FD}"/>
    <cellStyle name="Calculations 3" xfId="157" xr:uid="{F990D923-26DD-4B4F-A406-D39E30333ABB}"/>
    <cellStyle name="Comma 2" xfId="26" xr:uid="{AFCA54AF-0896-4B87-A63E-7B28145FF21A}"/>
    <cellStyle name="Comma 2 10" xfId="24" xr:uid="{7BB9DCBA-3012-49D4-92D3-44A1A09CA190}"/>
    <cellStyle name="Comma 2 127" xfId="29" xr:uid="{5556CBC4-60E1-4C00-BD6B-D5CC9DFA8B74}"/>
    <cellStyle name="Comma 2 2" xfId="88" xr:uid="{FEE32EBF-E36E-474B-8E54-674F36250E0A}"/>
    <cellStyle name="Comma 3" xfId="97" xr:uid="{D3541E11-7C71-4C85-A6BE-9AA44217F5DA}"/>
    <cellStyle name="Comma 4" xfId="136" xr:uid="{09D7C4DF-9DDB-4BE7-A326-E82DE6A4D1A8}"/>
    <cellStyle name="Comma 4 2" xfId="144" xr:uid="{22292530-6C2E-4E35-A8E1-F133951DF33C}"/>
    <cellStyle name="Comma 5" xfId="160" xr:uid="{D6F8B74F-9A00-4377-BB2A-24512F2004C9}"/>
    <cellStyle name="Comma 5 2 2 2" xfId="137" xr:uid="{212A34EA-B8BE-470A-9135-E9A3AF6E1419}"/>
    <cellStyle name="Comma 5 2 2 2 2" xfId="146" xr:uid="{36D625F8-4FC6-49BD-BA13-8BADC1D7F3AA}"/>
    <cellStyle name="Comment" xfId="95" xr:uid="{6EF4BB36-6C6F-44B8-8AC0-4D5F685E0478}"/>
    <cellStyle name="Error checking" xfId="47" xr:uid="{1D6ED82A-EE4E-4815-8675-D7856730BDCF}"/>
    <cellStyle name="Heading 1 2" xfId="52" xr:uid="{37689EC3-D196-4F1F-AAC9-36BF9F349D3A}"/>
    <cellStyle name="Heading 1 3" xfId="36" xr:uid="{6511F0B9-A1AC-4B74-AAC5-B5775E5BB8A9}"/>
    <cellStyle name="Heading 2 2" xfId="37" xr:uid="{7BCE2CF7-9181-43AF-B25C-ACCDCB5156AD}"/>
    <cellStyle name="Heading 3 2" xfId="38" xr:uid="{CFCD0B56-2B35-48A1-950E-841C257CB52F}"/>
    <cellStyle name="Heading 4 2" xfId="39" xr:uid="{4008CFC8-BBDB-4673-84B7-0378376D5BB3}"/>
    <cellStyle name="Hyperlink" xfId="33" builtinId="8"/>
    <cellStyle name="Hyperlink 2" xfId="64" xr:uid="{10B5A740-0D2C-4A0C-9354-97C8FE4D6025}"/>
    <cellStyle name="Hyperlink 3" xfId="91" xr:uid="{B99DF701-FDED-4DB4-AEED-36B36DC17FC5}"/>
    <cellStyle name="Hyperlink 4" xfId="66" xr:uid="{653B8664-3468-4E62-8C4A-84849C817159}"/>
    <cellStyle name="Hyperlink 6 3" xfId="90" xr:uid="{5217F8AB-68E1-4FFE-B93D-E7FF6D62239D}"/>
    <cellStyle name="Imported" xfId="42" xr:uid="{933F1AA7-6E5F-4454-8602-4DD0C501CD81}"/>
    <cellStyle name="Level 1" xfId="103" xr:uid="{F25DEF5E-555A-4EBA-8EEF-BA59B791EAEC}"/>
    <cellStyle name="Level 2" xfId="145" xr:uid="{CC6FCE02-EF2C-4C59-89B0-34982650D4FE}"/>
    <cellStyle name="Level 3" xfId="149" xr:uid="{3239C849-7ED6-4F9B-87B3-0C2C9B2BB951}"/>
    <cellStyle name="Neutral 2" xfId="131" xr:uid="{C8C5C1AE-677C-4984-B5CF-95702C63FC9A}"/>
    <cellStyle name="Normal" xfId="0" builtinId="0"/>
    <cellStyle name="Normal - Style1 2" xfId="9" xr:uid="{FA93882A-F2C4-4777-8E8F-ED9217B88554}"/>
    <cellStyle name="Normal - Style1 2 2" xfId="84" xr:uid="{04A8494C-A9DB-4ED7-9D39-0A131E900BAD}"/>
    <cellStyle name="Normal 10" xfId="108" xr:uid="{D311C187-5625-4F05-B5B4-CCBB75559898}"/>
    <cellStyle name="Normal 10 2 2" xfId="154" xr:uid="{6E342A9D-D979-40E4-BB7A-7D50425BECCA}"/>
    <cellStyle name="Normal 10 2 2 2" xfId="79" xr:uid="{9F7E68AB-D08E-4168-B57E-7D28632C39F6}"/>
    <cellStyle name="Normal 11" xfId="109" xr:uid="{CDC96CF5-1ABA-42B3-977C-3A28CADB9E5D}"/>
    <cellStyle name="Normal 11 2" xfId="93" xr:uid="{697DADC9-46E9-492A-8324-915965871727}"/>
    <cellStyle name="Normal 11 28 2" xfId="153" xr:uid="{FD2670ED-AA51-4702-B1C1-4F1C656592FD}"/>
    <cellStyle name="Normal 12" xfId="106" xr:uid="{3504630A-8528-4F2F-8118-6EEE31BD1805}"/>
    <cellStyle name="Normal 13" xfId="104" xr:uid="{ADDD6AD7-A313-4FDC-B5B8-D9C5744EA5BC}"/>
    <cellStyle name="Normal 14" xfId="112" xr:uid="{D2CDE6CE-9C83-42A1-87CE-27F8AC9CEEC3}"/>
    <cellStyle name="Normal 14 10 18" xfId="11" xr:uid="{489C16B8-ECF5-4440-9A65-7B8675210B62}"/>
    <cellStyle name="Normal 14 2_List of table gaps" xfId="18" xr:uid="{69DE3C58-DB86-4353-8213-C62734451533}"/>
    <cellStyle name="Normal 15" xfId="111" xr:uid="{8C01BE91-0736-4024-9DE6-FCA27E64FBA3}"/>
    <cellStyle name="Normal 16" xfId="107" xr:uid="{182AE972-B89F-4E0F-9230-9248932A460A}"/>
    <cellStyle name="Normal 17" xfId="63" xr:uid="{A1D36180-733E-484C-ACE1-31E0CF979209}"/>
    <cellStyle name="Normal 18" xfId="76" xr:uid="{9E5E39C5-E2CC-4656-A730-11AE8499D644}"/>
    <cellStyle name="Normal 18 6 2 3 3" xfId="25" xr:uid="{D845E28C-F022-448C-926A-E8581FD5B7C2}"/>
    <cellStyle name="Normal 19" xfId="110" xr:uid="{CB4B230A-395E-4BD7-81BC-B00F07FAECDB}"/>
    <cellStyle name="Normal 19 2" xfId="152" xr:uid="{2F0ED6E9-2A1D-4931-A203-C8B21BAFF101}"/>
    <cellStyle name="Normal 2" xfId="28" xr:uid="{3765CA79-C7B0-423C-B0D2-FB39BE4E5284}"/>
    <cellStyle name="Normal 2 10" xfId="15" xr:uid="{767C4B6F-4C94-4A4A-A991-D2080F157520}"/>
    <cellStyle name="Normal 2 130" xfId="118" xr:uid="{D5F94CCD-8FDE-4237-BD94-7FF9E8842877}"/>
    <cellStyle name="Normal 2 2" xfId="50" xr:uid="{5E35E939-BF2A-4740-961D-3EC978B885EE}"/>
    <cellStyle name="Normal 2 3 10" xfId="150" xr:uid="{E435D0DE-86C3-49B3-BE86-A49B2C129852}"/>
    <cellStyle name="Normal 2 5 2 4 15 2 3 2" xfId="151" xr:uid="{1AAF47DA-39B6-49DA-A91B-D6174FEFF5A1}"/>
    <cellStyle name="Normal 2 5 2 4 15 2 3 2 2" xfId="85" xr:uid="{90FD8058-77D8-4210-8DDD-DF7F960D5205}"/>
    <cellStyle name="Normal 2 70 2" xfId="19" xr:uid="{2C5701A4-3E8C-40D3-A40E-3179C87A594E}"/>
    <cellStyle name="Normal 20" xfId="62" xr:uid="{779268A3-88D2-4D97-BBD5-59734ECDFED4}"/>
    <cellStyle name="Normal 21" xfId="105" xr:uid="{DA86FBD6-D960-4F90-B768-C18FB2BEC9B2}"/>
    <cellStyle name="Normal 22" xfId="115" xr:uid="{51130969-62D4-4429-BC88-AC93DC4C46A7}"/>
    <cellStyle name="Normal 23" xfId="117" xr:uid="{1F404CAF-0731-45ED-BB4C-A2601F755488}"/>
    <cellStyle name="Normal 23 2" xfId="142" xr:uid="{D88535E7-70D6-4EDD-BBDB-2078366B2716}"/>
    <cellStyle name="Normal 24" xfId="133" xr:uid="{A04B1CFD-7E9C-4008-8CAD-4B4DA19CD97D}"/>
    <cellStyle name="Normal 24 2" xfId="143" xr:uid="{16439A51-6075-4799-85A4-B45D84DBEF99}"/>
    <cellStyle name="Normal 25" xfId="138" xr:uid="{92111A2A-61EF-40FD-AA8D-8ABD28A16894}"/>
    <cellStyle name="Normal 28" xfId="158" xr:uid="{8B3F082D-0673-48AE-A6A6-C0E3882E2151}"/>
    <cellStyle name="Normal 3" xfId="34" xr:uid="{99C52260-1ECC-4CCB-9205-E8143E06B94C}"/>
    <cellStyle name="Normal 3 11" xfId="94" xr:uid="{EC73308A-3E97-4BB0-9940-1C721306C408}"/>
    <cellStyle name="Normal 3 2" xfId="58" xr:uid="{08FF4984-03D9-4CC7-BE1E-1A95A41763E1}"/>
    <cellStyle name="Normal 3 3 2 5 10 2" xfId="83" xr:uid="{CA1BDAE0-C8CE-4125-9031-286A43E18E96}"/>
    <cellStyle name="Normal 3 91" xfId="129" xr:uid="{586E6BB4-3062-469B-BE84-C48CCDB014F3}"/>
    <cellStyle name="Normal 4" xfId="43" xr:uid="{395F4831-31F0-4DE4-9F50-5F5595F00AFE}"/>
    <cellStyle name="Normal 4 2" xfId="5" xr:uid="{1B4782D6-348D-4746-AD09-F9B9F1DE4A37}"/>
    <cellStyle name="Normal 4 2 2" xfId="159" xr:uid="{E1B8957B-5613-48DB-AB1D-F3EF572D1871}"/>
    <cellStyle name="Normal 4 2 24" xfId="92" xr:uid="{6C244B43-DF45-420D-94FF-1B19AAFCD1DD}"/>
    <cellStyle name="Normal 4 3" xfId="148" xr:uid="{CEBB3AAB-B7F4-4A63-8C85-447393AB088E}"/>
    <cellStyle name="Normal 5" xfId="53" xr:uid="{F5B5F21F-BF43-473F-80DF-8FA2DF60E5A0}"/>
    <cellStyle name="Normal 58 2 2" xfId="114" xr:uid="{A645A21F-FE75-46B5-901F-3B5E317446C4}"/>
    <cellStyle name="Normal 58 3 2 3 3" xfId="27" xr:uid="{8F585789-3B3D-4A55-932E-1AEF47F036B5}"/>
    <cellStyle name="Normal 58 4 2 2" xfId="21" xr:uid="{FB00E3C6-368C-4D21-A20B-151A1184CBD4}"/>
    <cellStyle name="Normal 58 4 2 2 2" xfId="73" xr:uid="{ABBA3AEE-5951-4076-9C3D-3B357F249032}"/>
    <cellStyle name="Normal 58 4 2 3" xfId="71" xr:uid="{1A5E0E38-5392-42F2-BD44-56C03FDEC2D8}"/>
    <cellStyle name="Normal 58 4 2 4" xfId="70" xr:uid="{75FD2499-6D81-41E4-8E4E-A0F520E41FE0}"/>
    <cellStyle name="Normal 58 4 2 5" xfId="67" xr:uid="{65453E2B-9CC2-4173-8440-ABF1D84DE4EF}"/>
    <cellStyle name="Normal 58 4 2 5 2" xfId="75" xr:uid="{864D9858-C3AF-42CB-9BEB-AB033A6B672C}"/>
    <cellStyle name="Normal 58 4 2 6" xfId="14" xr:uid="{78DE1022-038D-459D-BCA6-5A2B2DABF11E}"/>
    <cellStyle name="Normal 58 4 2 7" xfId="72" xr:uid="{DB4BAA5D-ABBA-4D2F-8481-C3F8DC0CDAD1}"/>
    <cellStyle name="Normal 58 4 3 2" xfId="22" xr:uid="{4B015E42-A7B5-48E4-9A88-B630543DC24B}"/>
    <cellStyle name="Normal 58 4 3 3" xfId="69" xr:uid="{0B321BD3-7D7C-475D-9772-099D74C1D2E3}"/>
    <cellStyle name="Normal 58 4 3 4" xfId="59" xr:uid="{CCEB2F6B-4072-4D33-BA58-3F5082EF6270}"/>
    <cellStyle name="Normal 58 4 3 5" xfId="3" xr:uid="{E4EC9031-7DE1-4CB1-B6DC-95E81F6D18E4}"/>
    <cellStyle name="Normal 58 4 3 5 2" xfId="74" xr:uid="{F8A7B27B-A27F-4E7A-88D3-D65FDA7349BA}"/>
    <cellStyle name="Normal 58 4 3 5 3" xfId="155" xr:uid="{C056E329-0D3B-4D08-9147-30028E4F1F6D}"/>
    <cellStyle name="Normal 58 4 3 6" xfId="6" xr:uid="{42F98A21-5F7B-437C-9304-E483CD07E772}"/>
    <cellStyle name="Normal 58 4 3 6 2" xfId="139" xr:uid="{C76964D4-ECBE-46EC-A2F1-39E77B35ABF9}"/>
    <cellStyle name="Normal 58 4 3 7" xfId="7" xr:uid="{1483979D-12E1-460E-9DA2-B801DBE33A1B}"/>
    <cellStyle name="Normal 6" xfId="60" xr:uid="{BFB8E12E-C1CA-48CF-A6A1-22A8D129FAD3}"/>
    <cellStyle name="Normal 60 2 2" xfId="82" xr:uid="{927C557A-C53F-44F9-907F-E9B7FB1FACB8}"/>
    <cellStyle name="Normal 61 3 2" xfId="78" xr:uid="{73619C28-DFDF-45D4-B311-4701957E8366}"/>
    <cellStyle name="Normal 62 2 2 2" xfId="89" xr:uid="{C7118541-EE06-40D5-A9C4-332D2B26FC6C}"/>
    <cellStyle name="Normal 63 2 3 2" xfId="13" xr:uid="{A7B89B40-CAA0-46F6-A8B0-2FA5DF83E5E8}"/>
    <cellStyle name="Normal 63 3 2" xfId="32" xr:uid="{1CAD544B-C9EC-4228-800D-B9F893D8E45C}"/>
    <cellStyle name="Normal 63 3 3 2" xfId="57" xr:uid="{693EEB26-59F3-49E6-BD7E-62D7CB5C19EF}"/>
    <cellStyle name="Normal 64 3 2 2 3" xfId="10" xr:uid="{6E40D60E-1ABF-4380-BFCF-F1EEF820F463}"/>
    <cellStyle name="Normal 66 2 4" xfId="20" xr:uid="{66946D13-05BF-413A-8FA1-2A0D0E29D134}"/>
    <cellStyle name="Normal 7" xfId="1" xr:uid="{6B333EB2-F77A-40E6-B0A6-2BE6BF3F72A1}"/>
    <cellStyle name="Normal 7 2 2" xfId="23" xr:uid="{6E8A9A19-EC40-4D26-B76B-3F414C963398}"/>
    <cellStyle name="Normal 7 79" xfId="81" xr:uid="{A8D6534C-8F63-4882-87B0-1A3306428727}"/>
    <cellStyle name="Normal 70" xfId="54" xr:uid="{63B21710-F2D8-45DC-BE9C-854E720C1A15}"/>
    <cellStyle name="Normal 8" xfId="65" xr:uid="{A34BAF09-4FF4-4E46-9313-54129104C93C}"/>
    <cellStyle name="Normal 89" xfId="130" xr:uid="{2BA60149-E9AA-4CC4-95FE-F62E8710E0CC}"/>
    <cellStyle name="Normal 9" xfId="68" xr:uid="{F456B2FE-9519-4577-87BC-9E4E9DA778E1}"/>
    <cellStyle name="Normal 9 125" xfId="101" xr:uid="{C9ECFDEB-72AC-458E-96AC-0E546315690B}"/>
    <cellStyle name="Normal 94" xfId="113" xr:uid="{8B4E2461-3513-49CC-A7C8-A7484AB843B9}"/>
    <cellStyle name="Normal 94 2" xfId="132" xr:uid="{059E6670-01CF-462D-B943-52896D41C239}"/>
    <cellStyle name="Normal_BPQ template v1 from NGT 22 June" xfId="4" xr:uid="{753E4B90-790F-45A8-BC08-11AD212BB0E7}"/>
    <cellStyle name="Normal_Copy of ofgem report proposal trades ORIG" xfId="122" xr:uid="{C7A34700-8C35-492E-BB17-EF8BAD04017B}"/>
    <cellStyle name="Normal_KE2067  Engineering Opex BPQ" xfId="156" xr:uid="{6372F565-FD36-44C1-BBBC-3CD4B537D170}"/>
    <cellStyle name="Normal_RAV tables" xfId="55" xr:uid="{FCE72583-29F2-4787-83ED-1B92C9364057}"/>
    <cellStyle name="Normal_Residual Balancing" xfId="125" xr:uid="{751E3A85-1312-4154-8B35-9AB664BFA495}"/>
    <cellStyle name="Normal_risk table" xfId="134" xr:uid="{2E0DC81F-0029-4800-9092-27A264291FE7}"/>
    <cellStyle name="Normal_Sheet1" xfId="123" xr:uid="{DD204032-9588-4821-AA12-A4EA60A5D731}"/>
    <cellStyle name="Normal_Sheet10" xfId="127" xr:uid="{BFA3AEFB-4FF0-46CB-B134-98B8021DB44E}"/>
    <cellStyle name="Normal_Sheet2" xfId="121" xr:uid="{D4C18DF9-6D63-42E1-9F9F-A62CDEB0797D}"/>
    <cellStyle name="Normal_Sheet3" xfId="126" xr:uid="{BCAF8E7B-5A94-49A4-9509-7EDAD54E5F1C}"/>
    <cellStyle name="Normal_Sheet9" xfId="128" xr:uid="{9FC93592-C61F-4636-B163-8AFF7BFC8465}"/>
    <cellStyle name="Normal_TPCR Electricity Capex Questionnaire Historical v2 050711 3" xfId="119" xr:uid="{73064E52-F4B4-46BE-B3A2-FE347950B33C}"/>
    <cellStyle name="Outputs" xfId="44" xr:uid="{A573584B-E862-4C09-A0A4-A95D1C897D81}"/>
    <cellStyle name="Percent 2" xfId="30" xr:uid="{9EFC3E5B-92C7-47B4-8C94-68D430BD3FB8}"/>
    <cellStyle name="Percent 2 10" xfId="99" xr:uid="{43981619-4CC3-46C8-BB17-F441A281FAE0}"/>
    <cellStyle name="Percent 2 2" xfId="102" xr:uid="{A5D0DA71-16F5-493B-8362-ABF44EE78BB3}"/>
    <cellStyle name="Percent 2 2 50" xfId="124" xr:uid="{A913A0B7-C440-4D6E-8310-6DBA2016FBE7}"/>
    <cellStyle name="Percent 3" xfId="49" xr:uid="{5AB87C14-E1A7-44D3-9D0A-1670F8A86918}"/>
    <cellStyle name="Percent 4" xfId="61" xr:uid="{72271278-99D2-4480-A3F1-A06396CDDB60}"/>
    <cellStyle name="Percent 5" xfId="135" xr:uid="{54C8FC89-1D94-4C95-8DE9-1795FC1B40BD}"/>
    <cellStyle name="Percent 6" xfId="147" xr:uid="{6A1253EB-D3CE-4ECD-9000-20E2D9E3A7F9}"/>
    <cellStyle name="RIGs input cells 47 2" xfId="100" xr:uid="{50561843-29F6-4B72-9CF6-A0B77BAE90C7}"/>
    <cellStyle name="RIGs input totals 47 2" xfId="98" xr:uid="{D3EE43D0-3617-4690-A269-2293668D3C06}"/>
    <cellStyle name="Style 1" xfId="17" xr:uid="{95A4F771-72D4-465D-B9DD-1BED9A5A696A}"/>
    <cellStyle name="Style 1 3" xfId="120" xr:uid="{2FD24B25-AF97-4CBE-84C2-95AE886E5455}"/>
    <cellStyle name="Title 2" xfId="51" xr:uid="{38666C6C-AFF4-4C97-B074-EECF953D5E16}"/>
    <cellStyle name="Title 3" xfId="35" xr:uid="{D36BD240-DC6B-4EAF-80EC-762F5133CC14}"/>
    <cellStyle name="Unique formula" xfId="46" xr:uid="{D296F3A2-F9FA-4F51-95E7-CC7377FE6B23}"/>
    <cellStyle name="User Input" xfId="41" xr:uid="{C57FC091-FB25-44BA-9965-D0AC02107E17}"/>
    <cellStyle name="User Input 2" xfId="140" xr:uid="{52BA7CC7-2B26-49AC-92AA-5BAE13B7CB2E}"/>
  </cellStyles>
  <dxfs count="5">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FF"/>
      <color rgb="FFFFFFCC"/>
      <color rgb="FFFF99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microsoft.com/office/2017/06/relationships/rdRichValueTypes" Target="richData/rdRichValueTyp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calcChain" Target="calcChain.xml"/><Relationship Id="rId95" Type="http://schemas.openxmlformats.org/officeDocument/2006/relationships/customXml" Target="../customXml/item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sharedStrings" Target="sharedStrings.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88" Type="http://schemas.microsoft.com/office/2017/06/relationships/rdRichValueStructure" Target="richData/rdrichvaluestructure.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sheetMetadata" Target="metadata.xml"/><Relationship Id="rId9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microsoft.com/office/2017/06/relationships/rdRichValue" Target="richData/rdrichvalue.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4" Type="http://schemas.openxmlformats.org/officeDocument/2006/relationships/image" Target="../media/image3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7.png"/><Relationship Id="rId13" Type="http://schemas.openxmlformats.org/officeDocument/2006/relationships/image" Target="../media/image52.png"/><Relationship Id="rId18" Type="http://schemas.openxmlformats.org/officeDocument/2006/relationships/image" Target="../media/image57.png"/><Relationship Id="rId26" Type="http://schemas.openxmlformats.org/officeDocument/2006/relationships/image" Target="../media/image65.png"/><Relationship Id="rId3" Type="http://schemas.openxmlformats.org/officeDocument/2006/relationships/image" Target="../media/image42.png"/><Relationship Id="rId21" Type="http://schemas.openxmlformats.org/officeDocument/2006/relationships/image" Target="../media/image60.png"/><Relationship Id="rId7" Type="http://schemas.openxmlformats.org/officeDocument/2006/relationships/image" Target="../media/image46.png"/><Relationship Id="rId12" Type="http://schemas.openxmlformats.org/officeDocument/2006/relationships/image" Target="../media/image51.png"/><Relationship Id="rId17" Type="http://schemas.openxmlformats.org/officeDocument/2006/relationships/image" Target="../media/image56.png"/><Relationship Id="rId25" Type="http://schemas.openxmlformats.org/officeDocument/2006/relationships/image" Target="../media/image64.png"/><Relationship Id="rId2" Type="http://schemas.openxmlformats.org/officeDocument/2006/relationships/image" Target="../media/image41.png"/><Relationship Id="rId16" Type="http://schemas.openxmlformats.org/officeDocument/2006/relationships/image" Target="../media/image55.png"/><Relationship Id="rId20" Type="http://schemas.openxmlformats.org/officeDocument/2006/relationships/image" Target="../media/image59.png"/><Relationship Id="rId29" Type="http://schemas.openxmlformats.org/officeDocument/2006/relationships/image" Target="../media/image2.png"/><Relationship Id="rId1" Type="http://schemas.openxmlformats.org/officeDocument/2006/relationships/image" Target="../media/image40.png"/><Relationship Id="rId6" Type="http://schemas.openxmlformats.org/officeDocument/2006/relationships/image" Target="../media/image45.png"/><Relationship Id="rId11" Type="http://schemas.openxmlformats.org/officeDocument/2006/relationships/image" Target="../media/image50.png"/><Relationship Id="rId24" Type="http://schemas.openxmlformats.org/officeDocument/2006/relationships/image" Target="../media/image63.png"/><Relationship Id="rId5" Type="http://schemas.openxmlformats.org/officeDocument/2006/relationships/image" Target="../media/image44.png"/><Relationship Id="rId15" Type="http://schemas.openxmlformats.org/officeDocument/2006/relationships/image" Target="../media/image54.png"/><Relationship Id="rId23" Type="http://schemas.openxmlformats.org/officeDocument/2006/relationships/image" Target="../media/image62.png"/><Relationship Id="rId28" Type="http://schemas.openxmlformats.org/officeDocument/2006/relationships/image" Target="../media/image67.png"/><Relationship Id="rId10" Type="http://schemas.openxmlformats.org/officeDocument/2006/relationships/image" Target="../media/image49.png"/><Relationship Id="rId19" Type="http://schemas.openxmlformats.org/officeDocument/2006/relationships/image" Target="../media/image58.png"/><Relationship Id="rId4" Type="http://schemas.openxmlformats.org/officeDocument/2006/relationships/image" Target="../media/image43.png"/><Relationship Id="rId9" Type="http://schemas.openxmlformats.org/officeDocument/2006/relationships/image" Target="../media/image48.png"/><Relationship Id="rId14" Type="http://schemas.openxmlformats.org/officeDocument/2006/relationships/image" Target="../media/image53.png"/><Relationship Id="rId22" Type="http://schemas.openxmlformats.org/officeDocument/2006/relationships/image" Target="../media/image61.png"/><Relationship Id="rId27" Type="http://schemas.openxmlformats.org/officeDocument/2006/relationships/image" Target="../media/image6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image" Target="../media/image14.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713333</xdr:colOff>
      <xdr:row>0</xdr:row>
      <xdr:rowOff>716559</xdr:rowOff>
    </xdr:to>
    <xdr:pic>
      <xdr:nvPicPr>
        <xdr:cNvPr id="4" name="Picture 3" descr="image of the Ofgem logo" title="Ofgem logo">
          <a:extLst>
            <a:ext uri="{FF2B5EF4-FFF2-40B4-BE49-F238E27FC236}">
              <a16:creationId xmlns:a16="http://schemas.microsoft.com/office/drawing/2014/main" id="{246EECED-0C67-40D9-AE55-B950D9A52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102347</xdr:rowOff>
    </xdr:to>
    <xdr:pic>
      <xdr:nvPicPr>
        <xdr:cNvPr id="3" name="Picture 2">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617710</xdr:colOff>
      <xdr:row>22</xdr:row>
      <xdr:rowOff>121586</xdr:rowOff>
    </xdr:to>
    <xdr:pic>
      <xdr:nvPicPr>
        <xdr:cNvPr id="4" name="Picture 3">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628650</xdr:colOff>
      <xdr:row>28</xdr:row>
      <xdr:rowOff>142875</xdr:rowOff>
    </xdr:from>
    <xdr:to>
      <xdr:col>13</xdr:col>
      <xdr:colOff>314325</xdr:colOff>
      <xdr:row>30</xdr:row>
      <xdr:rowOff>133350</xdr:rowOff>
    </xdr:to>
    <xdr:pic>
      <xdr:nvPicPr>
        <xdr:cNvPr id="5" name="Picture 4">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67675" y="5276850"/>
          <a:ext cx="38957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440</xdr:colOff>
      <xdr:row>9</xdr:row>
      <xdr:rowOff>2813</xdr:rowOff>
    </xdr:to>
    <xdr:pic>
      <xdr:nvPicPr>
        <xdr:cNvPr id="2" name="Picture 1">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172559</xdr:colOff>
      <xdr:row>19</xdr:row>
      <xdr:rowOff>2246</xdr:rowOff>
    </xdr:to>
    <xdr:pic>
      <xdr:nvPicPr>
        <xdr:cNvPr id="3" name="Picture 2">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10</xdr:col>
      <xdr:colOff>840440</xdr:colOff>
      <xdr:row>21</xdr:row>
      <xdr:rowOff>134511</xdr:rowOff>
    </xdr:to>
    <xdr:pic>
      <xdr:nvPicPr>
        <xdr:cNvPr id="4" name="Picture 3">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890867</xdr:colOff>
      <xdr:row>31</xdr:row>
      <xdr:rowOff>165868</xdr:rowOff>
    </xdr:from>
    <xdr:to>
      <xdr:col>11</xdr:col>
      <xdr:colOff>353923</xdr:colOff>
      <xdr:row>35</xdr:row>
      <xdr:rowOff>55831</xdr:rowOff>
    </xdr:to>
    <xdr:pic>
      <xdr:nvPicPr>
        <xdr:cNvPr id="5" name="Picture 4">
          <a:extLst>
            <a:ext uri="{FF2B5EF4-FFF2-40B4-BE49-F238E27FC236}">
              <a16:creationId xmlns:a16="http://schemas.microsoft.com/office/drawing/2014/main" id="{2136B886-220D-41AF-9C0C-6A4D39D0ADA8}"/>
            </a:ext>
          </a:extLst>
        </xdr:cNvPr>
        <xdr:cNvPicPr>
          <a:picLocks noChangeAspect="1"/>
        </xdr:cNvPicPr>
      </xdr:nvPicPr>
      <xdr:blipFill>
        <a:blip xmlns:r="http://schemas.openxmlformats.org/officeDocument/2006/relationships" r:embed="rId4"/>
        <a:stretch>
          <a:fillRect/>
        </a:stretch>
      </xdr:blipFill>
      <xdr:spPr>
        <a:xfrm>
          <a:off x="8768042" y="5861818"/>
          <a:ext cx="4920881" cy="556713"/>
        </a:xfrm>
        <a:prstGeom prst="rect">
          <a:avLst/>
        </a:prstGeom>
      </xdr:spPr>
    </xdr:pic>
    <xdr:clientData/>
  </xdr:twoCellAnchor>
  <xdr:twoCellAnchor editAs="oneCell">
    <xdr:from>
      <xdr:col>6</xdr:col>
      <xdr:colOff>9430</xdr:colOff>
      <xdr:row>50</xdr:row>
      <xdr:rowOff>87685</xdr:rowOff>
    </xdr:from>
    <xdr:to>
      <xdr:col>8</xdr:col>
      <xdr:colOff>353276</xdr:colOff>
      <xdr:row>53</xdr:row>
      <xdr:rowOff>44450</xdr:rowOff>
    </xdr:to>
    <xdr:pic>
      <xdr:nvPicPr>
        <xdr:cNvPr id="6" name="Picture 5">
          <a:extLst>
            <a:ext uri="{FF2B5EF4-FFF2-40B4-BE49-F238E27FC236}">
              <a16:creationId xmlns:a16="http://schemas.microsoft.com/office/drawing/2014/main" id="{00781B23-11DE-4287-9761-67CA5C824758}"/>
            </a:ext>
          </a:extLst>
        </xdr:cNvPr>
        <xdr:cNvPicPr>
          <a:picLocks noChangeAspect="1"/>
        </xdr:cNvPicPr>
      </xdr:nvPicPr>
      <xdr:blipFill>
        <a:blip xmlns:r="http://schemas.openxmlformats.org/officeDocument/2006/relationships" r:embed="rId5"/>
        <a:stretch>
          <a:fillRect/>
        </a:stretch>
      </xdr:blipFill>
      <xdr:spPr>
        <a:xfrm>
          <a:off x="8820055" y="9126910"/>
          <a:ext cx="2153596" cy="461590"/>
        </a:xfrm>
        <a:prstGeom prst="rect">
          <a:avLst/>
        </a:prstGeom>
      </xdr:spPr>
    </xdr:pic>
    <xdr:clientData/>
  </xdr:twoCellAnchor>
  <xdr:twoCellAnchor editAs="oneCell">
    <xdr:from>
      <xdr:col>5</xdr:col>
      <xdr:colOff>990895</xdr:colOff>
      <xdr:row>58</xdr:row>
      <xdr:rowOff>65554</xdr:rowOff>
    </xdr:from>
    <xdr:to>
      <xdr:col>8</xdr:col>
      <xdr:colOff>688170</xdr:colOff>
      <xdr:row>61</xdr:row>
      <xdr:rowOff>84326</xdr:rowOff>
    </xdr:to>
    <xdr:pic>
      <xdr:nvPicPr>
        <xdr:cNvPr id="7" name="Picture 6">
          <a:extLst>
            <a:ext uri="{FF2B5EF4-FFF2-40B4-BE49-F238E27FC236}">
              <a16:creationId xmlns:a16="http://schemas.microsoft.com/office/drawing/2014/main" id="{C1A4C763-8413-44D0-94A7-7FD0FE50B8D1}"/>
            </a:ext>
          </a:extLst>
        </xdr:cNvPr>
        <xdr:cNvPicPr>
          <a:picLocks noChangeAspect="1"/>
        </xdr:cNvPicPr>
      </xdr:nvPicPr>
      <xdr:blipFill>
        <a:blip xmlns:r="http://schemas.openxmlformats.org/officeDocument/2006/relationships" r:embed="rId6"/>
        <a:stretch>
          <a:fillRect/>
        </a:stretch>
      </xdr:blipFill>
      <xdr:spPr>
        <a:xfrm>
          <a:off x="8810920" y="10495429"/>
          <a:ext cx="2497625" cy="523597"/>
        </a:xfrm>
        <a:prstGeom prst="rect">
          <a:avLst/>
        </a:prstGeom>
      </xdr:spPr>
    </xdr:pic>
    <xdr:clientData/>
  </xdr:twoCellAnchor>
  <xdr:twoCellAnchor editAs="oneCell">
    <xdr:from>
      <xdr:col>5</xdr:col>
      <xdr:colOff>968256</xdr:colOff>
      <xdr:row>67</xdr:row>
      <xdr:rowOff>11206</xdr:rowOff>
    </xdr:from>
    <xdr:to>
      <xdr:col>8</xdr:col>
      <xdr:colOff>220867</xdr:colOff>
      <xdr:row>69</xdr:row>
      <xdr:rowOff>2493</xdr:rowOff>
    </xdr:to>
    <xdr:pic>
      <xdr:nvPicPr>
        <xdr:cNvPr id="8" name="Picture 7">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7"/>
        <a:stretch>
          <a:fillRect/>
        </a:stretch>
      </xdr:blipFill>
      <xdr:spPr>
        <a:xfrm>
          <a:off x="8807331" y="11993656"/>
          <a:ext cx="2033911" cy="334187"/>
        </a:xfrm>
        <a:prstGeom prst="rect">
          <a:avLst/>
        </a:prstGeom>
      </xdr:spPr>
    </xdr:pic>
    <xdr:clientData/>
  </xdr:twoCellAnchor>
  <xdr:twoCellAnchor editAs="oneCell">
    <xdr:from>
      <xdr:col>5</xdr:col>
      <xdr:colOff>939613</xdr:colOff>
      <xdr:row>74</xdr:row>
      <xdr:rowOff>102481</xdr:rowOff>
    </xdr:from>
    <xdr:to>
      <xdr:col>8</xdr:col>
      <xdr:colOff>240359</xdr:colOff>
      <xdr:row>75</xdr:row>
      <xdr:rowOff>178921</xdr:rowOff>
    </xdr:to>
    <xdr:pic>
      <xdr:nvPicPr>
        <xdr:cNvPr id="9" name="Picture 8">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8"/>
        <a:stretch>
          <a:fillRect/>
        </a:stretch>
      </xdr:blipFill>
      <xdr:spPr>
        <a:xfrm>
          <a:off x="8807263" y="13294606"/>
          <a:ext cx="2053471" cy="238365"/>
        </a:xfrm>
        <a:prstGeom prst="rect">
          <a:avLst/>
        </a:prstGeom>
      </xdr:spPr>
    </xdr:pic>
    <xdr:clientData/>
  </xdr:twoCellAnchor>
  <xdr:twoCellAnchor editAs="oneCell">
    <xdr:from>
      <xdr:col>5</xdr:col>
      <xdr:colOff>952500</xdr:colOff>
      <xdr:row>81</xdr:row>
      <xdr:rowOff>154106</xdr:rowOff>
    </xdr:from>
    <xdr:to>
      <xdr:col>8</xdr:col>
      <xdr:colOff>182203</xdr:colOff>
      <xdr:row>83</xdr:row>
      <xdr:rowOff>98312</xdr:rowOff>
    </xdr:to>
    <xdr:pic>
      <xdr:nvPicPr>
        <xdr:cNvPr id="10" name="Picture 9">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9"/>
        <a:stretch>
          <a:fillRect/>
        </a:stretch>
      </xdr:blipFill>
      <xdr:spPr>
        <a:xfrm>
          <a:off x="8810625" y="14555906"/>
          <a:ext cx="1991953" cy="287106"/>
        </a:xfrm>
        <a:prstGeom prst="rect">
          <a:avLst/>
        </a:prstGeom>
      </xdr:spPr>
    </xdr:pic>
    <xdr:clientData/>
  </xdr:twoCellAnchor>
  <xdr:oneCellAnchor>
    <xdr:from>
      <xdr:col>6</xdr:col>
      <xdr:colOff>9978</xdr:colOff>
      <xdr:row>178</xdr:row>
      <xdr:rowOff>136070</xdr:rowOff>
    </xdr:from>
    <xdr:ext cx="3329210" cy="275404"/>
    <xdr:pic>
      <xdr:nvPicPr>
        <xdr:cNvPr id="11" name="Picture 17">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10"/>
        <a:stretch>
          <a:fillRect/>
        </a:stretch>
      </xdr:blipFill>
      <xdr:spPr>
        <a:xfrm>
          <a:off x="8820603" y="32482970"/>
          <a:ext cx="3329210" cy="275404"/>
        </a:xfrm>
        <a:prstGeom prst="rect">
          <a:avLst/>
        </a:prstGeom>
      </xdr:spPr>
    </xdr:pic>
    <xdr:clientData/>
  </xdr:oneCellAnchor>
  <xdr:oneCellAnchor>
    <xdr:from>
      <xdr:col>6</xdr:col>
      <xdr:colOff>12520</xdr:colOff>
      <xdr:row>143</xdr:row>
      <xdr:rowOff>44824</xdr:rowOff>
    </xdr:from>
    <xdr:ext cx="3979180" cy="659545"/>
    <xdr:pic>
      <xdr:nvPicPr>
        <xdr:cNvPr id="12" name="Picture 11">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11"/>
        <a:srcRect l="58468" t="36767" r="14197" b="48671"/>
        <a:stretch/>
      </xdr:blipFill>
      <xdr:spPr>
        <a:xfrm>
          <a:off x="8823145" y="25886149"/>
          <a:ext cx="3979180" cy="659545"/>
        </a:xfrm>
        <a:prstGeom prst="rect">
          <a:avLst/>
        </a:prstGeom>
      </xdr:spPr>
    </xdr:pic>
    <xdr:clientData/>
  </xdr:oneCellAnchor>
  <xdr:twoCellAnchor>
    <xdr:from>
      <xdr:col>6</xdr:col>
      <xdr:colOff>19050</xdr:colOff>
      <xdr:row>217</xdr:row>
      <xdr:rowOff>83484</xdr:rowOff>
    </xdr:from>
    <xdr:to>
      <xdr:col>10</xdr:col>
      <xdr:colOff>526490</xdr:colOff>
      <xdr:row>226</xdr:row>
      <xdr:rowOff>78193</xdr:rowOff>
    </xdr:to>
    <xdr:grpSp>
      <xdr:nvGrpSpPr>
        <xdr:cNvPr id="13" name="Group 12">
          <a:extLst>
            <a:ext uri="{FF2B5EF4-FFF2-40B4-BE49-F238E27FC236}">
              <a16:creationId xmlns:a16="http://schemas.microsoft.com/office/drawing/2014/main" id="{3C8C00F1-5852-429E-9032-4F48FDC3F15D}"/>
            </a:ext>
          </a:extLst>
        </xdr:cNvPr>
        <xdr:cNvGrpSpPr/>
      </xdr:nvGrpSpPr>
      <xdr:grpSpPr>
        <a:xfrm>
          <a:off x="9464676" y="40776401"/>
          <a:ext cx="4402106" cy="1497542"/>
          <a:chOff x="6785594" y="17071560"/>
          <a:chExt cx="3632773" cy="1282169"/>
        </a:xfrm>
      </xdr:grpSpPr>
      <xdr:pic>
        <xdr:nvPicPr>
          <xdr:cNvPr id="14"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12"/>
          <a:srcRect l="58061" t="49158" r="14197" b="29521"/>
          <a:stretch/>
        </xdr:blipFill>
        <xdr:spPr>
          <a:xfrm>
            <a:off x="6785594" y="17071560"/>
            <a:ext cx="3632773" cy="785224"/>
          </a:xfrm>
          <a:prstGeom prst="rect">
            <a:avLst/>
          </a:prstGeom>
        </xdr:spPr>
      </xdr:pic>
      <xdr:pic>
        <xdr:nvPicPr>
          <xdr:cNvPr id="15"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12"/>
          <a:srcRect l="58470" t="86500" r="38815" b="9724"/>
          <a:stretch/>
        </xdr:blipFill>
        <xdr:spPr>
          <a:xfrm>
            <a:off x="6851794" y="17983060"/>
            <a:ext cx="372379" cy="145848"/>
          </a:xfrm>
          <a:prstGeom prst="rect">
            <a:avLst/>
          </a:prstGeom>
        </xdr:spPr>
      </xdr:pic>
      <xdr:pic>
        <xdr:nvPicPr>
          <xdr:cNvPr id="16"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12"/>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235</xdr:row>
      <xdr:rowOff>122672</xdr:rowOff>
    </xdr:from>
    <xdr:to>
      <xdr:col>9</xdr:col>
      <xdr:colOff>93288</xdr:colOff>
      <xdr:row>244</xdr:row>
      <xdr:rowOff>7959</xdr:rowOff>
    </xdr:to>
    <xdr:grpSp>
      <xdr:nvGrpSpPr>
        <xdr:cNvPr id="17" name="Group 16">
          <a:extLst>
            <a:ext uri="{FF2B5EF4-FFF2-40B4-BE49-F238E27FC236}">
              <a16:creationId xmlns:a16="http://schemas.microsoft.com/office/drawing/2014/main" id="{190533EA-D489-466C-9AC0-EB9004828968}"/>
            </a:ext>
          </a:extLst>
        </xdr:cNvPr>
        <xdr:cNvGrpSpPr/>
      </xdr:nvGrpSpPr>
      <xdr:grpSpPr>
        <a:xfrm>
          <a:off x="9378525" y="43921798"/>
          <a:ext cx="3081389" cy="1388120"/>
          <a:chOff x="5633355" y="13869092"/>
          <a:chExt cx="2881736" cy="1270236"/>
        </a:xfrm>
      </xdr:grpSpPr>
      <xdr:pic>
        <xdr:nvPicPr>
          <xdr:cNvPr id="18"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3"/>
          <a:srcRect l="57315" t="22285" r="23045" b="61383"/>
          <a:stretch/>
        </xdr:blipFill>
        <xdr:spPr>
          <a:xfrm>
            <a:off x="5633355" y="13869092"/>
            <a:ext cx="2881736" cy="673954"/>
          </a:xfrm>
          <a:prstGeom prst="rect">
            <a:avLst/>
          </a:prstGeom>
        </xdr:spPr>
      </xdr:pic>
      <xdr:pic>
        <xdr:nvPicPr>
          <xdr:cNvPr id="19"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3"/>
          <a:srcRect l="64240" t="73614" r="22862" b="21559"/>
          <a:stretch/>
        </xdr:blipFill>
        <xdr:spPr>
          <a:xfrm>
            <a:off x="6702840" y="14539375"/>
            <a:ext cx="1799853" cy="189458"/>
          </a:xfrm>
          <a:prstGeom prst="rect">
            <a:avLst/>
          </a:prstGeom>
        </xdr:spPr>
      </xdr:pic>
      <xdr:pic>
        <xdr:nvPicPr>
          <xdr:cNvPr id="20"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4"/>
          <a:srcRect l="65460" t="43041" r="24426" b="51488"/>
          <a:stretch/>
        </xdr:blipFill>
        <xdr:spPr>
          <a:xfrm>
            <a:off x="6809930" y="14936579"/>
            <a:ext cx="1332781" cy="202749"/>
          </a:xfrm>
          <a:prstGeom prst="rect">
            <a:avLst/>
          </a:prstGeom>
        </xdr:spPr>
      </xdr:pic>
      <xdr:pic>
        <xdr:nvPicPr>
          <xdr:cNvPr id="21"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12"/>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253</xdr:row>
      <xdr:rowOff>150762</xdr:rowOff>
    </xdr:from>
    <xdr:to>
      <xdr:col>9</xdr:col>
      <xdr:colOff>134919</xdr:colOff>
      <xdr:row>261</xdr:row>
      <xdr:rowOff>73026</xdr:rowOff>
    </xdr:to>
    <xdr:grpSp>
      <xdr:nvGrpSpPr>
        <xdr:cNvPr id="22" name="Group 21">
          <a:extLst>
            <a:ext uri="{FF2B5EF4-FFF2-40B4-BE49-F238E27FC236}">
              <a16:creationId xmlns:a16="http://schemas.microsoft.com/office/drawing/2014/main" id="{E7CF71A7-5891-47E2-87C2-846D78606716}"/>
            </a:ext>
          </a:extLst>
        </xdr:cNvPr>
        <xdr:cNvGrpSpPr/>
      </xdr:nvGrpSpPr>
      <xdr:grpSpPr>
        <a:xfrm>
          <a:off x="9682803" y="47087845"/>
          <a:ext cx="2818742" cy="1261057"/>
          <a:chOff x="5742928" y="16153020"/>
          <a:chExt cx="2749755" cy="1314990"/>
        </a:xfrm>
      </xdr:grpSpPr>
      <xdr:pic>
        <xdr:nvPicPr>
          <xdr:cNvPr id="23"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5"/>
          <a:srcRect l="58042" t="35319" r="22272" b="41511"/>
          <a:stretch/>
        </xdr:blipFill>
        <xdr:spPr>
          <a:xfrm>
            <a:off x="5742928" y="16153020"/>
            <a:ext cx="2749755" cy="910264"/>
          </a:xfrm>
          <a:prstGeom prst="rect">
            <a:avLst/>
          </a:prstGeom>
        </xdr:spPr>
      </xdr:pic>
      <xdr:pic>
        <xdr:nvPicPr>
          <xdr:cNvPr id="24"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5"/>
          <a:srcRect l="65710" t="67500" r="24606" b="27914"/>
          <a:stretch/>
        </xdr:blipFill>
        <xdr:spPr>
          <a:xfrm>
            <a:off x="6777316" y="17294986"/>
            <a:ext cx="1299194" cy="173024"/>
          </a:xfrm>
          <a:prstGeom prst="rect">
            <a:avLst/>
          </a:prstGeom>
        </xdr:spPr>
      </xdr:pic>
      <xdr:pic>
        <xdr:nvPicPr>
          <xdr:cNvPr id="25"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12"/>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101</xdr:row>
      <xdr:rowOff>75268</xdr:rowOff>
    </xdr:from>
    <xdr:ext cx="5414302" cy="372734"/>
    <xdr:pic>
      <xdr:nvPicPr>
        <xdr:cNvPr id="26" name="Picture 25">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6"/>
        <a:stretch>
          <a:fillRect/>
        </a:stretch>
      </xdr:blipFill>
      <xdr:spPr>
        <a:xfrm>
          <a:off x="8809691" y="17906068"/>
          <a:ext cx="5414302" cy="372734"/>
        </a:xfrm>
        <a:prstGeom prst="rect">
          <a:avLst/>
        </a:prstGeom>
      </xdr:spPr>
    </xdr:pic>
    <xdr:clientData/>
  </xdr:oneCellAnchor>
  <xdr:oneCellAnchor>
    <xdr:from>
      <xdr:col>5</xdr:col>
      <xdr:colOff>981284</xdr:colOff>
      <xdr:row>126</xdr:row>
      <xdr:rowOff>42396</xdr:rowOff>
    </xdr:from>
    <xdr:ext cx="3081966" cy="384080"/>
    <xdr:pic>
      <xdr:nvPicPr>
        <xdr:cNvPr id="27" name="Picture 26">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7"/>
        <a:stretch>
          <a:fillRect/>
        </a:stretch>
      </xdr:blipFill>
      <xdr:spPr>
        <a:xfrm>
          <a:off x="8810834" y="22283271"/>
          <a:ext cx="3081966" cy="384080"/>
        </a:xfrm>
        <a:prstGeom prst="rect">
          <a:avLst/>
        </a:prstGeom>
      </xdr:spPr>
    </xdr:pic>
    <xdr:clientData/>
  </xdr:oneCellAnchor>
  <xdr:oneCellAnchor>
    <xdr:from>
      <xdr:col>6</xdr:col>
      <xdr:colOff>10404</xdr:colOff>
      <xdr:row>184</xdr:row>
      <xdr:rowOff>50427</xdr:rowOff>
    </xdr:from>
    <xdr:ext cx="2372000" cy="476531"/>
    <xdr:pic>
      <xdr:nvPicPr>
        <xdr:cNvPr id="28" name="Picture 27">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8"/>
        <a:stretch>
          <a:fillRect/>
        </a:stretch>
      </xdr:blipFill>
      <xdr:spPr>
        <a:xfrm>
          <a:off x="8821029" y="33483177"/>
          <a:ext cx="2372000" cy="476531"/>
        </a:xfrm>
        <a:prstGeom prst="rect">
          <a:avLst/>
        </a:prstGeom>
      </xdr:spPr>
    </xdr:pic>
    <xdr:clientData/>
  </xdr:oneCellAnchor>
  <xdr:oneCellAnchor>
    <xdr:from>
      <xdr:col>5</xdr:col>
      <xdr:colOff>986118</xdr:colOff>
      <xdr:row>210</xdr:row>
      <xdr:rowOff>44582</xdr:rowOff>
    </xdr:from>
    <xdr:ext cx="2532850" cy="221616"/>
    <xdr:pic>
      <xdr:nvPicPr>
        <xdr:cNvPr id="29" name="Picture 28">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9"/>
        <a:stretch>
          <a:fillRect/>
        </a:stretch>
      </xdr:blipFill>
      <xdr:spPr>
        <a:xfrm>
          <a:off x="8806143" y="38373182"/>
          <a:ext cx="2532850" cy="221616"/>
        </a:xfrm>
        <a:prstGeom prst="rect">
          <a:avLst/>
        </a:prstGeom>
      </xdr:spPr>
    </xdr:pic>
    <xdr:clientData/>
  </xdr:oneCellAnchor>
  <xdr:oneCellAnchor>
    <xdr:from>
      <xdr:col>6</xdr:col>
      <xdr:colOff>360455</xdr:colOff>
      <xdr:row>271</xdr:row>
      <xdr:rowOff>142975</xdr:rowOff>
    </xdr:from>
    <xdr:ext cx="1970929" cy="501484"/>
    <xdr:pic>
      <xdr:nvPicPr>
        <xdr:cNvPr id="30" name="Picture 29">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20"/>
        <a:stretch>
          <a:fillRect/>
        </a:stretch>
      </xdr:blipFill>
      <xdr:spPr>
        <a:xfrm>
          <a:off x="9171080" y="49006225"/>
          <a:ext cx="1970929" cy="501484"/>
        </a:xfrm>
        <a:prstGeom prst="rect">
          <a:avLst/>
        </a:prstGeom>
      </xdr:spPr>
    </xdr:pic>
    <xdr:clientData/>
  </xdr:oneCellAnchor>
  <xdr:oneCellAnchor>
    <xdr:from>
      <xdr:col>6</xdr:col>
      <xdr:colOff>100485</xdr:colOff>
      <xdr:row>135</xdr:row>
      <xdr:rowOff>30146</xdr:rowOff>
    </xdr:from>
    <xdr:ext cx="2155758" cy="478174"/>
    <xdr:pic>
      <xdr:nvPicPr>
        <xdr:cNvPr id="31" name="Picture 30">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21"/>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154</xdr:row>
      <xdr:rowOff>0</xdr:rowOff>
    </xdr:from>
    <xdr:ext cx="2783301" cy="467736"/>
    <xdr:pic>
      <xdr:nvPicPr>
        <xdr:cNvPr id="32" name="Picture 31">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22"/>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163</xdr:row>
      <xdr:rowOff>112491</xdr:rowOff>
    </xdr:from>
    <xdr:ext cx="5134431" cy="373325"/>
    <xdr:pic>
      <xdr:nvPicPr>
        <xdr:cNvPr id="33" name="Picture 32">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3"/>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60290</xdr:colOff>
      <xdr:row>169</xdr:row>
      <xdr:rowOff>107932</xdr:rowOff>
    </xdr:from>
    <xdr:ext cx="1409452" cy="568798"/>
    <xdr:pic>
      <xdr:nvPicPr>
        <xdr:cNvPr id="34" name="Picture 33">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4"/>
        <a:srcRect l="35829" t="42301" r="49938" b="46563"/>
        <a:stretch/>
      </xdr:blipFill>
      <xdr:spPr>
        <a:xfrm>
          <a:off x="8870915" y="30654607"/>
          <a:ext cx="1409452" cy="568798"/>
        </a:xfrm>
        <a:prstGeom prst="rect">
          <a:avLst/>
        </a:prstGeom>
      </xdr:spPr>
    </xdr:pic>
    <xdr:clientData/>
  </xdr:oneCellAnchor>
  <xdr:oneCellAnchor>
    <xdr:from>
      <xdr:col>5</xdr:col>
      <xdr:colOff>924451</xdr:colOff>
      <xdr:row>194</xdr:row>
      <xdr:rowOff>20196</xdr:rowOff>
    </xdr:from>
    <xdr:ext cx="2221346" cy="303061"/>
    <xdr:pic>
      <xdr:nvPicPr>
        <xdr:cNvPr id="35" name="Picture 34">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5"/>
        <a:srcRect l="34455" t="38685" r="48895" b="56528"/>
        <a:stretch/>
      </xdr:blipFill>
      <xdr:spPr>
        <a:xfrm>
          <a:off x="8801626" y="35224596"/>
          <a:ext cx="2221346" cy="303061"/>
        </a:xfrm>
        <a:prstGeom prst="rect">
          <a:avLst/>
        </a:prstGeom>
      </xdr:spPr>
    </xdr:pic>
    <xdr:clientData/>
  </xdr:oneCellAnchor>
  <xdr:oneCellAnchor>
    <xdr:from>
      <xdr:col>6</xdr:col>
      <xdr:colOff>26971</xdr:colOff>
      <xdr:row>200</xdr:row>
      <xdr:rowOff>108639</xdr:rowOff>
    </xdr:from>
    <xdr:ext cx="2511633" cy="416596"/>
    <xdr:pic>
      <xdr:nvPicPr>
        <xdr:cNvPr id="36" name="Picture 35">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5"/>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145</xdr:row>
      <xdr:rowOff>9525</xdr:rowOff>
    </xdr:from>
    <xdr:to>
      <xdr:col>11</xdr:col>
      <xdr:colOff>552450</xdr:colOff>
      <xdr:row>146</xdr:row>
      <xdr:rowOff>133350</xdr:rowOff>
    </xdr:to>
    <xdr:pic>
      <xdr:nvPicPr>
        <xdr:cNvPr id="37" name="Picture 36">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137</xdr:row>
      <xdr:rowOff>169862</xdr:rowOff>
    </xdr:from>
    <xdr:ext cx="627608" cy="373063"/>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138</xdr:row>
      <xdr:rowOff>257175</xdr:rowOff>
    </xdr:from>
    <xdr:ext cx="627608" cy="373063"/>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224</xdr:row>
      <xdr:rowOff>95250</xdr:rowOff>
    </xdr:from>
    <xdr:to>
      <xdr:col>10</xdr:col>
      <xdr:colOff>847725</xdr:colOff>
      <xdr:row>225</xdr:row>
      <xdr:rowOff>133350</xdr:rowOff>
    </xdr:to>
    <xdr:pic>
      <xdr:nvPicPr>
        <xdr:cNvPr id="40" name="Picture 39">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242</xdr:row>
      <xdr:rowOff>95250</xdr:rowOff>
    </xdr:from>
    <xdr:to>
      <xdr:col>10</xdr:col>
      <xdr:colOff>771525</xdr:colOff>
      <xdr:row>243</xdr:row>
      <xdr:rowOff>123825</xdr:rowOff>
    </xdr:to>
    <xdr:pic>
      <xdr:nvPicPr>
        <xdr:cNvPr id="41" name="Picture 40">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172</xdr:row>
      <xdr:rowOff>25400</xdr:rowOff>
    </xdr:from>
    <xdr:ext cx="627608" cy="373063"/>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oneCellAnchor>
    <xdr:from>
      <xdr:col>0</xdr:col>
      <xdr:colOff>5495925</xdr:colOff>
      <xdr:row>159</xdr:row>
      <xdr:rowOff>114300</xdr:rowOff>
    </xdr:from>
    <xdr:ext cx="627608" cy="373063"/>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E2778DB3-98BD-44B1-AEF0-7160941FE5EA}"/>
                </a:ext>
              </a:extLst>
            </xdr:cNvPr>
            <xdr:cNvSpPr txBox="1"/>
          </xdr:nvSpPr>
          <xdr:spPr>
            <a:xfrm>
              <a:off x="5200650" y="287750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𝑑</m:t>
                        </m:r>
                        <m:r>
                          <a:rPr lang="en-GB" sz="1000" b="0" i="1">
                            <a:latin typeface="Cambria Math" panose="02040503050406030204" pitchFamily="18" charset="0"/>
                          </a:rPr>
                          <m:t> </m:t>
                        </m:r>
                        <m:r>
                          <a:rPr lang="en-GB" sz="1000" b="0" i="1">
                            <a:latin typeface="Cambria Math" panose="02040503050406030204" pitchFamily="18" charset="0"/>
                          </a:rPr>
                          <m:t>𝐴𝐷𝑑</m:t>
                        </m:r>
                      </m:e>
                    </m:nary>
                  </m:oMath>
                </m:oMathPara>
              </a14:m>
              <a:endParaRPr lang="en-GB" sz="1000"/>
            </a:p>
          </xdr:txBody>
        </xdr:sp>
      </mc:Choice>
      <mc:Fallback xmlns="">
        <xdr:sp macro="" textlink="">
          <xdr:nvSpPr>
            <xdr:cNvPr id="43" name="TextBox 42">
              <a:extLst>
                <a:ext uri="{FF2B5EF4-FFF2-40B4-BE49-F238E27FC236}">
                  <a16:creationId xmlns:a16="http://schemas.microsoft.com/office/drawing/2014/main" id="{E2778DB3-98BD-44B1-AEF0-7160941FE5EA}"/>
                </a:ext>
              </a:extLst>
            </xdr:cNvPr>
            <xdr:cNvSpPr txBox="1"/>
          </xdr:nvSpPr>
          <xdr:spPr>
            <a:xfrm>
              <a:off x="5200650" y="287750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▒〖𝑑 𝐴𝐷𝑑〗</a:t>
              </a:r>
              <a:endParaRPr lang="en-GB" sz="1000"/>
            </a:p>
          </xdr:txBody>
        </xdr:sp>
      </mc:Fallback>
    </mc:AlternateContent>
    <xdr:clientData/>
  </xdr:oneCellAnchor>
  <xdr:twoCellAnchor>
    <xdr:from>
      <xdr:col>0</xdr:col>
      <xdr:colOff>5610225</xdr:colOff>
      <xdr:row>202</xdr:row>
      <xdr:rowOff>123825</xdr:rowOff>
    </xdr:from>
    <xdr:to>
      <xdr:col>2</xdr:col>
      <xdr:colOff>63500</xdr:colOff>
      <xdr:row>203</xdr:row>
      <xdr:rowOff>225425</xdr:rowOff>
    </xdr:to>
    <xdr:pic>
      <xdr:nvPicPr>
        <xdr:cNvPr id="44" name="Picture 43">
          <a:extLst>
            <a:ext uri="{FF2B5EF4-FFF2-40B4-BE49-F238E27FC236}">
              <a16:creationId xmlns:a16="http://schemas.microsoft.com/office/drawing/2014/main" id="{DBC9A1D9-73FF-4B83-86E0-16102D3E4360}"/>
            </a:ext>
          </a:extLst>
        </xdr:cNvPr>
        <xdr:cNvPicPr>
          <a:picLocks noChangeAspect="1" noChangeArrowheads="1"/>
        </xdr:cNvPicPr>
      </xdr:nvPicPr>
      <xdr:blipFill>
        <a:blip xmlns:r="http://schemas.openxmlformats.org/officeDocument/2006/relationships" r:embed="rId2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00650" y="36833175"/>
          <a:ext cx="768350" cy="26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26987</xdr:colOff>
      <xdr:row>217</xdr:row>
      <xdr:rowOff>169862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5227637" y="24363362"/>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5227637" y="24363362"/>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218</xdr:row>
      <xdr:rowOff>257175</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3</xdr:col>
      <xdr:colOff>5495925</xdr:colOff>
      <xdr:row>224</xdr:row>
      <xdr:rowOff>114300</xdr:rowOff>
    </xdr:from>
    <xdr:ext cx="627608" cy="373063"/>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76436FF-A204-429F-993B-8B10DA51DA79}"/>
                </a:ext>
              </a:extLst>
            </xdr:cNvPr>
            <xdr:cNvSpPr txBox="1"/>
          </xdr:nvSpPr>
          <xdr:spPr>
            <a:xfrm>
              <a:off x="5200650" y="288036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𝑑</m:t>
                        </m:r>
                        <m:r>
                          <a:rPr lang="en-GB" sz="1000" b="0" i="1">
                            <a:latin typeface="Cambria Math" panose="02040503050406030204" pitchFamily="18" charset="0"/>
                          </a:rPr>
                          <m:t> </m:t>
                        </m:r>
                        <m:r>
                          <a:rPr lang="en-GB" sz="1000" b="0" i="1">
                            <a:latin typeface="Cambria Math" panose="02040503050406030204" pitchFamily="18" charset="0"/>
                          </a:rPr>
                          <m:t>𝐴𝐷𝑑</m:t>
                        </m:r>
                      </m:e>
                    </m:nary>
                  </m:oMath>
                </m:oMathPara>
              </a14:m>
              <a:endParaRPr lang="en-GB" sz="1000"/>
            </a:p>
          </xdr:txBody>
        </xdr:sp>
      </mc:Choice>
      <mc:Fallback xmlns="">
        <xdr:sp macro="" textlink="">
          <xdr:nvSpPr>
            <xdr:cNvPr id="4" name="TextBox 3">
              <a:extLst>
                <a:ext uri="{FF2B5EF4-FFF2-40B4-BE49-F238E27FC236}">
                  <a16:creationId xmlns:a16="http://schemas.microsoft.com/office/drawing/2014/main" id="{076436FF-A204-429F-993B-8B10DA51DA79}"/>
                </a:ext>
              </a:extLst>
            </xdr:cNvPr>
            <xdr:cNvSpPr txBox="1"/>
          </xdr:nvSpPr>
          <xdr:spPr>
            <a:xfrm>
              <a:off x="5200650" y="288036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▒〖𝑑 𝐴𝐷𝑑〗</a:t>
              </a:r>
              <a:endParaRPr lang="en-GB" sz="1000"/>
            </a:p>
          </xdr:txBody>
        </xdr:sp>
      </mc:Fallback>
    </mc:AlternateContent>
    <xdr:clientData/>
  </xdr:oneCellAnchor>
  <xdr:oneCellAnchor>
    <xdr:from>
      <xdr:col>3</xdr:col>
      <xdr:colOff>3105150</xdr:colOff>
      <xdr:row>229</xdr:row>
      <xdr:rowOff>144463</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462713" y="44697651"/>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462713" y="44697651"/>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3</xdr:col>
      <xdr:colOff>5610225</xdr:colOff>
      <xdr:row>237</xdr:row>
      <xdr:rowOff>0</xdr:rowOff>
    </xdr:from>
    <xdr:to>
      <xdr:col>5</xdr:col>
      <xdr:colOff>63500</xdr:colOff>
      <xdr:row>237</xdr:row>
      <xdr:rowOff>225425</xdr:rowOff>
    </xdr:to>
    <xdr:pic>
      <xdr:nvPicPr>
        <xdr:cNvPr id="6" name="Picture 5">
          <a:extLst>
            <a:ext uri="{FF2B5EF4-FFF2-40B4-BE49-F238E27FC236}">
              <a16:creationId xmlns:a16="http://schemas.microsoft.com/office/drawing/2014/main" id="{134C7E08-683D-426B-AD50-8D4FF2B7653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00650" y="36899850"/>
          <a:ext cx="768350" cy="26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2" name="Picture 1">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133756</xdr:colOff>
      <xdr:row>31</xdr:row>
      <xdr:rowOff>202640</xdr:rowOff>
    </xdr:to>
    <xdr:pic>
      <xdr:nvPicPr>
        <xdr:cNvPr id="5" name="Picture 4">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182163</xdr:rowOff>
    </xdr:to>
    <xdr:pic>
      <xdr:nvPicPr>
        <xdr:cNvPr id="6" name="Picture 5">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94409</xdr:colOff>
      <xdr:row>43</xdr:row>
      <xdr:rowOff>151465</xdr:rowOff>
    </xdr:to>
    <xdr:pic>
      <xdr:nvPicPr>
        <xdr:cNvPr id="7" name="Picture 6">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143900</xdr:rowOff>
    </xdr:to>
    <xdr:pic>
      <xdr:nvPicPr>
        <xdr:cNvPr id="8" name="Picture 7">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444966</xdr:colOff>
      <xdr:row>55</xdr:row>
      <xdr:rowOff>123730</xdr:rowOff>
    </xdr:to>
    <xdr:pic>
      <xdr:nvPicPr>
        <xdr:cNvPr id="9" name="Picture 8">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8</xdr:col>
      <xdr:colOff>773206</xdr:colOff>
      <xdr:row>6</xdr:row>
      <xdr:rowOff>44824</xdr:rowOff>
    </xdr:from>
    <xdr:to>
      <xdr:col>11</xdr:col>
      <xdr:colOff>388191</xdr:colOff>
      <xdr:row>7</xdr:row>
      <xdr:rowOff>153747</xdr:rowOff>
    </xdr:to>
    <xdr:pic>
      <xdr:nvPicPr>
        <xdr:cNvPr id="10" name="Picture 9">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45556" y="1378324"/>
          <a:ext cx="1929560" cy="270848"/>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140463</xdr:rowOff>
    </xdr:to>
    <xdr:pic>
      <xdr:nvPicPr>
        <xdr:cNvPr id="11" name="Picture 10">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120745</xdr:rowOff>
    </xdr:to>
    <xdr:pic>
      <xdr:nvPicPr>
        <xdr:cNvPr id="12" name="Picture 11">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140105</xdr:colOff>
      <xdr:row>31</xdr:row>
      <xdr:rowOff>208989</xdr:rowOff>
    </xdr:to>
    <xdr:pic>
      <xdr:nvPicPr>
        <xdr:cNvPr id="14" name="Picture 13">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94409</xdr:colOff>
      <xdr:row>43</xdr:row>
      <xdr:rowOff>164162</xdr:rowOff>
    </xdr:to>
    <xdr:pic>
      <xdr:nvPicPr>
        <xdr:cNvPr id="16" name="Picture 15">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410603</xdr:colOff>
      <xdr:row>7</xdr:row>
      <xdr:rowOff>123304</xdr:rowOff>
    </xdr:to>
    <xdr:pic>
      <xdr:nvPicPr>
        <xdr:cNvPr id="18" name="Picture 17">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486146</xdr:colOff>
      <xdr:row>22</xdr:row>
      <xdr:rowOff>125874</xdr:rowOff>
    </xdr:to>
    <xdr:pic>
      <xdr:nvPicPr>
        <xdr:cNvPr id="4" name="Picture 3">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676274</xdr:colOff>
      <xdr:row>31</xdr:row>
      <xdr:rowOff>109813</xdr:rowOff>
    </xdr:from>
    <xdr:ext cx="1614487" cy="311937"/>
    <xdr:pic>
      <xdr:nvPicPr>
        <xdr:cNvPr id="4" name="Picture 3">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086724" y="6101038"/>
          <a:ext cx="1614487" cy="311937"/>
        </a:xfrm>
        <a:prstGeom prst="rect">
          <a:avLst/>
        </a:prstGeom>
      </xdr:spPr>
    </xdr:pic>
    <xdr:clientData/>
  </xdr:oneCellAnchor>
  <xdr:oneCellAnchor>
    <xdr:from>
      <xdr:col>6</xdr:col>
      <xdr:colOff>675432</xdr:colOff>
      <xdr:row>51</xdr:row>
      <xdr:rowOff>67363</xdr:rowOff>
    </xdr:from>
    <xdr:ext cx="2055731" cy="321767"/>
    <xdr:pic>
      <xdr:nvPicPr>
        <xdr:cNvPr id="5" name="Picture 4">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57</xdr:row>
      <xdr:rowOff>168089</xdr:rowOff>
    </xdr:from>
    <xdr:ext cx="2056832" cy="241980"/>
    <xdr:pic>
      <xdr:nvPicPr>
        <xdr:cNvPr id="6" name="Picture 5">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63</xdr:row>
      <xdr:rowOff>106464</xdr:rowOff>
    </xdr:from>
    <xdr:ext cx="1798566" cy="254102"/>
    <xdr:pic>
      <xdr:nvPicPr>
        <xdr:cNvPr id="7" name="Picture 6">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69</xdr:row>
      <xdr:rowOff>17862</xdr:rowOff>
    </xdr:from>
    <xdr:ext cx="2101052" cy="294884"/>
    <xdr:pic>
      <xdr:nvPicPr>
        <xdr:cNvPr id="8" name="Picture 7">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181479</xdr:colOff>
      <xdr:row>7</xdr:row>
      <xdr:rowOff>144463</xdr:rowOff>
    </xdr:to>
    <xdr:pic>
      <xdr:nvPicPr>
        <xdr:cNvPr id="9" name="Picture 8">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024618" y="1437155"/>
          <a:ext cx="2477479" cy="276132"/>
        </a:xfrm>
        <a:prstGeom prst="rect">
          <a:avLst/>
        </a:prstGeom>
      </xdr:spPr>
    </xdr:pic>
    <xdr:clientData/>
  </xdr:twoCellAnchor>
  <xdr:twoCellAnchor editAs="oneCell">
    <xdr:from>
      <xdr:col>6</xdr:col>
      <xdr:colOff>688321</xdr:colOff>
      <xdr:row>80</xdr:row>
      <xdr:rowOff>522</xdr:rowOff>
    </xdr:from>
    <xdr:to>
      <xdr:col>9</xdr:col>
      <xdr:colOff>531160</xdr:colOff>
      <xdr:row>81</xdr:row>
      <xdr:rowOff>86302</xdr:rowOff>
    </xdr:to>
    <xdr:pic>
      <xdr:nvPicPr>
        <xdr:cNvPr id="10" name="Picture 9">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448514</xdr:colOff>
      <xdr:row>14</xdr:row>
      <xdr:rowOff>30255</xdr:rowOff>
    </xdr:to>
    <xdr:pic>
      <xdr:nvPicPr>
        <xdr:cNvPr id="12" name="Picture 11">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29</xdr:row>
      <xdr:rowOff>78443</xdr:rowOff>
    </xdr:from>
    <xdr:ext cx="2101052" cy="294884"/>
    <xdr:pic>
      <xdr:nvPicPr>
        <xdr:cNvPr id="4" name="Picture 3">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6</xdr:col>
      <xdr:colOff>752039</xdr:colOff>
      <xdr:row>19</xdr:row>
      <xdr:rowOff>52387</xdr:rowOff>
    </xdr:from>
    <xdr:to>
      <xdr:col>8</xdr:col>
      <xdr:colOff>633413</xdr:colOff>
      <xdr:row>20</xdr:row>
      <xdr:rowOff>95250</xdr:rowOff>
    </xdr:to>
    <xdr:pic>
      <xdr:nvPicPr>
        <xdr:cNvPr id="2" name="Picture 1">
          <a:extLst>
            <a:ext uri="{FF2B5EF4-FFF2-40B4-BE49-F238E27FC236}">
              <a16:creationId xmlns:a16="http://schemas.microsoft.com/office/drawing/2014/main" id="{2379715F-65F3-4F97-870F-5EC1C01CC2F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67239" y="3986212"/>
          <a:ext cx="1376799" cy="23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669924</xdr:colOff>
      <xdr:row>39</xdr:row>
      <xdr:rowOff>19049</xdr:rowOff>
    </xdr:from>
    <xdr:to>
      <xdr:col>10</xdr:col>
      <xdr:colOff>2307</xdr:colOff>
      <xdr:row>41</xdr:row>
      <xdr:rowOff>82550</xdr:rowOff>
    </xdr:to>
    <xdr:pic>
      <xdr:nvPicPr>
        <xdr:cNvPr id="3" name="Picture 2">
          <a:extLst>
            <a:ext uri="{FF2B5EF4-FFF2-40B4-BE49-F238E27FC236}">
              <a16:creationId xmlns:a16="http://schemas.microsoft.com/office/drawing/2014/main" id="{6C08E71C-1B04-468D-A019-A8398A0E843F}"/>
            </a:ext>
          </a:extLst>
        </xdr:cNvPr>
        <xdr:cNvPicPr>
          <a:picLocks noChangeAspect="1"/>
        </xdr:cNvPicPr>
      </xdr:nvPicPr>
      <xdr:blipFill rotWithShape="1">
        <a:blip xmlns:r="http://schemas.openxmlformats.org/officeDocument/2006/relationships" r:embed="rId2"/>
        <a:srcRect b="17553"/>
        <a:stretch/>
      </xdr:blipFill>
      <xdr:spPr>
        <a:xfrm>
          <a:off x="7985124" y="7553324"/>
          <a:ext cx="2271375" cy="406401"/>
        </a:xfrm>
        <a:prstGeom prst="rect">
          <a:avLst/>
        </a:prstGeom>
      </xdr:spPr>
    </xdr:pic>
    <xdr:clientData/>
  </xdr:twoCellAnchor>
  <xdr:twoCellAnchor editAs="oneCell">
    <xdr:from>
      <xdr:col>6</xdr:col>
      <xdr:colOff>571501</xdr:colOff>
      <xdr:row>46</xdr:row>
      <xdr:rowOff>135941</xdr:rowOff>
    </xdr:from>
    <xdr:to>
      <xdr:col>10</xdr:col>
      <xdr:colOff>82551</xdr:colOff>
      <xdr:row>49</xdr:row>
      <xdr:rowOff>103186</xdr:rowOff>
    </xdr:to>
    <xdr:pic>
      <xdr:nvPicPr>
        <xdr:cNvPr id="4" name="Picture 3">
          <a:extLst>
            <a:ext uri="{FF2B5EF4-FFF2-40B4-BE49-F238E27FC236}">
              <a16:creationId xmlns:a16="http://schemas.microsoft.com/office/drawing/2014/main" id="{6E7EB99E-0416-46B1-8EDB-08BC4A363F8F}"/>
            </a:ext>
          </a:extLst>
        </xdr:cNvPr>
        <xdr:cNvPicPr>
          <a:picLocks noChangeAspect="1"/>
        </xdr:cNvPicPr>
      </xdr:nvPicPr>
      <xdr:blipFill rotWithShape="1">
        <a:blip xmlns:r="http://schemas.openxmlformats.org/officeDocument/2006/relationships" r:embed="rId3"/>
        <a:srcRect t="25660" b="7226"/>
        <a:stretch/>
      </xdr:blipFill>
      <xdr:spPr>
        <a:xfrm>
          <a:off x="7886701" y="8975141"/>
          <a:ext cx="2454275" cy="472070"/>
        </a:xfrm>
        <a:prstGeom prst="rect">
          <a:avLst/>
        </a:prstGeom>
      </xdr:spPr>
    </xdr:pic>
    <xdr:clientData/>
  </xdr:twoCellAnchor>
  <xdr:twoCellAnchor editAs="oneCell">
    <xdr:from>
      <xdr:col>7</xdr:col>
      <xdr:colOff>11113</xdr:colOff>
      <xdr:row>57</xdr:row>
      <xdr:rowOff>141526</xdr:rowOff>
    </xdr:from>
    <xdr:to>
      <xdr:col>9</xdr:col>
      <xdr:colOff>303214</xdr:colOff>
      <xdr:row>59</xdr:row>
      <xdr:rowOff>134891</xdr:rowOff>
    </xdr:to>
    <xdr:pic>
      <xdr:nvPicPr>
        <xdr:cNvPr id="5" name="Picture 4">
          <a:extLst>
            <a:ext uri="{FF2B5EF4-FFF2-40B4-BE49-F238E27FC236}">
              <a16:creationId xmlns:a16="http://schemas.microsoft.com/office/drawing/2014/main" id="{CA55D223-6FE3-4A94-BA63-D35BAC84D386}"/>
            </a:ext>
          </a:extLst>
        </xdr:cNvPr>
        <xdr:cNvPicPr>
          <a:picLocks noChangeAspect="1"/>
        </xdr:cNvPicPr>
      </xdr:nvPicPr>
      <xdr:blipFill>
        <a:blip xmlns:r="http://schemas.openxmlformats.org/officeDocument/2006/relationships" r:embed="rId4"/>
        <a:stretch>
          <a:fillRect/>
        </a:stretch>
      </xdr:blipFill>
      <xdr:spPr>
        <a:xfrm>
          <a:off x="8097838" y="10952401"/>
          <a:ext cx="1739901" cy="345790"/>
        </a:xfrm>
        <a:prstGeom prst="rect">
          <a:avLst/>
        </a:prstGeom>
      </xdr:spPr>
    </xdr:pic>
    <xdr:clientData/>
  </xdr:twoCellAnchor>
  <xdr:twoCellAnchor editAs="oneCell">
    <xdr:from>
      <xdr:col>7</xdr:col>
      <xdr:colOff>119944</xdr:colOff>
      <xdr:row>30</xdr:row>
      <xdr:rowOff>14111</xdr:rowOff>
    </xdr:from>
    <xdr:to>
      <xdr:col>11</xdr:col>
      <xdr:colOff>526960</xdr:colOff>
      <xdr:row>32</xdr:row>
      <xdr:rowOff>102602</xdr:rowOff>
    </xdr:to>
    <xdr:pic>
      <xdr:nvPicPr>
        <xdr:cNvPr id="6" name="Picture 5">
          <a:extLst>
            <a:ext uri="{FF2B5EF4-FFF2-40B4-BE49-F238E27FC236}">
              <a16:creationId xmlns:a16="http://schemas.microsoft.com/office/drawing/2014/main" id="{B8F71DC8-BF90-4AA2-8944-A443D99095A4}"/>
            </a:ext>
          </a:extLst>
        </xdr:cNvPr>
        <xdr:cNvPicPr>
          <a:picLocks noChangeAspect="1"/>
        </xdr:cNvPicPr>
      </xdr:nvPicPr>
      <xdr:blipFill>
        <a:blip xmlns:r="http://schemas.openxmlformats.org/officeDocument/2006/relationships" r:embed="rId5"/>
        <a:stretch>
          <a:fillRect/>
        </a:stretch>
      </xdr:blipFill>
      <xdr:spPr>
        <a:xfrm>
          <a:off x="8206669" y="5900561"/>
          <a:ext cx="3302616" cy="4694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804863</xdr:colOff>
      <xdr:row>13</xdr:row>
      <xdr:rowOff>114261</xdr:rowOff>
    </xdr:from>
    <xdr:to>
      <xdr:col>9</xdr:col>
      <xdr:colOff>654050</xdr:colOff>
      <xdr:row>15</xdr:row>
      <xdr:rowOff>95211</xdr:rowOff>
    </xdr:to>
    <xdr:pic>
      <xdr:nvPicPr>
        <xdr:cNvPr id="2" name="Picture 1">
          <a:extLst>
            <a:ext uri="{FF2B5EF4-FFF2-40B4-BE49-F238E27FC236}">
              <a16:creationId xmlns:a16="http://schemas.microsoft.com/office/drawing/2014/main" id="{0EDF14C6-B1C0-435A-87E7-996043C7BD2C}"/>
            </a:ext>
          </a:extLst>
        </xdr:cNvPr>
        <xdr:cNvPicPr>
          <a:picLocks noChangeAspect="1"/>
        </xdr:cNvPicPr>
      </xdr:nvPicPr>
      <xdr:blipFill>
        <a:blip xmlns:r="http://schemas.openxmlformats.org/officeDocument/2006/relationships" r:embed="rId1"/>
        <a:stretch>
          <a:fillRect/>
        </a:stretch>
      </xdr:blipFill>
      <xdr:spPr>
        <a:xfrm>
          <a:off x="6872288" y="2743161"/>
          <a:ext cx="2106612" cy="30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45602</xdr:rowOff>
    </xdr:to>
    <xdr:pic>
      <xdr:nvPicPr>
        <xdr:cNvPr id="3" name="Picture 2">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s>
    <sheetDataSet>
      <sheetData sheetId="0" refreshError="1"/>
      <sheetData sheetId="1" refreshError="1"/>
      <sheetData sheetId="2" refreshError="1"/>
      <sheetData sheetId="3" refreshError="1"/>
      <sheetData sheetId="4">
        <row r="5">
          <cell r="D5">
            <v>-20</v>
          </cell>
        </row>
      </sheetData>
      <sheetData sheetId="5" refreshError="1"/>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8</v>
    <v>365</v>
    <v>1</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9"/>
  <sheetViews>
    <sheetView tabSelected="1" zoomScale="90" zoomScaleNormal="90" workbookViewId="0">
      <selection activeCell="A11" sqref="A11"/>
    </sheetView>
  </sheetViews>
  <sheetFormatPr defaultColWidth="0" defaultRowHeight="13.5" zeroHeight="1"/>
  <cols>
    <col min="1" max="1" width="10.59765625" style="5" customWidth="1"/>
    <col min="2" max="2" width="10" style="5" customWidth="1"/>
    <col min="3" max="9" width="11" style="5" customWidth="1"/>
    <col min="10" max="11" width="10.59765625" style="5" customWidth="1"/>
    <col min="12" max="16384" width="10.59765625" style="5" hidden="1"/>
  </cols>
  <sheetData>
    <row r="1" spans="1:11" s="1339" customFormat="1" ht="56.85" customHeight="1">
      <c r="A1" s="1340"/>
      <c r="B1" s="1340"/>
      <c r="C1" s="1340"/>
      <c r="D1" s="1340"/>
      <c r="E1" s="1340"/>
      <c r="F1" s="1340"/>
      <c r="G1" s="1340"/>
      <c r="H1" s="1340"/>
      <c r="I1" s="1340"/>
      <c r="J1" s="1340"/>
      <c r="K1" s="1340"/>
    </row>
    <row r="2" spans="1:11" s="73" customFormat="1" ht="23.25">
      <c r="A2" s="89" t="s">
        <v>14</v>
      </c>
      <c r="H2" s="73" t="s">
        <v>0</v>
      </c>
    </row>
    <row r="3" spans="1:11" s="73" customFormat="1" ht="23.25">
      <c r="A3" s="89" t="s">
        <v>2859</v>
      </c>
    </row>
    <row r="4" spans="1:11" s="73" customFormat="1" ht="23.25">
      <c r="A4" s="89" t="str">
        <f>"Regulatory Year: "&amp;'1.1 Cover'!$E$17</f>
        <v>Regulatory Year: April 2021 - March 2022</v>
      </c>
    </row>
    <row r="5" spans="1:11" s="73" customFormat="1" ht="23.25">
      <c r="A5" s="89" t="s">
        <v>67</v>
      </c>
    </row>
    <row r="6" spans="1:11"/>
    <row r="7" spans="1:11" ht="13.9" thickBot="1"/>
    <row r="8" spans="1:11" ht="13.9" thickTop="1">
      <c r="C8" s="6"/>
      <c r="D8" s="7"/>
      <c r="E8" s="7"/>
      <c r="F8" s="7"/>
      <c r="G8" s="7"/>
      <c r="H8" s="7"/>
      <c r="I8" s="8"/>
    </row>
    <row r="9" spans="1:11">
      <c r="C9" s="9"/>
      <c r="D9" s="10"/>
      <c r="E9" s="10"/>
      <c r="F9" s="10"/>
      <c r="G9" s="10"/>
      <c r="H9" s="10"/>
      <c r="I9" s="11"/>
    </row>
    <row r="10" spans="1:11" ht="22.9">
      <c r="C10" s="9"/>
      <c r="D10" s="10"/>
      <c r="E10" s="10"/>
      <c r="F10" s="12" t="s">
        <v>73</v>
      </c>
      <c r="G10" s="10"/>
      <c r="H10" s="10"/>
      <c r="I10" s="11"/>
    </row>
    <row r="11" spans="1:11" ht="22.9">
      <c r="C11" s="9"/>
      <c r="D11" s="10"/>
      <c r="E11" s="10"/>
      <c r="F11" s="12" t="s">
        <v>15</v>
      </c>
      <c r="G11" s="10"/>
      <c r="H11" s="10"/>
      <c r="I11" s="11"/>
    </row>
    <row r="12" spans="1:11">
      <c r="C12" s="9"/>
      <c r="D12" s="10"/>
      <c r="E12" s="10"/>
      <c r="F12" s="13"/>
      <c r="G12" s="10"/>
      <c r="H12" s="10"/>
      <c r="I12" s="11"/>
    </row>
    <row r="13" spans="1:11">
      <c r="C13" s="9"/>
      <c r="D13" s="10"/>
      <c r="E13" s="10"/>
      <c r="F13" s="1338" t="s">
        <v>3176</v>
      </c>
      <c r="G13" s="10"/>
      <c r="H13" s="10"/>
      <c r="I13" s="11"/>
    </row>
    <row r="14" spans="1:11">
      <c r="C14" s="9"/>
      <c r="D14" s="10"/>
      <c r="E14" s="10"/>
      <c r="F14" s="14"/>
      <c r="G14" s="10"/>
      <c r="H14" s="10"/>
      <c r="I14" s="11"/>
    </row>
    <row r="15" spans="1:11">
      <c r="C15" s="9"/>
      <c r="D15" s="60" t="s">
        <v>74</v>
      </c>
      <c r="E15" s="1341" t="s">
        <v>1418</v>
      </c>
      <c r="F15" s="1341"/>
      <c r="G15" s="1341"/>
      <c r="H15" s="10"/>
      <c r="I15" s="11"/>
    </row>
    <row r="16" spans="1:11">
      <c r="C16" s="9"/>
      <c r="D16" s="60"/>
      <c r="E16" s="10"/>
      <c r="F16" s="14"/>
      <c r="G16" s="10"/>
      <c r="H16" s="10"/>
      <c r="I16" s="11"/>
    </row>
    <row r="17" spans="1:11">
      <c r="C17" s="9"/>
      <c r="D17" s="60" t="s">
        <v>57</v>
      </c>
      <c r="E17" s="1341" t="s">
        <v>2636</v>
      </c>
      <c r="F17" s="1341"/>
      <c r="G17" s="1341"/>
      <c r="H17" s="10"/>
      <c r="I17" s="11"/>
    </row>
    <row r="18" spans="1:11">
      <c r="C18" s="9"/>
      <c r="D18" s="60"/>
      <c r="E18" s="10"/>
      <c r="F18" s="14"/>
      <c r="G18" s="10"/>
      <c r="H18" s="10"/>
      <c r="I18" s="11"/>
    </row>
    <row r="19" spans="1:11">
      <c r="C19" s="9"/>
      <c r="D19" s="60" t="s">
        <v>65</v>
      </c>
      <c r="E19" s="1341">
        <v>1.1200000000000001</v>
      </c>
      <c r="F19" s="1341"/>
      <c r="G19" s="1341"/>
      <c r="H19" s="10"/>
      <c r="I19" s="11"/>
    </row>
    <row r="20" spans="1:11">
      <c r="C20" s="9"/>
      <c r="D20" s="60"/>
      <c r="E20" s="10"/>
      <c r="F20" s="14"/>
      <c r="G20" s="10"/>
      <c r="H20" s="10"/>
      <c r="I20" s="11"/>
    </row>
    <row r="21" spans="1:11">
      <c r="C21" s="9"/>
      <c r="D21" s="60" t="s">
        <v>13</v>
      </c>
      <c r="E21" s="1341"/>
      <c r="F21" s="1341"/>
      <c r="G21" s="1341"/>
      <c r="H21" s="10"/>
      <c r="I21" s="11"/>
    </row>
    <row r="22" spans="1:11" ht="13.9" thickBot="1">
      <c r="C22" s="15"/>
      <c r="D22" s="16"/>
      <c r="E22" s="16"/>
      <c r="F22" s="16"/>
      <c r="G22" s="16"/>
      <c r="H22" s="16"/>
      <c r="I22" s="17"/>
    </row>
    <row r="23" spans="1:11" ht="13.9" thickTop="1"/>
    <row r="24" spans="1:11"/>
    <row r="25" spans="1:11" ht="14.65">
      <c r="A25" s="37" t="s">
        <v>47</v>
      </c>
      <c r="B25" s="40"/>
      <c r="C25" s="40"/>
      <c r="D25" s="40"/>
      <c r="E25" s="38"/>
      <c r="F25" s="38"/>
      <c r="G25" s="38"/>
      <c r="H25" s="38"/>
      <c r="I25" s="38"/>
      <c r="J25" s="38"/>
      <c r="K25" s="38"/>
    </row>
    <row r="26" spans="1:11">
      <c r="A26" s="48"/>
      <c r="B26" s="48"/>
      <c r="C26" s="48"/>
      <c r="D26" s="48"/>
    </row>
    <row r="27" spans="1:11">
      <c r="A27" s="48"/>
      <c r="B27" s="48"/>
      <c r="C27" s="36"/>
      <c r="D27" s="35" t="s">
        <v>43</v>
      </c>
    </row>
    <row r="28" spans="1:11">
      <c r="A28" s="48"/>
      <c r="B28" s="48"/>
      <c r="C28" s="44" t="s">
        <v>44</v>
      </c>
      <c r="D28" s="35" t="s">
        <v>75</v>
      </c>
    </row>
    <row r="29" spans="1:11">
      <c r="A29" s="48"/>
      <c r="B29" s="48"/>
      <c r="C29" s="47" t="s">
        <v>44</v>
      </c>
      <c r="D29" s="35" t="s">
        <v>48</v>
      </c>
    </row>
    <row r="30" spans="1:11">
      <c r="A30" s="48"/>
      <c r="B30" s="48"/>
      <c r="C30" s="45" t="s">
        <v>44</v>
      </c>
      <c r="D30" s="35" t="s">
        <v>41</v>
      </c>
    </row>
    <row r="31" spans="1:11">
      <c r="A31" s="48"/>
      <c r="B31" s="48"/>
      <c r="C31" s="43" t="s">
        <v>44</v>
      </c>
      <c r="D31" s="35" t="s">
        <v>42</v>
      </c>
    </row>
    <row r="32" spans="1:11">
      <c r="A32" s="48"/>
      <c r="B32" s="48"/>
      <c r="C32" s="39" t="s">
        <v>44</v>
      </c>
      <c r="D32" s="35" t="s">
        <v>45</v>
      </c>
    </row>
    <row r="33" spans="1:4">
      <c r="A33" s="48"/>
      <c r="B33" s="48"/>
      <c r="C33" s="42" t="s">
        <v>44</v>
      </c>
      <c r="D33" s="35" t="s">
        <v>46</v>
      </c>
    </row>
    <row r="34" spans="1:4">
      <c r="A34" s="48"/>
      <c r="B34" s="48"/>
    </row>
    <row r="35" spans="1:4">
      <c r="A35" s="48"/>
      <c r="B35" s="48"/>
      <c r="C35" s="48"/>
      <c r="D35" s="48"/>
    </row>
    <row r="36" spans="1:4"/>
    <row r="37" spans="1:4"/>
    <row r="38" spans="1:4"/>
    <row r="39" spans="1:4"/>
  </sheetData>
  <mergeCells count="4">
    <mergeCell ref="E15:G15"/>
    <mergeCell ref="E21:G21"/>
    <mergeCell ref="E17:G17"/>
    <mergeCell ref="E19:G19"/>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E17:G17</xm:sqref>
        </x14:dataValidation>
        <x14:dataValidation type="list" allowBlank="1" showInputMessage="1" showErrorMessage="1" xr:uid="{4C9092B5-FF6F-42C3-B283-8A5B9FE8CDFF}">
          <x14:formula1>
            <xm:f>'1.3 Lists'!$D$11:$D$12</xm:f>
          </x14:formula1>
          <xm:sqref>E15:G15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K82"/>
  <sheetViews>
    <sheetView zoomScale="80" zoomScaleNormal="80" workbookViewId="0"/>
  </sheetViews>
  <sheetFormatPr defaultRowHeight="14.25"/>
  <cols>
    <col min="1" max="3" width="1.73046875" customWidth="1"/>
    <col min="4" max="4" width="8.1328125" bestFit="1" customWidth="1"/>
    <col min="5" max="5" width="5" bestFit="1" customWidth="1"/>
    <col min="6" max="7" width="12.3984375" style="435" bestFit="1" customWidth="1"/>
    <col min="8" max="8" width="25.73046875" bestFit="1" customWidth="1"/>
    <col min="9" max="9" width="9.3984375" bestFit="1" customWidth="1"/>
    <col min="10" max="10" width="43" customWidth="1"/>
    <col min="11" max="11" width="36" bestFit="1" customWidth="1"/>
    <col min="12" max="12" width="11.1328125" bestFit="1" customWidth="1"/>
    <col min="13" max="13" width="1.73046875" customWidth="1"/>
    <col min="14" max="14" width="28.265625" bestFit="1" customWidth="1"/>
    <col min="15" max="15" width="14.86328125" bestFit="1" customWidth="1"/>
    <col min="16" max="17" width="1.73046875" customWidth="1"/>
    <col min="18" max="28" width="1.73046875" hidden="1" customWidth="1"/>
    <col min="29" max="29" width="6.265625" bestFit="1" customWidth="1"/>
    <col min="30" max="30" width="7.73046875" customWidth="1"/>
  </cols>
  <sheetData>
    <row r="1" spans="1:37" s="73" customFormat="1" ht="23.25">
      <c r="A1" s="89" t="str">
        <f>'1.1 Cover'!A2</f>
        <v>Regulatory Reporting Pack</v>
      </c>
    </row>
    <row r="2" spans="1:37" s="73" customFormat="1" ht="22.5" customHeight="1">
      <c r="A2" s="89" t="str">
        <f>'1.1 Cover'!A3</f>
        <v>Price base - 2018/19</v>
      </c>
    </row>
    <row r="3" spans="1:37" s="73" customFormat="1" ht="23.25">
      <c r="A3" s="89" t="str">
        <f>'1.1 Cover'!A4</f>
        <v>Regulatory Year: April 2021 - March 2022</v>
      </c>
    </row>
    <row r="4" spans="1:37" s="73" customFormat="1" ht="23.25">
      <c r="A4" s="89" t="s">
        <v>2632</v>
      </c>
    </row>
    <row r="5" spans="1:37" s="435" customFormat="1">
      <c r="AE5" s="1350" t="s">
        <v>2625</v>
      </c>
      <c r="AF5" s="1350"/>
      <c r="AG5" s="1350"/>
      <c r="AH5" s="1350"/>
      <c r="AI5" s="1350"/>
    </row>
    <row r="6" spans="1:37" s="435" customFormat="1">
      <c r="AE6" s="1347" t="s">
        <v>112</v>
      </c>
      <c r="AF6" s="1348"/>
      <c r="AG6" s="1348"/>
      <c r="AH6" s="1348"/>
      <c r="AI6" s="1349"/>
    </row>
    <row r="7" spans="1:37" s="67" customFormat="1">
      <c r="D7" s="87" t="s">
        <v>111</v>
      </c>
      <c r="E7" s="87" t="s">
        <v>68</v>
      </c>
      <c r="F7" s="87" t="s">
        <v>2680</v>
      </c>
      <c r="G7" s="87" t="s">
        <v>2684</v>
      </c>
      <c r="H7" s="87" t="s">
        <v>110</v>
      </c>
      <c r="I7" s="87" t="s">
        <v>109</v>
      </c>
      <c r="J7" s="87" t="s">
        <v>108</v>
      </c>
      <c r="K7" s="87" t="s">
        <v>107</v>
      </c>
      <c r="L7" s="87" t="s">
        <v>106</v>
      </c>
      <c r="M7" s="87" t="s">
        <v>105</v>
      </c>
      <c r="N7" s="87" t="s">
        <v>104</v>
      </c>
      <c r="O7" s="87" t="s">
        <v>103</v>
      </c>
      <c r="P7" s="87"/>
      <c r="Q7" s="87"/>
      <c r="R7" s="86" t="s">
        <v>101</v>
      </c>
      <c r="S7" s="86" t="s">
        <v>100</v>
      </c>
      <c r="T7" s="86" t="s">
        <v>99</v>
      </c>
      <c r="U7" s="86" t="s">
        <v>98</v>
      </c>
      <c r="V7" s="86" t="s">
        <v>97</v>
      </c>
      <c r="W7" s="86" t="s">
        <v>96</v>
      </c>
      <c r="X7" s="86" t="s">
        <v>95</v>
      </c>
      <c r="Y7" s="86" t="s">
        <v>94</v>
      </c>
      <c r="Z7" s="86" t="s">
        <v>93</v>
      </c>
      <c r="AA7" s="86" t="s">
        <v>92</v>
      </c>
      <c r="AB7" s="86" t="s">
        <v>89</v>
      </c>
      <c r="AC7" s="67" t="s">
        <v>5</v>
      </c>
      <c r="AD7" s="435"/>
      <c r="AE7" s="84">
        <v>2022</v>
      </c>
      <c r="AF7" s="83">
        <v>2023</v>
      </c>
      <c r="AG7" s="83">
        <v>2024</v>
      </c>
      <c r="AH7" s="83">
        <v>2025</v>
      </c>
      <c r="AI7" s="82">
        <v>2026</v>
      </c>
      <c r="AJ7" s="435"/>
    </row>
    <row r="8" spans="1:37">
      <c r="R8" s="67"/>
      <c r="S8" s="67"/>
      <c r="T8" s="67"/>
      <c r="U8" s="67"/>
    </row>
    <row r="9" spans="1:37" s="1" customFormat="1" ht="17.649999999999999">
      <c r="A9" s="2" t="s">
        <v>2630</v>
      </c>
      <c r="B9" s="2"/>
    </row>
    <row r="10" spans="1:37" s="435" customFormat="1"/>
    <row r="11" spans="1:37" s="1" customFormat="1" ht="13.9">
      <c r="A11" s="66"/>
      <c r="B11" s="78" t="s">
        <v>2635</v>
      </c>
    </row>
    <row r="12" spans="1:37" s="435" customFormat="1"/>
    <row r="13" spans="1:37" s="435" customFormat="1">
      <c r="D13" s="435" t="s">
        <v>79</v>
      </c>
      <c r="E13" s="435" t="s">
        <v>68</v>
      </c>
      <c r="F13" s="435" t="s">
        <v>274</v>
      </c>
      <c r="G13" s="435" t="s">
        <v>12</v>
      </c>
      <c r="H13" s="435" t="s">
        <v>276</v>
      </c>
      <c r="I13" s="435" t="s">
        <v>7</v>
      </c>
      <c r="J13" s="435" t="s">
        <v>277</v>
      </c>
      <c r="K13" s="436" t="s">
        <v>1054</v>
      </c>
      <c r="N13" s="436" t="s">
        <v>1054</v>
      </c>
      <c r="O13" s="435" t="s">
        <v>232</v>
      </c>
      <c r="AC13" s="435" t="s">
        <v>2</v>
      </c>
      <c r="AE13" s="93">
        <f>SUMIFS('6.1_Capex_summary'!AE$11:AE$167,'6.1_Capex_summary'!$F$11:$F$167,$F13,'6.1_Capex_summary'!$H$11:$H$167,$H13,'6.1_Capex_summary'!$J$11:$J$167,$J13,'6.1_Capex_summary'!$K$11:$K$167,$K13,'6.1_Capex_summary'!$N$11:$N$167,$N13)</f>
        <v>0</v>
      </c>
      <c r="AF13" s="93">
        <f>SUMIFS('6.1_Capex_summary'!AF$11:AF$167,'6.1_Capex_summary'!$F$11:$F$167,$F13,'6.1_Capex_summary'!$H$11:$H$167,$H13,'6.1_Capex_summary'!$J$11:$J$167,$J13,'6.1_Capex_summary'!$K$11:$K$167,$K13,'6.1_Capex_summary'!$N$11:$N$167,$N13)</f>
        <v>0</v>
      </c>
      <c r="AG13" s="93">
        <f>SUMIFS('6.1_Capex_summary'!AG$11:AG$167,'6.1_Capex_summary'!$F$11:$F$167,$F13,'6.1_Capex_summary'!$H$11:$H$167,$H13,'6.1_Capex_summary'!$J$11:$J$167,$J13,'6.1_Capex_summary'!$K$11:$K$167,$K13,'6.1_Capex_summary'!$N$11:$N$167,$N13)</f>
        <v>0</v>
      </c>
      <c r="AH13" s="93">
        <f>SUMIFS('6.1_Capex_summary'!AH$11:AH$167,'6.1_Capex_summary'!$F$11:$F$167,$F13,'6.1_Capex_summary'!$H$11:$H$167,$H13,'6.1_Capex_summary'!$J$11:$J$167,$J13,'6.1_Capex_summary'!$K$11:$K$167,$K13,'6.1_Capex_summary'!$N$11:$N$167,$N13)</f>
        <v>0</v>
      </c>
      <c r="AI13" s="93">
        <f>SUMIFS('6.1_Capex_summary'!AI$11:AI$167,'6.1_Capex_summary'!$F$11:$F$167,$F13,'6.1_Capex_summary'!$H$11:$H$167,$H13,'6.1_Capex_summary'!$J$11:$J$167,$J13,'6.1_Capex_summary'!$K$11:$K$167,$K13,'6.1_Capex_summary'!$N$11:$N$167,$N13)</f>
        <v>0</v>
      </c>
      <c r="AK13" s="435" t="s">
        <v>2871</v>
      </c>
    </row>
    <row r="14" spans="1:37" s="435" customFormat="1">
      <c r="D14" s="435" t="s">
        <v>79</v>
      </c>
      <c r="E14" s="435" t="s">
        <v>68</v>
      </c>
      <c r="F14" s="435" t="s">
        <v>274</v>
      </c>
      <c r="G14" s="435" t="s">
        <v>12</v>
      </c>
      <c r="H14" s="435" t="s">
        <v>276</v>
      </c>
      <c r="I14" s="435" t="s">
        <v>7</v>
      </c>
      <c r="J14" s="435" t="s">
        <v>278</v>
      </c>
      <c r="K14" s="436" t="s">
        <v>1054</v>
      </c>
      <c r="N14" s="436" t="s">
        <v>1054</v>
      </c>
      <c r="O14" s="435" t="s">
        <v>232</v>
      </c>
      <c r="AC14" s="435" t="s">
        <v>2</v>
      </c>
      <c r="AE14" s="93">
        <f>SUMIFS('6.1_Capex_summary'!AE$11:AE$167,'6.1_Capex_summary'!$F$11:$F$167,$F14,'6.1_Capex_summary'!$H$11:$H$167,$H14,'6.1_Capex_summary'!$J$11:$J$167,$J14,'6.1_Capex_summary'!$K$11:$K$167,$K14,'6.1_Capex_summary'!$N$11:$N$167,$N14)</f>
        <v>0</v>
      </c>
      <c r="AF14" s="93">
        <f>SUMIFS('6.1_Capex_summary'!AF$11:AF$167,'6.1_Capex_summary'!$F$11:$F$167,$F14,'6.1_Capex_summary'!$H$11:$H$167,$H14,'6.1_Capex_summary'!$J$11:$J$167,$J14,'6.1_Capex_summary'!$K$11:$K$167,$K14,'6.1_Capex_summary'!$N$11:$N$167,$N14)</f>
        <v>0</v>
      </c>
      <c r="AG14" s="93">
        <f>SUMIFS('6.1_Capex_summary'!AG$11:AG$167,'6.1_Capex_summary'!$F$11:$F$167,$F14,'6.1_Capex_summary'!$H$11:$H$167,$H14,'6.1_Capex_summary'!$J$11:$J$167,$J14,'6.1_Capex_summary'!$K$11:$K$167,$K14,'6.1_Capex_summary'!$N$11:$N$167,$N14)</f>
        <v>0</v>
      </c>
      <c r="AH14" s="93">
        <f>SUMIFS('6.1_Capex_summary'!AH$11:AH$167,'6.1_Capex_summary'!$F$11:$F$167,$F14,'6.1_Capex_summary'!$H$11:$H$167,$H14,'6.1_Capex_summary'!$J$11:$J$167,$J14,'6.1_Capex_summary'!$K$11:$K$167,$K14,'6.1_Capex_summary'!$N$11:$N$167,$N14)</f>
        <v>0</v>
      </c>
      <c r="AI14" s="93">
        <f>SUMIFS('6.1_Capex_summary'!AI$11:AI$167,'6.1_Capex_summary'!$F$11:$F$167,$F14,'6.1_Capex_summary'!$H$11:$H$167,$H14,'6.1_Capex_summary'!$J$11:$J$167,$J14,'6.1_Capex_summary'!$K$11:$K$167,$K14,'6.1_Capex_summary'!$N$11:$N$167,$N14)</f>
        <v>0</v>
      </c>
      <c r="AK14" s="435" t="s">
        <v>2871</v>
      </c>
    </row>
    <row r="15" spans="1:37" s="435" customFormat="1">
      <c r="D15" s="435" t="s">
        <v>79</v>
      </c>
      <c r="E15" s="435" t="s">
        <v>68</v>
      </c>
      <c r="F15" s="435" t="s">
        <v>274</v>
      </c>
      <c r="G15" s="435" t="s">
        <v>12</v>
      </c>
      <c r="H15" s="435" t="s">
        <v>276</v>
      </c>
      <c r="I15" s="435" t="s">
        <v>7</v>
      </c>
      <c r="J15" s="435" t="s">
        <v>279</v>
      </c>
      <c r="K15" s="436" t="s">
        <v>1054</v>
      </c>
      <c r="N15" s="436" t="s">
        <v>1054</v>
      </c>
      <c r="O15" s="435" t="s">
        <v>232</v>
      </c>
      <c r="AC15" s="435" t="s">
        <v>2</v>
      </c>
      <c r="AE15" s="93">
        <f>SUMIFS('6.1_Capex_summary'!AE$11:AE$167,'6.1_Capex_summary'!$F$11:$F$167,$F15,'6.1_Capex_summary'!$H$11:$H$167,$H15,'6.1_Capex_summary'!$J$11:$J$167,$J15,'6.1_Capex_summary'!$K$11:$K$167,$K15,'6.1_Capex_summary'!$N$11:$N$167,$N15)</f>
        <v>0</v>
      </c>
      <c r="AF15" s="93">
        <f>SUMIFS('6.1_Capex_summary'!AF$11:AF$167,'6.1_Capex_summary'!$F$11:$F$167,$F15,'6.1_Capex_summary'!$H$11:$H$167,$H15,'6.1_Capex_summary'!$J$11:$J$167,$J15,'6.1_Capex_summary'!$K$11:$K$167,$K15,'6.1_Capex_summary'!$N$11:$N$167,$N15)</f>
        <v>0</v>
      </c>
      <c r="AG15" s="93">
        <f>SUMIFS('6.1_Capex_summary'!AG$11:AG$167,'6.1_Capex_summary'!$F$11:$F$167,$F15,'6.1_Capex_summary'!$H$11:$H$167,$H15,'6.1_Capex_summary'!$J$11:$J$167,$J15,'6.1_Capex_summary'!$K$11:$K$167,$K15,'6.1_Capex_summary'!$N$11:$N$167,$N15)</f>
        <v>0</v>
      </c>
      <c r="AH15" s="93">
        <f>SUMIFS('6.1_Capex_summary'!AH$11:AH$167,'6.1_Capex_summary'!$F$11:$F$167,$F15,'6.1_Capex_summary'!$H$11:$H$167,$H15,'6.1_Capex_summary'!$J$11:$J$167,$J15,'6.1_Capex_summary'!$K$11:$K$167,$K15,'6.1_Capex_summary'!$N$11:$N$167,$N15)</f>
        <v>0</v>
      </c>
      <c r="AI15" s="93">
        <f>SUMIFS('6.1_Capex_summary'!AI$11:AI$167,'6.1_Capex_summary'!$F$11:$F$167,$F15,'6.1_Capex_summary'!$H$11:$H$167,$H15,'6.1_Capex_summary'!$J$11:$J$167,$J15,'6.1_Capex_summary'!$K$11:$K$167,$K15,'6.1_Capex_summary'!$N$11:$N$167,$N15)</f>
        <v>0</v>
      </c>
      <c r="AK15" s="435" t="s">
        <v>2871</v>
      </c>
    </row>
    <row r="16" spans="1:37" s="435" customFormat="1">
      <c r="D16" s="435" t="s">
        <v>79</v>
      </c>
      <c r="E16" s="435" t="s">
        <v>68</v>
      </c>
      <c r="F16" s="435" t="s">
        <v>274</v>
      </c>
      <c r="G16" s="435" t="s">
        <v>12</v>
      </c>
      <c r="H16" s="435" t="s">
        <v>276</v>
      </c>
      <c r="I16" s="435" t="s">
        <v>7</v>
      </c>
      <c r="J16" s="435" t="s">
        <v>275</v>
      </c>
      <c r="K16" s="114" t="s">
        <v>283</v>
      </c>
      <c r="N16" s="436" t="s">
        <v>1054</v>
      </c>
      <c r="O16" s="435" t="s">
        <v>232</v>
      </c>
      <c r="AC16" s="435" t="s">
        <v>2</v>
      </c>
      <c r="AE16" s="93">
        <f>SUMIFS('6.1_Capex_summary'!AE$11:AE$167,'6.1_Capex_summary'!$F$11:$F$167,$F16,'6.1_Capex_summary'!$H$11:$H$167,$H16,'6.1_Capex_summary'!$J$11:$J$167,$J16,'6.1_Capex_summary'!$K$11:$K$167,$K16,'6.1_Capex_summary'!$N$11:$N$167,$N16)</f>
        <v>0</v>
      </c>
      <c r="AF16" s="93">
        <f>SUMIFS('6.1_Capex_summary'!AF$11:AF$167,'6.1_Capex_summary'!$F$11:$F$167,$F16,'6.1_Capex_summary'!$H$11:$H$167,$H16,'6.1_Capex_summary'!$J$11:$J$167,$J16,'6.1_Capex_summary'!$K$11:$K$167,$K16,'6.1_Capex_summary'!$N$11:$N$167,$N16)</f>
        <v>0</v>
      </c>
      <c r="AG16" s="93">
        <f>SUMIFS('6.1_Capex_summary'!AG$11:AG$167,'6.1_Capex_summary'!$F$11:$F$167,$F16,'6.1_Capex_summary'!$H$11:$H$167,$H16,'6.1_Capex_summary'!$J$11:$J$167,$J16,'6.1_Capex_summary'!$K$11:$K$167,$K16,'6.1_Capex_summary'!$N$11:$N$167,$N16)</f>
        <v>0</v>
      </c>
      <c r="AH16" s="93">
        <f>SUMIFS('6.1_Capex_summary'!AH$11:AH$167,'6.1_Capex_summary'!$F$11:$F$167,$F16,'6.1_Capex_summary'!$H$11:$H$167,$H16,'6.1_Capex_summary'!$J$11:$J$167,$J16,'6.1_Capex_summary'!$K$11:$K$167,$K16,'6.1_Capex_summary'!$N$11:$N$167,$N16)</f>
        <v>0</v>
      </c>
      <c r="AI16" s="93">
        <f>SUMIFS('6.1_Capex_summary'!AI$11:AI$167,'6.1_Capex_summary'!$F$11:$F$167,$F16,'6.1_Capex_summary'!$H$11:$H$167,$H16,'6.1_Capex_summary'!$J$11:$J$167,$J16,'6.1_Capex_summary'!$K$11:$K$167,$K16,'6.1_Capex_summary'!$N$11:$N$167,$N16)</f>
        <v>0</v>
      </c>
      <c r="AK16" s="435" t="s">
        <v>2871</v>
      </c>
    </row>
    <row r="17" spans="4:37" s="435" customFormat="1">
      <c r="D17" s="435" t="s">
        <v>79</v>
      </c>
      <c r="E17" s="435" t="s">
        <v>68</v>
      </c>
      <c r="F17" s="435" t="s">
        <v>274</v>
      </c>
      <c r="G17" s="435" t="s">
        <v>12</v>
      </c>
      <c r="H17" s="435" t="s">
        <v>276</v>
      </c>
      <c r="I17" s="435" t="s">
        <v>7</v>
      </c>
      <c r="J17" s="435" t="s">
        <v>275</v>
      </c>
      <c r="K17" s="114" t="s">
        <v>284</v>
      </c>
      <c r="N17" s="436" t="s">
        <v>1054</v>
      </c>
      <c r="O17" s="435" t="s">
        <v>232</v>
      </c>
      <c r="AC17" s="435" t="s">
        <v>2</v>
      </c>
      <c r="AE17" s="93">
        <f>SUMIFS('6.1_Capex_summary'!AE$11:AE$167,'6.1_Capex_summary'!$F$11:$F$167,$F17,'6.1_Capex_summary'!$H$11:$H$167,$H17,'6.1_Capex_summary'!$J$11:$J$167,$J17,'6.1_Capex_summary'!$K$11:$K$167,$K17,'6.1_Capex_summary'!$N$11:$N$167,$N17)</f>
        <v>0</v>
      </c>
      <c r="AF17" s="93">
        <f>SUMIFS('6.1_Capex_summary'!AF$11:AF$167,'6.1_Capex_summary'!$F$11:$F$167,$F17,'6.1_Capex_summary'!$H$11:$H$167,$H17,'6.1_Capex_summary'!$J$11:$J$167,$J17,'6.1_Capex_summary'!$K$11:$K$167,$K17,'6.1_Capex_summary'!$N$11:$N$167,$N17)</f>
        <v>0</v>
      </c>
      <c r="AG17" s="93">
        <f>SUMIFS('6.1_Capex_summary'!AG$11:AG$167,'6.1_Capex_summary'!$F$11:$F$167,$F17,'6.1_Capex_summary'!$H$11:$H$167,$H17,'6.1_Capex_summary'!$J$11:$J$167,$J17,'6.1_Capex_summary'!$K$11:$K$167,$K17,'6.1_Capex_summary'!$N$11:$N$167,$N17)</f>
        <v>0</v>
      </c>
      <c r="AH17" s="93">
        <f>SUMIFS('6.1_Capex_summary'!AH$11:AH$167,'6.1_Capex_summary'!$F$11:$F$167,$F17,'6.1_Capex_summary'!$H$11:$H$167,$H17,'6.1_Capex_summary'!$J$11:$J$167,$J17,'6.1_Capex_summary'!$K$11:$K$167,$K17,'6.1_Capex_summary'!$N$11:$N$167,$N17)</f>
        <v>0</v>
      </c>
      <c r="AI17" s="93">
        <f>SUMIFS('6.1_Capex_summary'!AI$11:AI$167,'6.1_Capex_summary'!$F$11:$F$167,$F17,'6.1_Capex_summary'!$H$11:$H$167,$H17,'6.1_Capex_summary'!$J$11:$J$167,$J17,'6.1_Capex_summary'!$K$11:$K$167,$K17,'6.1_Capex_summary'!$N$11:$N$167,$N17)</f>
        <v>0</v>
      </c>
      <c r="AK17" s="435" t="s">
        <v>2871</v>
      </c>
    </row>
    <row r="18" spans="4:37" s="435" customFormat="1">
      <c r="D18" s="435" t="s">
        <v>79</v>
      </c>
      <c r="E18" s="435" t="s">
        <v>68</v>
      </c>
      <c r="F18" s="435" t="s">
        <v>274</v>
      </c>
      <c r="G18" s="435" t="s">
        <v>12</v>
      </c>
      <c r="H18" s="435" t="s">
        <v>1759</v>
      </c>
      <c r="I18" s="435" t="s">
        <v>7</v>
      </c>
      <c r="J18" s="435" t="s">
        <v>1760</v>
      </c>
      <c r="K18" s="435" t="s">
        <v>252</v>
      </c>
      <c r="L18" s="435" t="s">
        <v>104</v>
      </c>
      <c r="N18" s="435" t="s">
        <v>280</v>
      </c>
      <c r="O18" s="435" t="s">
        <v>233</v>
      </c>
      <c r="AC18" s="435" t="s">
        <v>2</v>
      </c>
      <c r="AE18" s="93">
        <f>SUMIFS('6.1_Capex_summary'!AE$11:AE$167,'6.1_Capex_summary'!$F$11:$F$167,$F18,'6.1_Capex_summary'!$H$11:$H$167,$H18,'6.1_Capex_summary'!$J$11:$J$167,$J18,'6.1_Capex_summary'!$K$11:$K$167,$K18,'6.1_Capex_summary'!$N$11:$N$167,$N18)</f>
        <v>0</v>
      </c>
      <c r="AF18" s="93">
        <f>SUMIFS('6.1_Capex_summary'!AF$11:AF$167,'6.1_Capex_summary'!$F$11:$F$167,$F18,'6.1_Capex_summary'!$H$11:$H$167,$H18,'6.1_Capex_summary'!$J$11:$J$167,$J18,'6.1_Capex_summary'!$K$11:$K$167,$K18,'6.1_Capex_summary'!$N$11:$N$167,$N18)</f>
        <v>0</v>
      </c>
      <c r="AG18" s="93">
        <f>SUMIFS('6.1_Capex_summary'!AG$11:AG$167,'6.1_Capex_summary'!$F$11:$F$167,$F18,'6.1_Capex_summary'!$H$11:$H$167,$H18,'6.1_Capex_summary'!$J$11:$J$167,$J18,'6.1_Capex_summary'!$K$11:$K$167,$K18,'6.1_Capex_summary'!$N$11:$N$167,$N18)</f>
        <v>0</v>
      </c>
      <c r="AH18" s="93">
        <f>SUMIFS('6.1_Capex_summary'!AH$11:AH$167,'6.1_Capex_summary'!$F$11:$F$167,$F18,'6.1_Capex_summary'!$H$11:$H$167,$H18,'6.1_Capex_summary'!$J$11:$J$167,$J18,'6.1_Capex_summary'!$K$11:$K$167,$K18,'6.1_Capex_summary'!$N$11:$N$167,$N18)</f>
        <v>0</v>
      </c>
      <c r="AI18" s="93">
        <f>SUMIFS('6.1_Capex_summary'!AI$11:AI$167,'6.1_Capex_summary'!$F$11:$F$167,$F18,'6.1_Capex_summary'!$H$11:$H$167,$H18,'6.1_Capex_summary'!$J$11:$J$167,$J18,'6.1_Capex_summary'!$K$11:$K$167,$K18,'6.1_Capex_summary'!$N$11:$N$167,$N18)</f>
        <v>0</v>
      </c>
      <c r="AK18" s="435" t="s">
        <v>2871</v>
      </c>
    </row>
    <row r="19" spans="4:37" s="435" customFormat="1">
      <c r="D19" s="435" t="s">
        <v>79</v>
      </c>
      <c r="E19" s="435" t="s">
        <v>68</v>
      </c>
      <c r="F19" s="435" t="s">
        <v>274</v>
      </c>
      <c r="G19" s="435" t="s">
        <v>12</v>
      </c>
      <c r="H19" s="435" t="s">
        <v>1759</v>
      </c>
      <c r="I19" s="435" t="s">
        <v>7</v>
      </c>
      <c r="J19" s="435" t="s">
        <v>1760</v>
      </c>
      <c r="K19" s="435" t="s">
        <v>289</v>
      </c>
      <c r="L19" s="435" t="s">
        <v>104</v>
      </c>
      <c r="N19" s="435" t="s">
        <v>280</v>
      </c>
      <c r="O19" s="435" t="s">
        <v>233</v>
      </c>
      <c r="AC19" s="435" t="s">
        <v>2</v>
      </c>
      <c r="AE19" s="93">
        <f>SUMIFS('6.1_Capex_summary'!AE$11:AE$167,'6.1_Capex_summary'!$F$11:$F$167,$F19,'6.1_Capex_summary'!$H$11:$H$167,$H19,'6.1_Capex_summary'!$J$11:$J$167,$J19,'6.1_Capex_summary'!$K$11:$K$167,$K19,'6.1_Capex_summary'!$N$11:$N$167,$N19)</f>
        <v>0</v>
      </c>
      <c r="AF19" s="93">
        <f>SUMIFS('6.1_Capex_summary'!AF$11:AF$167,'6.1_Capex_summary'!$F$11:$F$167,$F19,'6.1_Capex_summary'!$H$11:$H$167,$H19,'6.1_Capex_summary'!$J$11:$J$167,$J19,'6.1_Capex_summary'!$K$11:$K$167,$K19,'6.1_Capex_summary'!$N$11:$N$167,$N19)</f>
        <v>0</v>
      </c>
      <c r="AG19" s="93">
        <f>SUMIFS('6.1_Capex_summary'!AG$11:AG$167,'6.1_Capex_summary'!$F$11:$F$167,$F19,'6.1_Capex_summary'!$H$11:$H$167,$H19,'6.1_Capex_summary'!$J$11:$J$167,$J19,'6.1_Capex_summary'!$K$11:$K$167,$K19,'6.1_Capex_summary'!$N$11:$N$167,$N19)</f>
        <v>0</v>
      </c>
      <c r="AH19" s="93">
        <f>SUMIFS('6.1_Capex_summary'!AH$11:AH$167,'6.1_Capex_summary'!$F$11:$F$167,$F19,'6.1_Capex_summary'!$H$11:$H$167,$H19,'6.1_Capex_summary'!$J$11:$J$167,$J19,'6.1_Capex_summary'!$K$11:$K$167,$K19,'6.1_Capex_summary'!$N$11:$N$167,$N19)</f>
        <v>0</v>
      </c>
      <c r="AI19" s="93">
        <f>SUMIFS('6.1_Capex_summary'!AI$11:AI$167,'6.1_Capex_summary'!$F$11:$F$167,$F19,'6.1_Capex_summary'!$H$11:$H$167,$H19,'6.1_Capex_summary'!$J$11:$J$167,$J19,'6.1_Capex_summary'!$K$11:$K$167,$K19,'6.1_Capex_summary'!$N$11:$N$167,$N19)</f>
        <v>0</v>
      </c>
      <c r="AK19" s="435" t="s">
        <v>2871</v>
      </c>
    </row>
    <row r="20" spans="4:37" s="435" customFormat="1">
      <c r="D20" s="435" t="s">
        <v>79</v>
      </c>
      <c r="E20" s="435" t="s">
        <v>68</v>
      </c>
      <c r="F20" s="435" t="s">
        <v>274</v>
      </c>
      <c r="G20" s="435" t="s">
        <v>12</v>
      </c>
      <c r="H20" s="435" t="s">
        <v>1759</v>
      </c>
      <c r="I20" s="435" t="s">
        <v>7</v>
      </c>
      <c r="J20" s="435" t="s">
        <v>1760</v>
      </c>
      <c r="K20" s="435" t="s">
        <v>1771</v>
      </c>
      <c r="L20" s="435" t="s">
        <v>104</v>
      </c>
      <c r="N20" s="435" t="s">
        <v>280</v>
      </c>
      <c r="O20" s="435" t="s">
        <v>233</v>
      </c>
      <c r="AC20" s="435" t="s">
        <v>2</v>
      </c>
      <c r="AE20" s="93">
        <f>SUMIFS('6.1_Capex_summary'!AE$11:AE$167,'6.1_Capex_summary'!$F$11:$F$167,$F20,'6.1_Capex_summary'!$H$11:$H$167,$H20,'6.1_Capex_summary'!$J$11:$J$167,$J20,'6.1_Capex_summary'!$K$11:$K$167,$K20,'6.1_Capex_summary'!$N$11:$N$167,$N20)</f>
        <v>0</v>
      </c>
      <c r="AF20" s="93">
        <f>SUMIFS('6.1_Capex_summary'!AF$11:AF$167,'6.1_Capex_summary'!$F$11:$F$167,$F20,'6.1_Capex_summary'!$H$11:$H$167,$H20,'6.1_Capex_summary'!$J$11:$J$167,$J20,'6.1_Capex_summary'!$K$11:$K$167,$K20,'6.1_Capex_summary'!$N$11:$N$167,$N20)</f>
        <v>0</v>
      </c>
      <c r="AG20" s="93">
        <f>SUMIFS('6.1_Capex_summary'!AG$11:AG$167,'6.1_Capex_summary'!$F$11:$F$167,$F20,'6.1_Capex_summary'!$H$11:$H$167,$H20,'6.1_Capex_summary'!$J$11:$J$167,$J20,'6.1_Capex_summary'!$K$11:$K$167,$K20,'6.1_Capex_summary'!$N$11:$N$167,$N20)</f>
        <v>0</v>
      </c>
      <c r="AH20" s="93">
        <f>SUMIFS('6.1_Capex_summary'!AH$11:AH$167,'6.1_Capex_summary'!$F$11:$F$167,$F20,'6.1_Capex_summary'!$H$11:$H$167,$H20,'6.1_Capex_summary'!$J$11:$J$167,$J20,'6.1_Capex_summary'!$K$11:$K$167,$K20,'6.1_Capex_summary'!$N$11:$N$167,$N20)</f>
        <v>0</v>
      </c>
      <c r="AI20" s="93">
        <f>SUMIFS('6.1_Capex_summary'!AI$11:AI$167,'6.1_Capex_summary'!$F$11:$F$167,$F20,'6.1_Capex_summary'!$H$11:$H$167,$H20,'6.1_Capex_summary'!$J$11:$J$167,$J20,'6.1_Capex_summary'!$K$11:$K$167,$K20,'6.1_Capex_summary'!$N$11:$N$167,$N20)</f>
        <v>0</v>
      </c>
      <c r="AK20" s="435" t="s">
        <v>2871</v>
      </c>
    </row>
    <row r="21" spans="4:37" s="435" customFormat="1">
      <c r="D21" s="435" t="s">
        <v>79</v>
      </c>
      <c r="E21" s="435" t="s">
        <v>68</v>
      </c>
      <c r="F21" s="435" t="s">
        <v>274</v>
      </c>
      <c r="G21" s="435" t="s">
        <v>12</v>
      </c>
      <c r="H21" s="435" t="s">
        <v>1759</v>
      </c>
      <c r="I21" s="435" t="s">
        <v>7</v>
      </c>
      <c r="J21" s="435" t="s">
        <v>1760</v>
      </c>
      <c r="K21" s="435" t="s">
        <v>288</v>
      </c>
      <c r="L21" s="435" t="s">
        <v>104</v>
      </c>
      <c r="N21" s="435" t="s">
        <v>280</v>
      </c>
      <c r="O21" s="435" t="s">
        <v>233</v>
      </c>
      <c r="AC21" s="435" t="s">
        <v>2</v>
      </c>
      <c r="AE21" s="93">
        <f>SUMIFS('6.1_Capex_summary'!AE$11:AE$167,'6.1_Capex_summary'!$F$11:$F$167,$F21,'6.1_Capex_summary'!$H$11:$H$167,$H21,'6.1_Capex_summary'!$J$11:$J$167,$J21,'6.1_Capex_summary'!$K$11:$K$167,$K21,'6.1_Capex_summary'!$N$11:$N$167,$N21)</f>
        <v>0</v>
      </c>
      <c r="AF21" s="93">
        <f>SUMIFS('6.1_Capex_summary'!AF$11:AF$167,'6.1_Capex_summary'!$F$11:$F$167,$F21,'6.1_Capex_summary'!$H$11:$H$167,$H21,'6.1_Capex_summary'!$J$11:$J$167,$J21,'6.1_Capex_summary'!$K$11:$K$167,$K21,'6.1_Capex_summary'!$N$11:$N$167,$N21)</f>
        <v>0</v>
      </c>
      <c r="AG21" s="93">
        <f>SUMIFS('6.1_Capex_summary'!AG$11:AG$167,'6.1_Capex_summary'!$F$11:$F$167,$F21,'6.1_Capex_summary'!$H$11:$H$167,$H21,'6.1_Capex_summary'!$J$11:$J$167,$J21,'6.1_Capex_summary'!$K$11:$K$167,$K21,'6.1_Capex_summary'!$N$11:$N$167,$N21)</f>
        <v>0</v>
      </c>
      <c r="AH21" s="93">
        <f>SUMIFS('6.1_Capex_summary'!AH$11:AH$167,'6.1_Capex_summary'!$F$11:$F$167,$F21,'6.1_Capex_summary'!$H$11:$H$167,$H21,'6.1_Capex_summary'!$J$11:$J$167,$J21,'6.1_Capex_summary'!$K$11:$K$167,$K21,'6.1_Capex_summary'!$N$11:$N$167,$N21)</f>
        <v>0</v>
      </c>
      <c r="AI21" s="93">
        <f>SUMIFS('6.1_Capex_summary'!AI$11:AI$167,'6.1_Capex_summary'!$F$11:$F$167,$F21,'6.1_Capex_summary'!$H$11:$H$167,$H21,'6.1_Capex_summary'!$J$11:$J$167,$J21,'6.1_Capex_summary'!$K$11:$K$167,$K21,'6.1_Capex_summary'!$N$11:$N$167,$N21)</f>
        <v>0</v>
      </c>
      <c r="AK21" s="435" t="s">
        <v>2871</v>
      </c>
    </row>
    <row r="22" spans="4:37" s="435" customFormat="1">
      <c r="D22" s="435" t="s">
        <v>79</v>
      </c>
      <c r="E22" s="435" t="s">
        <v>68</v>
      </c>
      <c r="F22" s="435" t="s">
        <v>274</v>
      </c>
      <c r="G22" s="435" t="s">
        <v>12</v>
      </c>
      <c r="H22" s="435" t="s">
        <v>1759</v>
      </c>
      <c r="I22" s="435" t="s">
        <v>7</v>
      </c>
      <c r="J22" s="435" t="s">
        <v>1760</v>
      </c>
      <c r="K22" s="435" t="s">
        <v>1053</v>
      </c>
      <c r="L22" s="435" t="s">
        <v>104</v>
      </c>
      <c r="N22" s="435" t="s">
        <v>280</v>
      </c>
      <c r="O22" s="435" t="s">
        <v>233</v>
      </c>
      <c r="AC22" s="435" t="s">
        <v>2</v>
      </c>
      <c r="AE22" s="93">
        <f>SUMIFS('6.1_Capex_summary'!AE$11:AE$167,'6.1_Capex_summary'!$F$11:$F$167,$F22,'6.1_Capex_summary'!$H$11:$H$167,$H22,'6.1_Capex_summary'!$J$11:$J$167,$J22,'6.1_Capex_summary'!$K$11:$K$167,$K22,'6.1_Capex_summary'!$N$11:$N$167,$N22)</f>
        <v>0</v>
      </c>
      <c r="AF22" s="93">
        <f>SUMIFS('6.1_Capex_summary'!AF$11:AF$167,'6.1_Capex_summary'!$F$11:$F$167,$F22,'6.1_Capex_summary'!$H$11:$H$167,$H22,'6.1_Capex_summary'!$J$11:$J$167,$J22,'6.1_Capex_summary'!$K$11:$K$167,$K22,'6.1_Capex_summary'!$N$11:$N$167,$N22)</f>
        <v>0</v>
      </c>
      <c r="AG22" s="93">
        <f>SUMIFS('6.1_Capex_summary'!AG$11:AG$167,'6.1_Capex_summary'!$F$11:$F$167,$F22,'6.1_Capex_summary'!$H$11:$H$167,$H22,'6.1_Capex_summary'!$J$11:$J$167,$J22,'6.1_Capex_summary'!$K$11:$K$167,$K22,'6.1_Capex_summary'!$N$11:$N$167,$N22)</f>
        <v>0</v>
      </c>
      <c r="AH22" s="93">
        <f>SUMIFS('6.1_Capex_summary'!AH$11:AH$167,'6.1_Capex_summary'!$F$11:$F$167,$F22,'6.1_Capex_summary'!$H$11:$H$167,$H22,'6.1_Capex_summary'!$J$11:$J$167,$J22,'6.1_Capex_summary'!$K$11:$K$167,$K22,'6.1_Capex_summary'!$N$11:$N$167,$N22)</f>
        <v>0</v>
      </c>
      <c r="AI22" s="93">
        <f>SUMIFS('6.1_Capex_summary'!AI$11:AI$167,'6.1_Capex_summary'!$F$11:$F$167,$F22,'6.1_Capex_summary'!$H$11:$H$167,$H22,'6.1_Capex_summary'!$J$11:$J$167,$J22,'6.1_Capex_summary'!$K$11:$K$167,$K22,'6.1_Capex_summary'!$N$11:$N$167,$N22)</f>
        <v>0</v>
      </c>
      <c r="AK22" s="435" t="s">
        <v>2871</v>
      </c>
    </row>
    <row r="23" spans="4:37" s="435" customFormat="1">
      <c r="D23" s="435" t="s">
        <v>79</v>
      </c>
      <c r="E23" s="435" t="s">
        <v>68</v>
      </c>
      <c r="F23" s="435" t="s">
        <v>274</v>
      </c>
      <c r="G23" s="435" t="s">
        <v>12</v>
      </c>
      <c r="H23" s="435" t="s">
        <v>1759</v>
      </c>
      <c r="I23" s="435" t="s">
        <v>7</v>
      </c>
      <c r="J23" s="435" t="s">
        <v>1760</v>
      </c>
      <c r="K23" s="435" t="s">
        <v>286</v>
      </c>
      <c r="N23" s="436" t="s">
        <v>1054</v>
      </c>
      <c r="O23" s="435" t="s">
        <v>233</v>
      </c>
      <c r="AC23" s="435" t="s">
        <v>2</v>
      </c>
      <c r="AE23" s="93">
        <f>SUMIFS('6.1_Capex_summary'!AE$11:AE$167,'6.1_Capex_summary'!$F$11:$F$167,$F23,'6.1_Capex_summary'!$H$11:$H$167,$H23,'6.1_Capex_summary'!$J$11:$J$167,$J23,'6.1_Capex_summary'!$K$11:$K$167,$K23,'6.1_Capex_summary'!$N$11:$N$167,$N23)</f>
        <v>0</v>
      </c>
      <c r="AF23" s="93">
        <f>SUMIFS('6.1_Capex_summary'!AF$11:AF$167,'6.1_Capex_summary'!$F$11:$F$167,$F23,'6.1_Capex_summary'!$H$11:$H$167,$H23,'6.1_Capex_summary'!$J$11:$J$167,$J23,'6.1_Capex_summary'!$K$11:$K$167,$K23,'6.1_Capex_summary'!$N$11:$N$167,$N23)</f>
        <v>0</v>
      </c>
      <c r="AG23" s="93">
        <f>SUMIFS('6.1_Capex_summary'!AG$11:AG$167,'6.1_Capex_summary'!$F$11:$F$167,$F23,'6.1_Capex_summary'!$H$11:$H$167,$H23,'6.1_Capex_summary'!$J$11:$J$167,$J23,'6.1_Capex_summary'!$K$11:$K$167,$K23,'6.1_Capex_summary'!$N$11:$N$167,$N23)</f>
        <v>0</v>
      </c>
      <c r="AH23" s="93">
        <f>SUMIFS('6.1_Capex_summary'!AH$11:AH$167,'6.1_Capex_summary'!$F$11:$F$167,$F23,'6.1_Capex_summary'!$H$11:$H$167,$H23,'6.1_Capex_summary'!$J$11:$J$167,$J23,'6.1_Capex_summary'!$K$11:$K$167,$K23,'6.1_Capex_summary'!$N$11:$N$167,$N23)</f>
        <v>0</v>
      </c>
      <c r="AI23" s="93">
        <f>SUMIFS('6.1_Capex_summary'!AI$11:AI$167,'6.1_Capex_summary'!$F$11:$F$167,$F23,'6.1_Capex_summary'!$H$11:$H$167,$H23,'6.1_Capex_summary'!$J$11:$J$167,$J23,'6.1_Capex_summary'!$K$11:$K$167,$K23,'6.1_Capex_summary'!$N$11:$N$167,$N23)</f>
        <v>0</v>
      </c>
      <c r="AK23" s="435" t="s">
        <v>2871</v>
      </c>
    </row>
    <row r="24" spans="4:37" s="435" customFormat="1">
      <c r="D24" s="435" t="s">
        <v>79</v>
      </c>
      <c r="E24" s="435" t="s">
        <v>68</v>
      </c>
      <c r="F24" s="435" t="s">
        <v>274</v>
      </c>
      <c r="G24" s="435" t="s">
        <v>12</v>
      </c>
      <c r="H24" s="435" t="s">
        <v>1759</v>
      </c>
      <c r="I24" s="435" t="s">
        <v>7</v>
      </c>
      <c r="J24" s="435" t="s">
        <v>1760</v>
      </c>
      <c r="K24" s="435" t="s">
        <v>285</v>
      </c>
      <c r="N24" s="436" t="s">
        <v>1054</v>
      </c>
      <c r="O24" s="435" t="s">
        <v>233</v>
      </c>
      <c r="AC24" s="435" t="s">
        <v>2</v>
      </c>
      <c r="AE24" s="93">
        <f>SUMIFS('6.1_Capex_summary'!AE$11:AE$167,'6.1_Capex_summary'!$F$11:$F$167,$F24,'6.1_Capex_summary'!$H$11:$H$167,$H24,'6.1_Capex_summary'!$J$11:$J$167,$J24,'6.1_Capex_summary'!$K$11:$K$167,$K24,'6.1_Capex_summary'!$N$11:$N$167,$N24)</f>
        <v>0</v>
      </c>
      <c r="AF24" s="93">
        <f>SUMIFS('6.1_Capex_summary'!AF$11:AF$167,'6.1_Capex_summary'!$F$11:$F$167,$F24,'6.1_Capex_summary'!$H$11:$H$167,$H24,'6.1_Capex_summary'!$J$11:$J$167,$J24,'6.1_Capex_summary'!$K$11:$K$167,$K24,'6.1_Capex_summary'!$N$11:$N$167,$N24)</f>
        <v>0</v>
      </c>
      <c r="AG24" s="93">
        <f>SUMIFS('6.1_Capex_summary'!AG$11:AG$167,'6.1_Capex_summary'!$F$11:$F$167,$F24,'6.1_Capex_summary'!$H$11:$H$167,$H24,'6.1_Capex_summary'!$J$11:$J$167,$J24,'6.1_Capex_summary'!$K$11:$K$167,$K24,'6.1_Capex_summary'!$N$11:$N$167,$N24)</f>
        <v>0</v>
      </c>
      <c r="AH24" s="93">
        <f>SUMIFS('6.1_Capex_summary'!AH$11:AH$167,'6.1_Capex_summary'!$F$11:$F$167,$F24,'6.1_Capex_summary'!$H$11:$H$167,$H24,'6.1_Capex_summary'!$J$11:$J$167,$J24,'6.1_Capex_summary'!$K$11:$K$167,$K24,'6.1_Capex_summary'!$N$11:$N$167,$N24)</f>
        <v>0</v>
      </c>
      <c r="AI24" s="93">
        <f>SUMIFS('6.1_Capex_summary'!AI$11:AI$167,'6.1_Capex_summary'!$F$11:$F$167,$F24,'6.1_Capex_summary'!$H$11:$H$167,$H24,'6.1_Capex_summary'!$J$11:$J$167,$J24,'6.1_Capex_summary'!$K$11:$K$167,$K24,'6.1_Capex_summary'!$N$11:$N$167,$N24)</f>
        <v>0</v>
      </c>
      <c r="AK24" s="435" t="s">
        <v>2871</v>
      </c>
    </row>
    <row r="25" spans="4:37" s="435" customFormat="1">
      <c r="D25" s="435" t="s">
        <v>79</v>
      </c>
      <c r="E25" s="435" t="s">
        <v>68</v>
      </c>
      <c r="F25" s="435" t="s">
        <v>274</v>
      </c>
      <c r="G25" s="435" t="s">
        <v>12</v>
      </c>
      <c r="H25" s="435" t="s">
        <v>1759</v>
      </c>
      <c r="I25" s="435" t="s">
        <v>7</v>
      </c>
      <c r="J25" s="435" t="s">
        <v>299</v>
      </c>
      <c r="K25" s="435" t="s">
        <v>255</v>
      </c>
      <c r="N25" s="436" t="s">
        <v>1054</v>
      </c>
      <c r="O25" s="435" t="s">
        <v>233</v>
      </c>
      <c r="AC25" s="435" t="s">
        <v>2</v>
      </c>
      <c r="AE25" s="93">
        <f>SUMIFS('6.1_Capex_summary'!AE$11:AE$167,'6.1_Capex_summary'!$F$11:$F$167,$F25,'6.1_Capex_summary'!$H$11:$H$167,$H25,'6.1_Capex_summary'!$J$11:$J$167,$J25,'6.1_Capex_summary'!$K$11:$K$167,$K25,'6.1_Capex_summary'!$N$11:$N$167,$N25)</f>
        <v>0</v>
      </c>
      <c r="AF25" s="93">
        <f>SUMIFS('6.1_Capex_summary'!AF$11:AF$167,'6.1_Capex_summary'!$F$11:$F$167,$F25,'6.1_Capex_summary'!$H$11:$H$167,$H25,'6.1_Capex_summary'!$J$11:$J$167,$J25,'6.1_Capex_summary'!$K$11:$K$167,$K25,'6.1_Capex_summary'!$N$11:$N$167,$N25)</f>
        <v>0</v>
      </c>
      <c r="AG25" s="93">
        <f>SUMIFS('6.1_Capex_summary'!AG$11:AG$167,'6.1_Capex_summary'!$F$11:$F$167,$F25,'6.1_Capex_summary'!$H$11:$H$167,$H25,'6.1_Capex_summary'!$J$11:$J$167,$J25,'6.1_Capex_summary'!$K$11:$K$167,$K25,'6.1_Capex_summary'!$N$11:$N$167,$N25)</f>
        <v>0</v>
      </c>
      <c r="AH25" s="93">
        <f>SUMIFS('6.1_Capex_summary'!AH$11:AH$167,'6.1_Capex_summary'!$F$11:$F$167,$F25,'6.1_Capex_summary'!$H$11:$H$167,$H25,'6.1_Capex_summary'!$J$11:$J$167,$J25,'6.1_Capex_summary'!$K$11:$K$167,$K25,'6.1_Capex_summary'!$N$11:$N$167,$N25)</f>
        <v>0</v>
      </c>
      <c r="AI25" s="93">
        <f>SUMIFS('6.1_Capex_summary'!AI$11:AI$167,'6.1_Capex_summary'!$F$11:$F$167,$F25,'6.1_Capex_summary'!$H$11:$H$167,$H25,'6.1_Capex_summary'!$J$11:$J$167,$J25,'6.1_Capex_summary'!$K$11:$K$167,$K25,'6.1_Capex_summary'!$N$11:$N$167,$N25)</f>
        <v>0</v>
      </c>
      <c r="AK25" s="435" t="s">
        <v>2871</v>
      </c>
    </row>
    <row r="26" spans="4:37" s="435" customFormat="1">
      <c r="D26" s="435" t="s">
        <v>79</v>
      </c>
      <c r="E26" s="435" t="s">
        <v>68</v>
      </c>
      <c r="F26" s="435" t="s">
        <v>274</v>
      </c>
      <c r="G26" s="435" t="s">
        <v>12</v>
      </c>
      <c r="H26" s="435" t="s">
        <v>1759</v>
      </c>
      <c r="I26" s="435" t="s">
        <v>7</v>
      </c>
      <c r="J26" s="435" t="s">
        <v>299</v>
      </c>
      <c r="K26" s="435" t="s">
        <v>255</v>
      </c>
      <c r="N26" s="435" t="s">
        <v>829</v>
      </c>
      <c r="O26" s="435" t="s">
        <v>233</v>
      </c>
      <c r="AC26" s="435" t="s">
        <v>2</v>
      </c>
      <c r="AE26" s="93">
        <f>SUMIFS('6.1_Capex_summary'!AE$11:AE$167,'6.1_Capex_summary'!$F$11:$F$167,$F26,'6.1_Capex_summary'!$H$11:$H$167,$H26,'6.1_Capex_summary'!$J$11:$J$167,$J26,'6.1_Capex_summary'!$K$11:$K$167,$K26,'6.1_Capex_summary'!$N$11:$N$167,$N26)</f>
        <v>0</v>
      </c>
      <c r="AF26" s="93">
        <f>SUMIFS('6.1_Capex_summary'!AF$11:AF$167,'6.1_Capex_summary'!$F$11:$F$167,$F26,'6.1_Capex_summary'!$H$11:$H$167,$H26,'6.1_Capex_summary'!$J$11:$J$167,$J26,'6.1_Capex_summary'!$K$11:$K$167,$K26,'6.1_Capex_summary'!$N$11:$N$167,$N26)</f>
        <v>0</v>
      </c>
      <c r="AG26" s="93">
        <f>SUMIFS('6.1_Capex_summary'!AG$11:AG$167,'6.1_Capex_summary'!$F$11:$F$167,$F26,'6.1_Capex_summary'!$H$11:$H$167,$H26,'6.1_Capex_summary'!$J$11:$J$167,$J26,'6.1_Capex_summary'!$K$11:$K$167,$K26,'6.1_Capex_summary'!$N$11:$N$167,$N26)</f>
        <v>0</v>
      </c>
      <c r="AH26" s="93">
        <f>SUMIFS('6.1_Capex_summary'!AH$11:AH$167,'6.1_Capex_summary'!$F$11:$F$167,$F26,'6.1_Capex_summary'!$H$11:$H$167,$H26,'6.1_Capex_summary'!$J$11:$J$167,$J26,'6.1_Capex_summary'!$K$11:$K$167,$K26,'6.1_Capex_summary'!$N$11:$N$167,$N26)</f>
        <v>0</v>
      </c>
      <c r="AI26" s="93">
        <f>SUMIFS('6.1_Capex_summary'!AI$11:AI$167,'6.1_Capex_summary'!$F$11:$F$167,$F26,'6.1_Capex_summary'!$H$11:$H$167,$H26,'6.1_Capex_summary'!$J$11:$J$167,$J26,'6.1_Capex_summary'!$K$11:$K$167,$K26,'6.1_Capex_summary'!$N$11:$N$167,$N26)</f>
        <v>0</v>
      </c>
      <c r="AK26" s="435" t="s">
        <v>2871</v>
      </c>
    </row>
    <row r="27" spans="4:37" s="435" customFormat="1">
      <c r="D27" s="435" t="s">
        <v>79</v>
      </c>
      <c r="E27" s="435" t="s">
        <v>68</v>
      </c>
      <c r="F27" s="435" t="s">
        <v>274</v>
      </c>
      <c r="G27" s="435" t="s">
        <v>12</v>
      </c>
      <c r="H27" s="435" t="s">
        <v>1759</v>
      </c>
      <c r="I27" s="435" t="s">
        <v>7</v>
      </c>
      <c r="J27" s="435" t="s">
        <v>299</v>
      </c>
      <c r="K27" s="435" t="s">
        <v>323</v>
      </c>
      <c r="N27" s="436" t="s">
        <v>1054</v>
      </c>
      <c r="O27" s="435" t="s">
        <v>233</v>
      </c>
      <c r="AC27" s="435" t="s">
        <v>2</v>
      </c>
      <c r="AE27" s="93">
        <f>SUMIFS('6.1_Capex_summary'!AE$11:AE$167,'6.1_Capex_summary'!$F$11:$F$167,$F27,'6.1_Capex_summary'!$H$11:$H$167,$H27,'6.1_Capex_summary'!$J$11:$J$167,$J27,'6.1_Capex_summary'!$K$11:$K$167,$K27,'6.1_Capex_summary'!$N$11:$N$167,$N27)</f>
        <v>0</v>
      </c>
      <c r="AF27" s="93">
        <f>SUMIFS('6.1_Capex_summary'!AF$11:AF$167,'6.1_Capex_summary'!$F$11:$F$167,$F27,'6.1_Capex_summary'!$H$11:$H$167,$H27,'6.1_Capex_summary'!$J$11:$J$167,$J27,'6.1_Capex_summary'!$K$11:$K$167,$K27,'6.1_Capex_summary'!$N$11:$N$167,$N27)</f>
        <v>0</v>
      </c>
      <c r="AG27" s="93">
        <f>SUMIFS('6.1_Capex_summary'!AG$11:AG$167,'6.1_Capex_summary'!$F$11:$F$167,$F27,'6.1_Capex_summary'!$H$11:$H$167,$H27,'6.1_Capex_summary'!$J$11:$J$167,$J27,'6.1_Capex_summary'!$K$11:$K$167,$K27,'6.1_Capex_summary'!$N$11:$N$167,$N27)</f>
        <v>0</v>
      </c>
      <c r="AH27" s="93">
        <f>SUMIFS('6.1_Capex_summary'!AH$11:AH$167,'6.1_Capex_summary'!$F$11:$F$167,$F27,'6.1_Capex_summary'!$H$11:$H$167,$H27,'6.1_Capex_summary'!$J$11:$J$167,$J27,'6.1_Capex_summary'!$K$11:$K$167,$K27,'6.1_Capex_summary'!$N$11:$N$167,$N27)</f>
        <v>0</v>
      </c>
      <c r="AI27" s="93">
        <f>SUMIFS('6.1_Capex_summary'!AI$11:AI$167,'6.1_Capex_summary'!$F$11:$F$167,$F27,'6.1_Capex_summary'!$H$11:$H$167,$H27,'6.1_Capex_summary'!$J$11:$J$167,$J27,'6.1_Capex_summary'!$K$11:$K$167,$K27,'6.1_Capex_summary'!$N$11:$N$167,$N27)</f>
        <v>0</v>
      </c>
      <c r="AK27" s="435" t="s">
        <v>2871</v>
      </c>
    </row>
    <row r="28" spans="4:37" s="435" customFormat="1">
      <c r="D28" s="435" t="s">
        <v>79</v>
      </c>
      <c r="E28" s="435" t="s">
        <v>68</v>
      </c>
      <c r="F28" s="435" t="s">
        <v>274</v>
      </c>
      <c r="G28" s="435" t="s">
        <v>12</v>
      </c>
      <c r="H28" s="435" t="s">
        <v>1759</v>
      </c>
      <c r="I28" s="435" t="s">
        <v>7</v>
      </c>
      <c r="J28" s="435" t="s">
        <v>299</v>
      </c>
      <c r="K28" s="435" t="s">
        <v>323</v>
      </c>
      <c r="N28" s="435" t="s">
        <v>829</v>
      </c>
      <c r="O28" s="435" t="s">
        <v>233</v>
      </c>
      <c r="AC28" s="435" t="s">
        <v>2</v>
      </c>
      <c r="AE28" s="93">
        <f>SUMIFS('6.1_Capex_summary'!AE$11:AE$167,'6.1_Capex_summary'!$F$11:$F$167,$F28,'6.1_Capex_summary'!$H$11:$H$167,$H28,'6.1_Capex_summary'!$J$11:$J$167,$J28,'6.1_Capex_summary'!$K$11:$K$167,$K28,'6.1_Capex_summary'!$N$11:$N$167,$N28)</f>
        <v>0</v>
      </c>
      <c r="AF28" s="93">
        <f>SUMIFS('6.1_Capex_summary'!AF$11:AF$167,'6.1_Capex_summary'!$F$11:$F$167,$F28,'6.1_Capex_summary'!$H$11:$H$167,$H28,'6.1_Capex_summary'!$J$11:$J$167,$J28,'6.1_Capex_summary'!$K$11:$K$167,$K28,'6.1_Capex_summary'!$N$11:$N$167,$N28)</f>
        <v>0</v>
      </c>
      <c r="AG28" s="93">
        <f>SUMIFS('6.1_Capex_summary'!AG$11:AG$167,'6.1_Capex_summary'!$F$11:$F$167,$F28,'6.1_Capex_summary'!$H$11:$H$167,$H28,'6.1_Capex_summary'!$J$11:$J$167,$J28,'6.1_Capex_summary'!$K$11:$K$167,$K28,'6.1_Capex_summary'!$N$11:$N$167,$N28)</f>
        <v>0</v>
      </c>
      <c r="AH28" s="93">
        <f>SUMIFS('6.1_Capex_summary'!AH$11:AH$167,'6.1_Capex_summary'!$F$11:$F$167,$F28,'6.1_Capex_summary'!$H$11:$H$167,$H28,'6.1_Capex_summary'!$J$11:$J$167,$J28,'6.1_Capex_summary'!$K$11:$K$167,$K28,'6.1_Capex_summary'!$N$11:$N$167,$N28)</f>
        <v>0</v>
      </c>
      <c r="AI28" s="93">
        <f>SUMIFS('6.1_Capex_summary'!AI$11:AI$167,'6.1_Capex_summary'!$F$11:$F$167,$F28,'6.1_Capex_summary'!$H$11:$H$167,$H28,'6.1_Capex_summary'!$J$11:$J$167,$J28,'6.1_Capex_summary'!$K$11:$K$167,$K28,'6.1_Capex_summary'!$N$11:$N$167,$N28)</f>
        <v>0</v>
      </c>
      <c r="AK28" s="435" t="s">
        <v>2871</v>
      </c>
    </row>
    <row r="29" spans="4:37" s="435" customFormat="1">
      <c r="D29" s="435" t="s">
        <v>79</v>
      </c>
      <c r="E29" s="435" t="s">
        <v>68</v>
      </c>
      <c r="F29" s="435" t="s">
        <v>274</v>
      </c>
      <c r="G29" s="435" t="s">
        <v>12</v>
      </c>
      <c r="H29" s="435" t="s">
        <v>1759</v>
      </c>
      <c r="I29" s="435" t="s">
        <v>7</v>
      </c>
      <c r="J29" s="435" t="s">
        <v>299</v>
      </c>
      <c r="K29" s="435" t="s">
        <v>259</v>
      </c>
      <c r="N29" s="436" t="s">
        <v>1054</v>
      </c>
      <c r="O29" s="435" t="s">
        <v>233</v>
      </c>
      <c r="AC29" s="435" t="s">
        <v>2</v>
      </c>
      <c r="AE29" s="93">
        <f>SUMIFS('6.1_Capex_summary'!AE$11:AE$167,'6.1_Capex_summary'!$F$11:$F$167,$F29,'6.1_Capex_summary'!$H$11:$H$167,$H29,'6.1_Capex_summary'!$J$11:$J$167,$J29,'6.1_Capex_summary'!$K$11:$K$167,$K29,'6.1_Capex_summary'!$N$11:$N$167,$N29)</f>
        <v>0</v>
      </c>
      <c r="AF29" s="93">
        <f>SUMIFS('6.1_Capex_summary'!AF$11:AF$167,'6.1_Capex_summary'!$F$11:$F$167,$F29,'6.1_Capex_summary'!$H$11:$H$167,$H29,'6.1_Capex_summary'!$J$11:$J$167,$J29,'6.1_Capex_summary'!$K$11:$K$167,$K29,'6.1_Capex_summary'!$N$11:$N$167,$N29)</f>
        <v>0</v>
      </c>
      <c r="AG29" s="93">
        <f>SUMIFS('6.1_Capex_summary'!AG$11:AG$167,'6.1_Capex_summary'!$F$11:$F$167,$F29,'6.1_Capex_summary'!$H$11:$H$167,$H29,'6.1_Capex_summary'!$J$11:$J$167,$J29,'6.1_Capex_summary'!$K$11:$K$167,$K29,'6.1_Capex_summary'!$N$11:$N$167,$N29)</f>
        <v>0</v>
      </c>
      <c r="AH29" s="93">
        <f>SUMIFS('6.1_Capex_summary'!AH$11:AH$167,'6.1_Capex_summary'!$F$11:$F$167,$F29,'6.1_Capex_summary'!$H$11:$H$167,$H29,'6.1_Capex_summary'!$J$11:$J$167,$J29,'6.1_Capex_summary'!$K$11:$K$167,$K29,'6.1_Capex_summary'!$N$11:$N$167,$N29)</f>
        <v>0</v>
      </c>
      <c r="AI29" s="93">
        <f>SUMIFS('6.1_Capex_summary'!AI$11:AI$167,'6.1_Capex_summary'!$F$11:$F$167,$F29,'6.1_Capex_summary'!$H$11:$H$167,$H29,'6.1_Capex_summary'!$J$11:$J$167,$J29,'6.1_Capex_summary'!$K$11:$K$167,$K29,'6.1_Capex_summary'!$N$11:$N$167,$N29)</f>
        <v>0</v>
      </c>
      <c r="AK29" s="435" t="s">
        <v>2871</v>
      </c>
    </row>
    <row r="30" spans="4:37" s="435" customFormat="1">
      <c r="D30" s="435" t="s">
        <v>79</v>
      </c>
      <c r="E30" s="435" t="s">
        <v>68</v>
      </c>
      <c r="F30" s="435" t="s">
        <v>274</v>
      </c>
      <c r="G30" s="435" t="s">
        <v>12</v>
      </c>
      <c r="H30" s="435" t="s">
        <v>1759</v>
      </c>
      <c r="I30" s="435" t="s">
        <v>7</v>
      </c>
      <c r="J30" s="435" t="s">
        <v>299</v>
      </c>
      <c r="K30" s="435" t="s">
        <v>259</v>
      </c>
      <c r="N30" s="435" t="s">
        <v>829</v>
      </c>
      <c r="O30" s="435" t="s">
        <v>233</v>
      </c>
      <c r="AC30" s="435" t="s">
        <v>2</v>
      </c>
      <c r="AE30" s="93">
        <f>SUMIFS('6.1_Capex_summary'!AE$11:AE$167,'6.1_Capex_summary'!$F$11:$F$167,$F30,'6.1_Capex_summary'!$H$11:$H$167,$H30,'6.1_Capex_summary'!$J$11:$J$167,$J30,'6.1_Capex_summary'!$K$11:$K$167,$K30,'6.1_Capex_summary'!$N$11:$N$167,$N30)</f>
        <v>0</v>
      </c>
      <c r="AF30" s="93">
        <f>SUMIFS('6.1_Capex_summary'!AF$11:AF$167,'6.1_Capex_summary'!$F$11:$F$167,$F30,'6.1_Capex_summary'!$H$11:$H$167,$H30,'6.1_Capex_summary'!$J$11:$J$167,$J30,'6.1_Capex_summary'!$K$11:$K$167,$K30,'6.1_Capex_summary'!$N$11:$N$167,$N30)</f>
        <v>0</v>
      </c>
      <c r="AG30" s="93">
        <f>SUMIFS('6.1_Capex_summary'!AG$11:AG$167,'6.1_Capex_summary'!$F$11:$F$167,$F30,'6.1_Capex_summary'!$H$11:$H$167,$H30,'6.1_Capex_summary'!$J$11:$J$167,$J30,'6.1_Capex_summary'!$K$11:$K$167,$K30,'6.1_Capex_summary'!$N$11:$N$167,$N30)</f>
        <v>0</v>
      </c>
      <c r="AH30" s="93">
        <f>SUMIFS('6.1_Capex_summary'!AH$11:AH$167,'6.1_Capex_summary'!$F$11:$F$167,$F30,'6.1_Capex_summary'!$H$11:$H$167,$H30,'6.1_Capex_summary'!$J$11:$J$167,$J30,'6.1_Capex_summary'!$K$11:$K$167,$K30,'6.1_Capex_summary'!$N$11:$N$167,$N30)</f>
        <v>0</v>
      </c>
      <c r="AI30" s="93">
        <f>SUMIFS('6.1_Capex_summary'!AI$11:AI$167,'6.1_Capex_summary'!$F$11:$F$167,$F30,'6.1_Capex_summary'!$H$11:$H$167,$H30,'6.1_Capex_summary'!$J$11:$J$167,$J30,'6.1_Capex_summary'!$K$11:$K$167,$K30,'6.1_Capex_summary'!$N$11:$N$167,$N30)</f>
        <v>0</v>
      </c>
      <c r="AK30" s="435" t="s">
        <v>2871</v>
      </c>
    </row>
    <row r="31" spans="4:37" s="435" customFormat="1">
      <c r="D31" s="435" t="s">
        <v>79</v>
      </c>
      <c r="E31" s="435" t="s">
        <v>68</v>
      </c>
      <c r="F31" s="435" t="s">
        <v>274</v>
      </c>
      <c r="G31" s="435" t="s">
        <v>12</v>
      </c>
      <c r="H31" s="435" t="s">
        <v>1759</v>
      </c>
      <c r="I31" s="435" t="s">
        <v>7</v>
      </c>
      <c r="J31" s="435" t="s">
        <v>299</v>
      </c>
      <c r="K31" s="435" t="s">
        <v>319</v>
      </c>
      <c r="N31" s="436" t="s">
        <v>1054</v>
      </c>
      <c r="O31" s="435" t="s">
        <v>233</v>
      </c>
      <c r="AC31" s="435" t="s">
        <v>2</v>
      </c>
      <c r="AE31" s="93">
        <f>SUMIFS('6.1_Capex_summary'!AE$11:AE$167,'6.1_Capex_summary'!$F$11:$F$167,$F31,'6.1_Capex_summary'!$H$11:$H$167,$H31,'6.1_Capex_summary'!$J$11:$J$167,$J31,'6.1_Capex_summary'!$K$11:$K$167,$K31,'6.1_Capex_summary'!$N$11:$N$167,$N31)</f>
        <v>0</v>
      </c>
      <c r="AF31" s="93">
        <f>SUMIFS('6.1_Capex_summary'!AF$11:AF$167,'6.1_Capex_summary'!$F$11:$F$167,$F31,'6.1_Capex_summary'!$H$11:$H$167,$H31,'6.1_Capex_summary'!$J$11:$J$167,$J31,'6.1_Capex_summary'!$K$11:$K$167,$K31,'6.1_Capex_summary'!$N$11:$N$167,$N31)</f>
        <v>0</v>
      </c>
      <c r="AG31" s="93">
        <f>SUMIFS('6.1_Capex_summary'!AG$11:AG$167,'6.1_Capex_summary'!$F$11:$F$167,$F31,'6.1_Capex_summary'!$H$11:$H$167,$H31,'6.1_Capex_summary'!$J$11:$J$167,$J31,'6.1_Capex_summary'!$K$11:$K$167,$K31,'6.1_Capex_summary'!$N$11:$N$167,$N31)</f>
        <v>0</v>
      </c>
      <c r="AH31" s="93">
        <f>SUMIFS('6.1_Capex_summary'!AH$11:AH$167,'6.1_Capex_summary'!$F$11:$F$167,$F31,'6.1_Capex_summary'!$H$11:$H$167,$H31,'6.1_Capex_summary'!$J$11:$J$167,$J31,'6.1_Capex_summary'!$K$11:$K$167,$K31,'6.1_Capex_summary'!$N$11:$N$167,$N31)</f>
        <v>0</v>
      </c>
      <c r="AI31" s="93">
        <f>SUMIFS('6.1_Capex_summary'!AI$11:AI$167,'6.1_Capex_summary'!$F$11:$F$167,$F31,'6.1_Capex_summary'!$H$11:$H$167,$H31,'6.1_Capex_summary'!$J$11:$J$167,$J31,'6.1_Capex_summary'!$K$11:$K$167,$K31,'6.1_Capex_summary'!$N$11:$N$167,$N31)</f>
        <v>0</v>
      </c>
      <c r="AK31" s="435" t="s">
        <v>2871</v>
      </c>
    </row>
    <row r="32" spans="4:37" s="435" customFormat="1">
      <c r="D32" s="435" t="s">
        <v>79</v>
      </c>
      <c r="E32" s="435" t="s">
        <v>68</v>
      </c>
      <c r="F32" s="435" t="s">
        <v>274</v>
      </c>
      <c r="G32" s="435" t="s">
        <v>12</v>
      </c>
      <c r="H32" s="435" t="s">
        <v>1759</v>
      </c>
      <c r="I32" s="435" t="s">
        <v>7</v>
      </c>
      <c r="J32" s="435" t="s">
        <v>299</v>
      </c>
      <c r="K32" s="435" t="s">
        <v>319</v>
      </c>
      <c r="N32" s="435" t="s">
        <v>829</v>
      </c>
      <c r="O32" s="435" t="s">
        <v>233</v>
      </c>
      <c r="AC32" s="435" t="s">
        <v>2</v>
      </c>
      <c r="AE32" s="93">
        <f>SUMIFS('6.1_Capex_summary'!AE$11:AE$167,'6.1_Capex_summary'!$F$11:$F$167,$F32,'6.1_Capex_summary'!$H$11:$H$167,$H32,'6.1_Capex_summary'!$J$11:$J$167,$J32,'6.1_Capex_summary'!$K$11:$K$167,$K32,'6.1_Capex_summary'!$N$11:$N$167,$N32)</f>
        <v>0</v>
      </c>
      <c r="AF32" s="93">
        <f>SUMIFS('6.1_Capex_summary'!AF$11:AF$167,'6.1_Capex_summary'!$F$11:$F$167,$F32,'6.1_Capex_summary'!$H$11:$H$167,$H32,'6.1_Capex_summary'!$J$11:$J$167,$J32,'6.1_Capex_summary'!$K$11:$K$167,$K32,'6.1_Capex_summary'!$N$11:$N$167,$N32)</f>
        <v>0</v>
      </c>
      <c r="AG32" s="93">
        <f>SUMIFS('6.1_Capex_summary'!AG$11:AG$167,'6.1_Capex_summary'!$F$11:$F$167,$F32,'6.1_Capex_summary'!$H$11:$H$167,$H32,'6.1_Capex_summary'!$J$11:$J$167,$J32,'6.1_Capex_summary'!$K$11:$K$167,$K32,'6.1_Capex_summary'!$N$11:$N$167,$N32)</f>
        <v>0</v>
      </c>
      <c r="AH32" s="93">
        <f>SUMIFS('6.1_Capex_summary'!AH$11:AH$167,'6.1_Capex_summary'!$F$11:$F$167,$F32,'6.1_Capex_summary'!$H$11:$H$167,$H32,'6.1_Capex_summary'!$J$11:$J$167,$J32,'6.1_Capex_summary'!$K$11:$K$167,$K32,'6.1_Capex_summary'!$N$11:$N$167,$N32)</f>
        <v>0</v>
      </c>
      <c r="AI32" s="93">
        <f>SUMIFS('6.1_Capex_summary'!AI$11:AI$167,'6.1_Capex_summary'!$F$11:$F$167,$F32,'6.1_Capex_summary'!$H$11:$H$167,$H32,'6.1_Capex_summary'!$J$11:$J$167,$J32,'6.1_Capex_summary'!$K$11:$K$167,$K32,'6.1_Capex_summary'!$N$11:$N$167,$N32)</f>
        <v>0</v>
      </c>
      <c r="AK32" s="435" t="s">
        <v>2871</v>
      </c>
    </row>
    <row r="33" spans="4:37" s="435" customFormat="1">
      <c r="D33" s="435" t="s">
        <v>79</v>
      </c>
      <c r="E33" s="435" t="s">
        <v>68</v>
      </c>
      <c r="F33" s="435" t="s">
        <v>274</v>
      </c>
      <c r="G33" s="435" t="s">
        <v>12</v>
      </c>
      <c r="H33" s="435" t="s">
        <v>1759</v>
      </c>
      <c r="I33" s="435" t="s">
        <v>7</v>
      </c>
      <c r="J33" s="435" t="s">
        <v>299</v>
      </c>
      <c r="K33" s="435" t="s">
        <v>303</v>
      </c>
      <c r="N33" s="436" t="s">
        <v>1054</v>
      </c>
      <c r="O33" s="435" t="s">
        <v>233</v>
      </c>
      <c r="AC33" s="435" t="s">
        <v>2</v>
      </c>
      <c r="AE33" s="93">
        <f>SUMIFS('6.1_Capex_summary'!AE$11:AE$167,'6.1_Capex_summary'!$F$11:$F$167,$F33,'6.1_Capex_summary'!$H$11:$H$167,$H33,'6.1_Capex_summary'!$J$11:$J$167,$J33,'6.1_Capex_summary'!$K$11:$K$167,$K33,'6.1_Capex_summary'!$N$11:$N$167,$N33)</f>
        <v>0</v>
      </c>
      <c r="AF33" s="93">
        <f>SUMIFS('6.1_Capex_summary'!AF$11:AF$167,'6.1_Capex_summary'!$F$11:$F$167,$F33,'6.1_Capex_summary'!$H$11:$H$167,$H33,'6.1_Capex_summary'!$J$11:$J$167,$J33,'6.1_Capex_summary'!$K$11:$K$167,$K33,'6.1_Capex_summary'!$N$11:$N$167,$N33)</f>
        <v>0</v>
      </c>
      <c r="AG33" s="93">
        <f>SUMIFS('6.1_Capex_summary'!AG$11:AG$167,'6.1_Capex_summary'!$F$11:$F$167,$F33,'6.1_Capex_summary'!$H$11:$H$167,$H33,'6.1_Capex_summary'!$J$11:$J$167,$J33,'6.1_Capex_summary'!$K$11:$K$167,$K33,'6.1_Capex_summary'!$N$11:$N$167,$N33)</f>
        <v>0</v>
      </c>
      <c r="AH33" s="93">
        <f>SUMIFS('6.1_Capex_summary'!AH$11:AH$167,'6.1_Capex_summary'!$F$11:$F$167,$F33,'6.1_Capex_summary'!$H$11:$H$167,$H33,'6.1_Capex_summary'!$J$11:$J$167,$J33,'6.1_Capex_summary'!$K$11:$K$167,$K33,'6.1_Capex_summary'!$N$11:$N$167,$N33)</f>
        <v>0</v>
      </c>
      <c r="AI33" s="93">
        <f>SUMIFS('6.1_Capex_summary'!AI$11:AI$167,'6.1_Capex_summary'!$F$11:$F$167,$F33,'6.1_Capex_summary'!$H$11:$H$167,$H33,'6.1_Capex_summary'!$J$11:$J$167,$J33,'6.1_Capex_summary'!$K$11:$K$167,$K33,'6.1_Capex_summary'!$N$11:$N$167,$N33)</f>
        <v>0</v>
      </c>
      <c r="AK33" s="435" t="s">
        <v>2871</v>
      </c>
    </row>
    <row r="34" spans="4:37" s="435" customFormat="1">
      <c r="D34" s="435" t="s">
        <v>79</v>
      </c>
      <c r="E34" s="435" t="s">
        <v>68</v>
      </c>
      <c r="F34" s="435" t="s">
        <v>274</v>
      </c>
      <c r="G34" s="435" t="s">
        <v>12</v>
      </c>
      <c r="H34" s="435" t="s">
        <v>1759</v>
      </c>
      <c r="I34" s="435" t="s">
        <v>7</v>
      </c>
      <c r="J34" s="435" t="s">
        <v>299</v>
      </c>
      <c r="K34" s="435" t="s">
        <v>303</v>
      </c>
      <c r="N34" s="435" t="s">
        <v>829</v>
      </c>
      <c r="O34" s="435" t="s">
        <v>233</v>
      </c>
      <c r="AC34" s="435" t="s">
        <v>2</v>
      </c>
      <c r="AE34" s="93">
        <f>SUMIFS('6.1_Capex_summary'!AE$11:AE$167,'6.1_Capex_summary'!$F$11:$F$167,$F34,'6.1_Capex_summary'!$H$11:$H$167,$H34,'6.1_Capex_summary'!$J$11:$J$167,$J34,'6.1_Capex_summary'!$K$11:$K$167,$K34,'6.1_Capex_summary'!$N$11:$N$167,$N34)</f>
        <v>0</v>
      </c>
      <c r="AF34" s="93">
        <f>SUMIFS('6.1_Capex_summary'!AF$11:AF$167,'6.1_Capex_summary'!$F$11:$F$167,$F34,'6.1_Capex_summary'!$H$11:$H$167,$H34,'6.1_Capex_summary'!$J$11:$J$167,$J34,'6.1_Capex_summary'!$K$11:$K$167,$K34,'6.1_Capex_summary'!$N$11:$N$167,$N34)</f>
        <v>0</v>
      </c>
      <c r="AG34" s="93">
        <f>SUMIFS('6.1_Capex_summary'!AG$11:AG$167,'6.1_Capex_summary'!$F$11:$F$167,$F34,'6.1_Capex_summary'!$H$11:$H$167,$H34,'6.1_Capex_summary'!$J$11:$J$167,$J34,'6.1_Capex_summary'!$K$11:$K$167,$K34,'6.1_Capex_summary'!$N$11:$N$167,$N34)</f>
        <v>0</v>
      </c>
      <c r="AH34" s="93">
        <f>SUMIFS('6.1_Capex_summary'!AH$11:AH$167,'6.1_Capex_summary'!$F$11:$F$167,$F34,'6.1_Capex_summary'!$H$11:$H$167,$H34,'6.1_Capex_summary'!$J$11:$J$167,$J34,'6.1_Capex_summary'!$K$11:$K$167,$K34,'6.1_Capex_summary'!$N$11:$N$167,$N34)</f>
        <v>0</v>
      </c>
      <c r="AI34" s="93">
        <f>SUMIFS('6.1_Capex_summary'!AI$11:AI$167,'6.1_Capex_summary'!$F$11:$F$167,$F34,'6.1_Capex_summary'!$H$11:$H$167,$H34,'6.1_Capex_summary'!$J$11:$J$167,$J34,'6.1_Capex_summary'!$K$11:$K$167,$K34,'6.1_Capex_summary'!$N$11:$N$167,$N34)</f>
        <v>0</v>
      </c>
      <c r="AK34" s="435" t="s">
        <v>2871</v>
      </c>
    </row>
    <row r="35" spans="4:37" s="435" customFormat="1">
      <c r="D35" s="435" t="s">
        <v>79</v>
      </c>
      <c r="E35" s="435" t="s">
        <v>68</v>
      </c>
      <c r="F35" s="435" t="s">
        <v>274</v>
      </c>
      <c r="G35" s="435" t="s">
        <v>12</v>
      </c>
      <c r="H35" s="435" t="s">
        <v>1759</v>
      </c>
      <c r="I35" s="435" t="s">
        <v>7</v>
      </c>
      <c r="J35" s="435" t="s">
        <v>299</v>
      </c>
      <c r="K35" s="435" t="s">
        <v>303</v>
      </c>
      <c r="N35" s="435" t="s">
        <v>828</v>
      </c>
      <c r="O35" s="435" t="s">
        <v>233</v>
      </c>
      <c r="AC35" s="435" t="s">
        <v>2</v>
      </c>
      <c r="AE35" s="93">
        <f>SUMIFS('6.1_Capex_summary'!AE$11:AE$167,'6.1_Capex_summary'!$F$11:$F$167,$F35,'6.1_Capex_summary'!$H$11:$H$167,$H35,'6.1_Capex_summary'!$J$11:$J$167,$J35,'6.1_Capex_summary'!$K$11:$K$167,$K35,'6.1_Capex_summary'!$N$11:$N$167,$N35)</f>
        <v>0</v>
      </c>
      <c r="AF35" s="93">
        <f>SUMIFS('6.1_Capex_summary'!AF$11:AF$167,'6.1_Capex_summary'!$F$11:$F$167,$F35,'6.1_Capex_summary'!$H$11:$H$167,$H35,'6.1_Capex_summary'!$J$11:$J$167,$J35,'6.1_Capex_summary'!$K$11:$K$167,$K35,'6.1_Capex_summary'!$N$11:$N$167,$N35)</f>
        <v>0</v>
      </c>
      <c r="AG35" s="93">
        <f>SUMIFS('6.1_Capex_summary'!AG$11:AG$167,'6.1_Capex_summary'!$F$11:$F$167,$F35,'6.1_Capex_summary'!$H$11:$H$167,$H35,'6.1_Capex_summary'!$J$11:$J$167,$J35,'6.1_Capex_summary'!$K$11:$K$167,$K35,'6.1_Capex_summary'!$N$11:$N$167,$N35)</f>
        <v>0</v>
      </c>
      <c r="AH35" s="93">
        <f>SUMIFS('6.1_Capex_summary'!AH$11:AH$167,'6.1_Capex_summary'!$F$11:$F$167,$F35,'6.1_Capex_summary'!$H$11:$H$167,$H35,'6.1_Capex_summary'!$J$11:$J$167,$J35,'6.1_Capex_summary'!$K$11:$K$167,$K35,'6.1_Capex_summary'!$N$11:$N$167,$N35)</f>
        <v>0</v>
      </c>
      <c r="AI35" s="93">
        <f>SUMIFS('6.1_Capex_summary'!AI$11:AI$167,'6.1_Capex_summary'!$F$11:$F$167,$F35,'6.1_Capex_summary'!$H$11:$H$167,$H35,'6.1_Capex_summary'!$J$11:$J$167,$J35,'6.1_Capex_summary'!$K$11:$K$167,$K35,'6.1_Capex_summary'!$N$11:$N$167,$N35)</f>
        <v>0</v>
      </c>
      <c r="AK35" s="435" t="s">
        <v>2871</v>
      </c>
    </row>
    <row r="36" spans="4:37" s="435" customFormat="1">
      <c r="D36" s="435" t="s">
        <v>79</v>
      </c>
      <c r="E36" s="435" t="s">
        <v>68</v>
      </c>
      <c r="F36" s="435" t="s">
        <v>274</v>
      </c>
      <c r="G36" s="435" t="s">
        <v>12</v>
      </c>
      <c r="H36" s="435" t="s">
        <v>1759</v>
      </c>
      <c r="I36" s="435" t="s">
        <v>7</v>
      </c>
      <c r="J36" s="435" t="s">
        <v>299</v>
      </c>
      <c r="K36" s="435" t="s">
        <v>310</v>
      </c>
      <c r="N36" s="436" t="s">
        <v>1054</v>
      </c>
      <c r="O36" s="435" t="s">
        <v>233</v>
      </c>
      <c r="AC36" s="435" t="s">
        <v>2</v>
      </c>
      <c r="AE36" s="93">
        <f>SUMIFS('6.1_Capex_summary'!AE$11:AE$167,'6.1_Capex_summary'!$F$11:$F$167,$F36,'6.1_Capex_summary'!$H$11:$H$167,$H36,'6.1_Capex_summary'!$J$11:$J$167,$J36,'6.1_Capex_summary'!$K$11:$K$167,$K36,'6.1_Capex_summary'!$N$11:$N$167,$N36)</f>
        <v>0</v>
      </c>
      <c r="AF36" s="93">
        <f>SUMIFS('6.1_Capex_summary'!AF$11:AF$167,'6.1_Capex_summary'!$F$11:$F$167,$F36,'6.1_Capex_summary'!$H$11:$H$167,$H36,'6.1_Capex_summary'!$J$11:$J$167,$J36,'6.1_Capex_summary'!$K$11:$K$167,$K36,'6.1_Capex_summary'!$N$11:$N$167,$N36)</f>
        <v>0</v>
      </c>
      <c r="AG36" s="93">
        <f>SUMIFS('6.1_Capex_summary'!AG$11:AG$167,'6.1_Capex_summary'!$F$11:$F$167,$F36,'6.1_Capex_summary'!$H$11:$H$167,$H36,'6.1_Capex_summary'!$J$11:$J$167,$J36,'6.1_Capex_summary'!$K$11:$K$167,$K36,'6.1_Capex_summary'!$N$11:$N$167,$N36)</f>
        <v>0</v>
      </c>
      <c r="AH36" s="93">
        <f>SUMIFS('6.1_Capex_summary'!AH$11:AH$167,'6.1_Capex_summary'!$F$11:$F$167,$F36,'6.1_Capex_summary'!$H$11:$H$167,$H36,'6.1_Capex_summary'!$J$11:$J$167,$J36,'6.1_Capex_summary'!$K$11:$K$167,$K36,'6.1_Capex_summary'!$N$11:$N$167,$N36)</f>
        <v>0</v>
      </c>
      <c r="AI36" s="93">
        <f>SUMIFS('6.1_Capex_summary'!AI$11:AI$167,'6.1_Capex_summary'!$F$11:$F$167,$F36,'6.1_Capex_summary'!$H$11:$H$167,$H36,'6.1_Capex_summary'!$J$11:$J$167,$J36,'6.1_Capex_summary'!$K$11:$K$167,$K36,'6.1_Capex_summary'!$N$11:$N$167,$N36)</f>
        <v>0</v>
      </c>
      <c r="AK36" s="435" t="s">
        <v>2871</v>
      </c>
    </row>
    <row r="37" spans="4:37" s="435" customFormat="1">
      <c r="D37" s="435" t="s">
        <v>79</v>
      </c>
      <c r="E37" s="435" t="s">
        <v>68</v>
      </c>
      <c r="F37" s="435" t="s">
        <v>274</v>
      </c>
      <c r="G37" s="435" t="s">
        <v>12</v>
      </c>
      <c r="H37" s="435" t="s">
        <v>1759</v>
      </c>
      <c r="I37" s="435" t="s">
        <v>7</v>
      </c>
      <c r="J37" s="435" t="s">
        <v>299</v>
      </c>
      <c r="K37" s="435" t="s">
        <v>310</v>
      </c>
      <c r="N37" s="435" t="s">
        <v>829</v>
      </c>
      <c r="O37" s="435" t="s">
        <v>233</v>
      </c>
      <c r="AC37" s="435" t="s">
        <v>2</v>
      </c>
      <c r="AE37" s="93">
        <f>SUMIFS('6.1_Capex_summary'!AE$11:AE$167,'6.1_Capex_summary'!$F$11:$F$167,$F37,'6.1_Capex_summary'!$H$11:$H$167,$H37,'6.1_Capex_summary'!$J$11:$J$167,$J37,'6.1_Capex_summary'!$K$11:$K$167,$K37,'6.1_Capex_summary'!$N$11:$N$167,$N37)</f>
        <v>0</v>
      </c>
      <c r="AF37" s="93">
        <f>SUMIFS('6.1_Capex_summary'!AF$11:AF$167,'6.1_Capex_summary'!$F$11:$F$167,$F37,'6.1_Capex_summary'!$H$11:$H$167,$H37,'6.1_Capex_summary'!$J$11:$J$167,$J37,'6.1_Capex_summary'!$K$11:$K$167,$K37,'6.1_Capex_summary'!$N$11:$N$167,$N37)</f>
        <v>0</v>
      </c>
      <c r="AG37" s="93">
        <f>SUMIFS('6.1_Capex_summary'!AG$11:AG$167,'6.1_Capex_summary'!$F$11:$F$167,$F37,'6.1_Capex_summary'!$H$11:$H$167,$H37,'6.1_Capex_summary'!$J$11:$J$167,$J37,'6.1_Capex_summary'!$K$11:$K$167,$K37,'6.1_Capex_summary'!$N$11:$N$167,$N37)</f>
        <v>0</v>
      </c>
      <c r="AH37" s="93">
        <f>SUMIFS('6.1_Capex_summary'!AH$11:AH$167,'6.1_Capex_summary'!$F$11:$F$167,$F37,'6.1_Capex_summary'!$H$11:$H$167,$H37,'6.1_Capex_summary'!$J$11:$J$167,$J37,'6.1_Capex_summary'!$K$11:$K$167,$K37,'6.1_Capex_summary'!$N$11:$N$167,$N37)</f>
        <v>0</v>
      </c>
      <c r="AI37" s="93">
        <f>SUMIFS('6.1_Capex_summary'!AI$11:AI$167,'6.1_Capex_summary'!$F$11:$F$167,$F37,'6.1_Capex_summary'!$H$11:$H$167,$H37,'6.1_Capex_summary'!$J$11:$J$167,$J37,'6.1_Capex_summary'!$K$11:$K$167,$K37,'6.1_Capex_summary'!$N$11:$N$167,$N37)</f>
        <v>0</v>
      </c>
      <c r="AK37" s="435" t="s">
        <v>2871</v>
      </c>
    </row>
    <row r="38" spans="4:37" s="435" customFormat="1">
      <c r="D38" s="435" t="s">
        <v>79</v>
      </c>
      <c r="E38" s="435" t="s">
        <v>68</v>
      </c>
      <c r="F38" s="435" t="s">
        <v>274</v>
      </c>
      <c r="G38" s="435" t="s">
        <v>12</v>
      </c>
      <c r="H38" s="435" t="s">
        <v>1759</v>
      </c>
      <c r="I38" s="435" t="s">
        <v>7</v>
      </c>
      <c r="J38" s="435" t="s">
        <v>299</v>
      </c>
      <c r="K38" s="435" t="s">
        <v>310</v>
      </c>
      <c r="N38" s="435" t="s">
        <v>828</v>
      </c>
      <c r="O38" s="435" t="s">
        <v>233</v>
      </c>
      <c r="AC38" s="435" t="s">
        <v>2</v>
      </c>
      <c r="AE38" s="93">
        <f>SUMIFS('6.1_Capex_summary'!AE$11:AE$167,'6.1_Capex_summary'!$F$11:$F$167,$F38,'6.1_Capex_summary'!$H$11:$H$167,$H38,'6.1_Capex_summary'!$J$11:$J$167,$J38,'6.1_Capex_summary'!$K$11:$K$167,$K38,'6.1_Capex_summary'!$N$11:$N$167,$N38)</f>
        <v>0</v>
      </c>
      <c r="AF38" s="93">
        <f>SUMIFS('6.1_Capex_summary'!AF$11:AF$167,'6.1_Capex_summary'!$F$11:$F$167,$F38,'6.1_Capex_summary'!$H$11:$H$167,$H38,'6.1_Capex_summary'!$J$11:$J$167,$J38,'6.1_Capex_summary'!$K$11:$K$167,$K38,'6.1_Capex_summary'!$N$11:$N$167,$N38)</f>
        <v>0</v>
      </c>
      <c r="AG38" s="93">
        <f>SUMIFS('6.1_Capex_summary'!AG$11:AG$167,'6.1_Capex_summary'!$F$11:$F$167,$F38,'6.1_Capex_summary'!$H$11:$H$167,$H38,'6.1_Capex_summary'!$J$11:$J$167,$J38,'6.1_Capex_summary'!$K$11:$K$167,$K38,'6.1_Capex_summary'!$N$11:$N$167,$N38)</f>
        <v>0</v>
      </c>
      <c r="AH38" s="93">
        <f>SUMIFS('6.1_Capex_summary'!AH$11:AH$167,'6.1_Capex_summary'!$F$11:$F$167,$F38,'6.1_Capex_summary'!$H$11:$H$167,$H38,'6.1_Capex_summary'!$J$11:$J$167,$J38,'6.1_Capex_summary'!$K$11:$K$167,$K38,'6.1_Capex_summary'!$N$11:$N$167,$N38)</f>
        <v>0</v>
      </c>
      <c r="AI38" s="93">
        <f>SUMIFS('6.1_Capex_summary'!AI$11:AI$167,'6.1_Capex_summary'!$F$11:$F$167,$F38,'6.1_Capex_summary'!$H$11:$H$167,$H38,'6.1_Capex_summary'!$J$11:$J$167,$J38,'6.1_Capex_summary'!$K$11:$K$167,$K38,'6.1_Capex_summary'!$N$11:$N$167,$N38)</f>
        <v>0</v>
      </c>
      <c r="AK38" s="435" t="s">
        <v>2871</v>
      </c>
    </row>
    <row r="39" spans="4:37" s="435" customFormat="1">
      <c r="D39" s="435" t="s">
        <v>79</v>
      </c>
      <c r="E39" s="435" t="s">
        <v>68</v>
      </c>
      <c r="F39" s="435" t="s">
        <v>274</v>
      </c>
      <c r="G39" s="435" t="s">
        <v>12</v>
      </c>
      <c r="H39" s="435" t="s">
        <v>1759</v>
      </c>
      <c r="I39" s="435" t="s">
        <v>7</v>
      </c>
      <c r="J39" s="435" t="s">
        <v>299</v>
      </c>
      <c r="K39" s="435" t="s">
        <v>300</v>
      </c>
      <c r="N39" s="436" t="s">
        <v>1054</v>
      </c>
      <c r="O39" s="435" t="s">
        <v>233</v>
      </c>
      <c r="AC39" s="435" t="s">
        <v>2</v>
      </c>
      <c r="AE39" s="93">
        <f>SUMIFS('6.1_Capex_summary'!AE$11:AE$167,'6.1_Capex_summary'!$F$11:$F$167,$F39,'6.1_Capex_summary'!$H$11:$H$167,$H39,'6.1_Capex_summary'!$J$11:$J$167,$J39,'6.1_Capex_summary'!$K$11:$K$167,$K39,'6.1_Capex_summary'!$N$11:$N$167,$N39)</f>
        <v>0</v>
      </c>
      <c r="AF39" s="93">
        <f>SUMIFS('6.1_Capex_summary'!AF$11:AF$167,'6.1_Capex_summary'!$F$11:$F$167,$F39,'6.1_Capex_summary'!$H$11:$H$167,$H39,'6.1_Capex_summary'!$J$11:$J$167,$J39,'6.1_Capex_summary'!$K$11:$K$167,$K39,'6.1_Capex_summary'!$N$11:$N$167,$N39)</f>
        <v>0</v>
      </c>
      <c r="AG39" s="93">
        <f>SUMIFS('6.1_Capex_summary'!AG$11:AG$167,'6.1_Capex_summary'!$F$11:$F$167,$F39,'6.1_Capex_summary'!$H$11:$H$167,$H39,'6.1_Capex_summary'!$J$11:$J$167,$J39,'6.1_Capex_summary'!$K$11:$K$167,$K39,'6.1_Capex_summary'!$N$11:$N$167,$N39)</f>
        <v>0</v>
      </c>
      <c r="AH39" s="93">
        <f>SUMIFS('6.1_Capex_summary'!AH$11:AH$167,'6.1_Capex_summary'!$F$11:$F$167,$F39,'6.1_Capex_summary'!$H$11:$H$167,$H39,'6.1_Capex_summary'!$J$11:$J$167,$J39,'6.1_Capex_summary'!$K$11:$K$167,$K39,'6.1_Capex_summary'!$N$11:$N$167,$N39)</f>
        <v>0</v>
      </c>
      <c r="AI39" s="93">
        <f>SUMIFS('6.1_Capex_summary'!AI$11:AI$167,'6.1_Capex_summary'!$F$11:$F$167,$F39,'6.1_Capex_summary'!$H$11:$H$167,$H39,'6.1_Capex_summary'!$J$11:$J$167,$J39,'6.1_Capex_summary'!$K$11:$K$167,$K39,'6.1_Capex_summary'!$N$11:$N$167,$N39)</f>
        <v>0</v>
      </c>
      <c r="AK39" s="435" t="s">
        <v>2871</v>
      </c>
    </row>
    <row r="40" spans="4:37" s="435" customFormat="1">
      <c r="D40" s="435" t="s">
        <v>79</v>
      </c>
      <c r="E40" s="435" t="s">
        <v>68</v>
      </c>
      <c r="F40" s="435" t="s">
        <v>274</v>
      </c>
      <c r="G40" s="435" t="s">
        <v>12</v>
      </c>
      <c r="H40" s="435" t="s">
        <v>1759</v>
      </c>
      <c r="I40" s="435" t="s">
        <v>7</v>
      </c>
      <c r="J40" s="435" t="s">
        <v>299</v>
      </c>
      <c r="K40" s="435" t="s">
        <v>300</v>
      </c>
      <c r="N40" s="435" t="s">
        <v>829</v>
      </c>
      <c r="O40" s="435" t="s">
        <v>233</v>
      </c>
      <c r="AC40" s="435" t="s">
        <v>2</v>
      </c>
      <c r="AE40" s="93">
        <f>SUMIFS('6.1_Capex_summary'!AE$11:AE$167,'6.1_Capex_summary'!$F$11:$F$167,$F40,'6.1_Capex_summary'!$H$11:$H$167,$H40,'6.1_Capex_summary'!$J$11:$J$167,$J40,'6.1_Capex_summary'!$K$11:$K$167,$K40,'6.1_Capex_summary'!$N$11:$N$167,$N40)</f>
        <v>0</v>
      </c>
      <c r="AF40" s="93">
        <f>SUMIFS('6.1_Capex_summary'!AF$11:AF$167,'6.1_Capex_summary'!$F$11:$F$167,$F40,'6.1_Capex_summary'!$H$11:$H$167,$H40,'6.1_Capex_summary'!$J$11:$J$167,$J40,'6.1_Capex_summary'!$K$11:$K$167,$K40,'6.1_Capex_summary'!$N$11:$N$167,$N40)</f>
        <v>0</v>
      </c>
      <c r="AG40" s="93">
        <f>SUMIFS('6.1_Capex_summary'!AG$11:AG$167,'6.1_Capex_summary'!$F$11:$F$167,$F40,'6.1_Capex_summary'!$H$11:$H$167,$H40,'6.1_Capex_summary'!$J$11:$J$167,$J40,'6.1_Capex_summary'!$K$11:$K$167,$K40,'6.1_Capex_summary'!$N$11:$N$167,$N40)</f>
        <v>0</v>
      </c>
      <c r="AH40" s="93">
        <f>SUMIFS('6.1_Capex_summary'!AH$11:AH$167,'6.1_Capex_summary'!$F$11:$F$167,$F40,'6.1_Capex_summary'!$H$11:$H$167,$H40,'6.1_Capex_summary'!$J$11:$J$167,$J40,'6.1_Capex_summary'!$K$11:$K$167,$K40,'6.1_Capex_summary'!$N$11:$N$167,$N40)</f>
        <v>0</v>
      </c>
      <c r="AI40" s="93">
        <f>SUMIFS('6.1_Capex_summary'!AI$11:AI$167,'6.1_Capex_summary'!$F$11:$F$167,$F40,'6.1_Capex_summary'!$H$11:$H$167,$H40,'6.1_Capex_summary'!$J$11:$J$167,$J40,'6.1_Capex_summary'!$K$11:$K$167,$K40,'6.1_Capex_summary'!$N$11:$N$167,$N40)</f>
        <v>0</v>
      </c>
      <c r="AK40" s="435" t="s">
        <v>2871</v>
      </c>
    </row>
    <row r="41" spans="4:37" s="435" customFormat="1">
      <c r="D41" s="435" t="s">
        <v>79</v>
      </c>
      <c r="E41" s="435" t="s">
        <v>68</v>
      </c>
      <c r="F41" s="435" t="s">
        <v>274</v>
      </c>
      <c r="G41" s="435" t="s">
        <v>12</v>
      </c>
      <c r="H41" s="435" t="s">
        <v>1759</v>
      </c>
      <c r="I41" s="435" t="s">
        <v>7</v>
      </c>
      <c r="J41" s="435" t="s">
        <v>299</v>
      </c>
      <c r="K41" s="435" t="s">
        <v>300</v>
      </c>
      <c r="N41" s="435" t="s">
        <v>828</v>
      </c>
      <c r="O41" s="435" t="s">
        <v>233</v>
      </c>
      <c r="AC41" s="435" t="s">
        <v>2</v>
      </c>
      <c r="AE41" s="93">
        <f>SUMIFS('6.1_Capex_summary'!AE$11:AE$167,'6.1_Capex_summary'!$F$11:$F$167,$F41,'6.1_Capex_summary'!$H$11:$H$167,$H41,'6.1_Capex_summary'!$J$11:$J$167,$J41,'6.1_Capex_summary'!$K$11:$K$167,$K41,'6.1_Capex_summary'!$N$11:$N$167,$N41)</f>
        <v>0</v>
      </c>
      <c r="AF41" s="93">
        <f>SUMIFS('6.1_Capex_summary'!AF$11:AF$167,'6.1_Capex_summary'!$F$11:$F$167,$F41,'6.1_Capex_summary'!$H$11:$H$167,$H41,'6.1_Capex_summary'!$J$11:$J$167,$J41,'6.1_Capex_summary'!$K$11:$K$167,$K41,'6.1_Capex_summary'!$N$11:$N$167,$N41)</f>
        <v>0</v>
      </c>
      <c r="AG41" s="93">
        <f>SUMIFS('6.1_Capex_summary'!AG$11:AG$167,'6.1_Capex_summary'!$F$11:$F$167,$F41,'6.1_Capex_summary'!$H$11:$H$167,$H41,'6.1_Capex_summary'!$J$11:$J$167,$J41,'6.1_Capex_summary'!$K$11:$K$167,$K41,'6.1_Capex_summary'!$N$11:$N$167,$N41)</f>
        <v>0</v>
      </c>
      <c r="AH41" s="93">
        <f>SUMIFS('6.1_Capex_summary'!AH$11:AH$167,'6.1_Capex_summary'!$F$11:$F$167,$F41,'6.1_Capex_summary'!$H$11:$H$167,$H41,'6.1_Capex_summary'!$J$11:$J$167,$J41,'6.1_Capex_summary'!$K$11:$K$167,$K41,'6.1_Capex_summary'!$N$11:$N$167,$N41)</f>
        <v>0</v>
      </c>
      <c r="AI41" s="93">
        <f>SUMIFS('6.1_Capex_summary'!AI$11:AI$167,'6.1_Capex_summary'!$F$11:$F$167,$F41,'6.1_Capex_summary'!$H$11:$H$167,$H41,'6.1_Capex_summary'!$J$11:$J$167,$J41,'6.1_Capex_summary'!$K$11:$K$167,$K41,'6.1_Capex_summary'!$N$11:$N$167,$N41)</f>
        <v>0</v>
      </c>
      <c r="AK41" s="435" t="s">
        <v>2871</v>
      </c>
    </row>
    <row r="42" spans="4:37" s="435" customFormat="1">
      <c r="D42" s="435" t="s">
        <v>79</v>
      </c>
      <c r="E42" s="435" t="s">
        <v>68</v>
      </c>
      <c r="F42" s="435" t="s">
        <v>274</v>
      </c>
      <c r="G42" s="435" t="s">
        <v>12</v>
      </c>
      <c r="H42" s="435" t="s">
        <v>1759</v>
      </c>
      <c r="I42" s="435" t="s">
        <v>7</v>
      </c>
      <c r="J42" s="435" t="s">
        <v>1761</v>
      </c>
      <c r="K42" s="435" t="s">
        <v>293</v>
      </c>
      <c r="L42" s="435" t="s">
        <v>104</v>
      </c>
      <c r="N42" s="435" t="s">
        <v>293</v>
      </c>
      <c r="O42" s="435" t="s">
        <v>233</v>
      </c>
      <c r="AC42" s="435" t="s">
        <v>2</v>
      </c>
      <c r="AE42" s="93">
        <f>SUMIFS('6.1_Capex_summary'!AE$11:AE$167,'6.1_Capex_summary'!$F$11:$F$167,$F42,'6.1_Capex_summary'!$H$11:$H$167,$H42,'6.1_Capex_summary'!$J$11:$J$167,$J42,'6.1_Capex_summary'!$K$11:$K$167,$K42,'6.1_Capex_summary'!$N$11:$N$167,$N42)</f>
        <v>0</v>
      </c>
      <c r="AF42" s="93">
        <f>SUMIFS('6.1_Capex_summary'!AF$11:AF$167,'6.1_Capex_summary'!$F$11:$F$167,$F42,'6.1_Capex_summary'!$H$11:$H$167,$H42,'6.1_Capex_summary'!$J$11:$J$167,$J42,'6.1_Capex_summary'!$K$11:$K$167,$K42,'6.1_Capex_summary'!$N$11:$N$167,$N42)</f>
        <v>0</v>
      </c>
      <c r="AG42" s="93">
        <f>SUMIFS('6.1_Capex_summary'!AG$11:AG$167,'6.1_Capex_summary'!$F$11:$F$167,$F42,'6.1_Capex_summary'!$H$11:$H$167,$H42,'6.1_Capex_summary'!$J$11:$J$167,$J42,'6.1_Capex_summary'!$K$11:$K$167,$K42,'6.1_Capex_summary'!$N$11:$N$167,$N42)</f>
        <v>0</v>
      </c>
      <c r="AH42" s="93">
        <f>SUMIFS('6.1_Capex_summary'!AH$11:AH$167,'6.1_Capex_summary'!$F$11:$F$167,$F42,'6.1_Capex_summary'!$H$11:$H$167,$H42,'6.1_Capex_summary'!$J$11:$J$167,$J42,'6.1_Capex_summary'!$K$11:$K$167,$K42,'6.1_Capex_summary'!$N$11:$N$167,$N42)</f>
        <v>0</v>
      </c>
      <c r="AI42" s="93">
        <f>SUMIFS('6.1_Capex_summary'!AI$11:AI$167,'6.1_Capex_summary'!$F$11:$F$167,$F42,'6.1_Capex_summary'!$H$11:$H$167,$H42,'6.1_Capex_summary'!$J$11:$J$167,$J42,'6.1_Capex_summary'!$K$11:$K$167,$K42,'6.1_Capex_summary'!$N$11:$N$167,$N42)</f>
        <v>0</v>
      </c>
      <c r="AK42" s="435" t="s">
        <v>2871</v>
      </c>
    </row>
    <row r="43" spans="4:37" s="435" customFormat="1">
      <c r="D43" s="435" t="s">
        <v>79</v>
      </c>
      <c r="E43" s="435" t="s">
        <v>68</v>
      </c>
      <c r="F43" s="435" t="s">
        <v>274</v>
      </c>
      <c r="G43" s="435" t="s">
        <v>12</v>
      </c>
      <c r="H43" s="435" t="s">
        <v>1759</v>
      </c>
      <c r="I43" s="435" t="s">
        <v>7</v>
      </c>
      <c r="J43" s="435" t="s">
        <v>1761</v>
      </c>
      <c r="K43" s="435" t="s">
        <v>1769</v>
      </c>
      <c r="L43" s="435" t="s">
        <v>104</v>
      </c>
      <c r="N43" s="435" t="s">
        <v>1014</v>
      </c>
      <c r="O43" s="435" t="s">
        <v>233</v>
      </c>
      <c r="AC43" s="435" t="s">
        <v>2</v>
      </c>
      <c r="AE43" s="93">
        <f>SUMIFS('6.1_Capex_summary'!AE$11:AE$167,'6.1_Capex_summary'!$F$11:$F$167,$F43,'6.1_Capex_summary'!$H$11:$H$167,$H43,'6.1_Capex_summary'!$J$11:$J$167,$J43,'6.1_Capex_summary'!$K$11:$K$167,$K43,'6.1_Capex_summary'!$N$11:$N$167,$N43)</f>
        <v>0</v>
      </c>
      <c r="AF43" s="93">
        <f>SUMIFS('6.1_Capex_summary'!AF$11:AF$167,'6.1_Capex_summary'!$F$11:$F$167,$F43,'6.1_Capex_summary'!$H$11:$H$167,$H43,'6.1_Capex_summary'!$J$11:$J$167,$J43,'6.1_Capex_summary'!$K$11:$K$167,$K43,'6.1_Capex_summary'!$N$11:$N$167,$N43)</f>
        <v>0</v>
      </c>
      <c r="AG43" s="93">
        <f>SUMIFS('6.1_Capex_summary'!AG$11:AG$167,'6.1_Capex_summary'!$F$11:$F$167,$F43,'6.1_Capex_summary'!$H$11:$H$167,$H43,'6.1_Capex_summary'!$J$11:$J$167,$J43,'6.1_Capex_summary'!$K$11:$K$167,$K43,'6.1_Capex_summary'!$N$11:$N$167,$N43)</f>
        <v>0</v>
      </c>
      <c r="AH43" s="93">
        <f>SUMIFS('6.1_Capex_summary'!AH$11:AH$167,'6.1_Capex_summary'!$F$11:$F$167,$F43,'6.1_Capex_summary'!$H$11:$H$167,$H43,'6.1_Capex_summary'!$J$11:$J$167,$J43,'6.1_Capex_summary'!$K$11:$K$167,$K43,'6.1_Capex_summary'!$N$11:$N$167,$N43)</f>
        <v>0</v>
      </c>
      <c r="AI43" s="93">
        <f>SUMIFS('6.1_Capex_summary'!AI$11:AI$167,'6.1_Capex_summary'!$F$11:$F$167,$F43,'6.1_Capex_summary'!$H$11:$H$167,$H43,'6.1_Capex_summary'!$J$11:$J$167,$J43,'6.1_Capex_summary'!$K$11:$K$167,$K43,'6.1_Capex_summary'!$N$11:$N$167,$N43)</f>
        <v>0</v>
      </c>
      <c r="AK43" s="435" t="s">
        <v>2871</v>
      </c>
    </row>
    <row r="44" spans="4:37" s="435" customFormat="1">
      <c r="D44" s="435" t="s">
        <v>79</v>
      </c>
      <c r="E44" s="435" t="s">
        <v>68</v>
      </c>
      <c r="F44" s="435" t="s">
        <v>274</v>
      </c>
      <c r="G44" s="435" t="s">
        <v>12</v>
      </c>
      <c r="H44" s="435" t="s">
        <v>1759</v>
      </c>
      <c r="I44" s="435" t="s">
        <v>7</v>
      </c>
      <c r="J44" s="435" t="s">
        <v>1761</v>
      </c>
      <c r="K44" s="435" t="s">
        <v>1015</v>
      </c>
      <c r="L44" s="435" t="s">
        <v>104</v>
      </c>
      <c r="N44" s="435" t="s">
        <v>1015</v>
      </c>
      <c r="O44" s="435" t="s">
        <v>233</v>
      </c>
      <c r="AC44" s="435" t="s">
        <v>2</v>
      </c>
      <c r="AE44" s="93">
        <f>SUMIFS('6.1_Capex_summary'!AE$11:AE$167,'6.1_Capex_summary'!$F$11:$F$167,$F44,'6.1_Capex_summary'!$H$11:$H$167,$H44,'6.1_Capex_summary'!$J$11:$J$167,$J44,'6.1_Capex_summary'!$K$11:$K$167,$K44,'6.1_Capex_summary'!$N$11:$N$167,$N44)</f>
        <v>0</v>
      </c>
      <c r="AF44" s="93">
        <f>SUMIFS('6.1_Capex_summary'!AF$11:AF$167,'6.1_Capex_summary'!$F$11:$F$167,$F44,'6.1_Capex_summary'!$H$11:$H$167,$H44,'6.1_Capex_summary'!$J$11:$J$167,$J44,'6.1_Capex_summary'!$K$11:$K$167,$K44,'6.1_Capex_summary'!$N$11:$N$167,$N44)</f>
        <v>0</v>
      </c>
      <c r="AG44" s="93">
        <f>SUMIFS('6.1_Capex_summary'!AG$11:AG$167,'6.1_Capex_summary'!$F$11:$F$167,$F44,'6.1_Capex_summary'!$H$11:$H$167,$H44,'6.1_Capex_summary'!$J$11:$J$167,$J44,'6.1_Capex_summary'!$K$11:$K$167,$K44,'6.1_Capex_summary'!$N$11:$N$167,$N44)</f>
        <v>0</v>
      </c>
      <c r="AH44" s="93">
        <f>SUMIFS('6.1_Capex_summary'!AH$11:AH$167,'6.1_Capex_summary'!$F$11:$F$167,$F44,'6.1_Capex_summary'!$H$11:$H$167,$H44,'6.1_Capex_summary'!$J$11:$J$167,$J44,'6.1_Capex_summary'!$K$11:$K$167,$K44,'6.1_Capex_summary'!$N$11:$N$167,$N44)</f>
        <v>0</v>
      </c>
      <c r="AI44" s="93">
        <f>SUMIFS('6.1_Capex_summary'!AI$11:AI$167,'6.1_Capex_summary'!$F$11:$F$167,$F44,'6.1_Capex_summary'!$H$11:$H$167,$H44,'6.1_Capex_summary'!$J$11:$J$167,$J44,'6.1_Capex_summary'!$K$11:$K$167,$K44,'6.1_Capex_summary'!$N$11:$N$167,$N44)</f>
        <v>0</v>
      </c>
      <c r="AK44" s="435" t="s">
        <v>2871</v>
      </c>
    </row>
    <row r="45" spans="4:37" s="435" customFormat="1">
      <c r="D45" s="435" t="s">
        <v>79</v>
      </c>
      <c r="E45" s="435" t="s">
        <v>68</v>
      </c>
      <c r="F45" s="435" t="s">
        <v>274</v>
      </c>
      <c r="G45" s="435" t="s">
        <v>12</v>
      </c>
      <c r="H45" s="435" t="s">
        <v>1759</v>
      </c>
      <c r="I45" s="435" t="s">
        <v>7</v>
      </c>
      <c r="J45" s="435" t="s">
        <v>1761</v>
      </c>
      <c r="K45" s="435" t="s">
        <v>2869</v>
      </c>
      <c r="N45" s="436" t="s">
        <v>1054</v>
      </c>
      <c r="O45" s="435" t="s">
        <v>233</v>
      </c>
      <c r="AC45" s="435" t="s">
        <v>2</v>
      </c>
      <c r="AE45" s="93">
        <f>SUMIFS('6.1_Capex_summary'!AE$11:AE$167,'6.1_Capex_summary'!$F$11:$F$167,$F45,'6.1_Capex_summary'!$H$11:$H$167,$H45,'6.1_Capex_summary'!$J$11:$J$167,$J45,'6.1_Capex_summary'!$K$11:$K$167,$K45,'6.1_Capex_summary'!$N$11:$N$167,$N45)</f>
        <v>0</v>
      </c>
      <c r="AF45" s="93">
        <f>SUMIFS('6.1_Capex_summary'!AF$11:AF$167,'6.1_Capex_summary'!$F$11:$F$167,$F45,'6.1_Capex_summary'!$H$11:$H$167,$H45,'6.1_Capex_summary'!$J$11:$J$167,$J45,'6.1_Capex_summary'!$K$11:$K$167,$K45,'6.1_Capex_summary'!$N$11:$N$167,$N45)</f>
        <v>0</v>
      </c>
      <c r="AG45" s="93">
        <f>SUMIFS('6.1_Capex_summary'!AG$11:AG$167,'6.1_Capex_summary'!$F$11:$F$167,$F45,'6.1_Capex_summary'!$H$11:$H$167,$H45,'6.1_Capex_summary'!$J$11:$J$167,$J45,'6.1_Capex_summary'!$K$11:$K$167,$K45,'6.1_Capex_summary'!$N$11:$N$167,$N45)</f>
        <v>0</v>
      </c>
      <c r="AH45" s="93">
        <f>SUMIFS('6.1_Capex_summary'!AH$11:AH$167,'6.1_Capex_summary'!$F$11:$F$167,$F45,'6.1_Capex_summary'!$H$11:$H$167,$H45,'6.1_Capex_summary'!$J$11:$J$167,$J45,'6.1_Capex_summary'!$K$11:$K$167,$K45,'6.1_Capex_summary'!$N$11:$N$167,$N45)</f>
        <v>0</v>
      </c>
      <c r="AI45" s="93">
        <f>SUMIFS('6.1_Capex_summary'!AI$11:AI$167,'6.1_Capex_summary'!$F$11:$F$167,$F45,'6.1_Capex_summary'!$H$11:$H$167,$H45,'6.1_Capex_summary'!$J$11:$J$167,$J45,'6.1_Capex_summary'!$K$11:$K$167,$K45,'6.1_Capex_summary'!$N$11:$N$167,$N45)</f>
        <v>0</v>
      </c>
      <c r="AK45" s="435" t="s">
        <v>2871</v>
      </c>
    </row>
    <row r="46" spans="4:37" s="435" customFormat="1">
      <c r="D46" s="435" t="s">
        <v>79</v>
      </c>
      <c r="E46" s="435" t="s">
        <v>68</v>
      </c>
      <c r="F46" s="435" t="s">
        <v>274</v>
      </c>
      <c r="G46" s="435" t="s">
        <v>12</v>
      </c>
      <c r="H46" s="435" t="s">
        <v>1759</v>
      </c>
      <c r="I46" s="435" t="s">
        <v>7</v>
      </c>
      <c r="J46" s="435" t="s">
        <v>1761</v>
      </c>
      <c r="K46" s="435" t="s">
        <v>294</v>
      </c>
      <c r="N46" s="436" t="s">
        <v>1054</v>
      </c>
      <c r="O46" s="435" t="s">
        <v>233</v>
      </c>
      <c r="AC46" s="435" t="s">
        <v>2</v>
      </c>
      <c r="AE46" s="93">
        <f>SUMIFS('6.1_Capex_summary'!AE$11:AE$167,'6.1_Capex_summary'!$F$11:$F$167,$F46,'6.1_Capex_summary'!$H$11:$H$167,$H46,'6.1_Capex_summary'!$J$11:$J$167,$J46,'6.1_Capex_summary'!$K$11:$K$167,$K46,'6.1_Capex_summary'!$N$11:$N$167,$N46)</f>
        <v>0</v>
      </c>
      <c r="AF46" s="93">
        <f>SUMIFS('6.1_Capex_summary'!AF$11:AF$167,'6.1_Capex_summary'!$F$11:$F$167,$F46,'6.1_Capex_summary'!$H$11:$H$167,$H46,'6.1_Capex_summary'!$J$11:$J$167,$J46,'6.1_Capex_summary'!$K$11:$K$167,$K46,'6.1_Capex_summary'!$N$11:$N$167,$N46)</f>
        <v>0</v>
      </c>
      <c r="AG46" s="93">
        <f>SUMIFS('6.1_Capex_summary'!AG$11:AG$167,'6.1_Capex_summary'!$F$11:$F$167,$F46,'6.1_Capex_summary'!$H$11:$H$167,$H46,'6.1_Capex_summary'!$J$11:$J$167,$J46,'6.1_Capex_summary'!$K$11:$K$167,$K46,'6.1_Capex_summary'!$N$11:$N$167,$N46)</f>
        <v>0</v>
      </c>
      <c r="AH46" s="93">
        <f>SUMIFS('6.1_Capex_summary'!AH$11:AH$167,'6.1_Capex_summary'!$F$11:$F$167,$F46,'6.1_Capex_summary'!$H$11:$H$167,$H46,'6.1_Capex_summary'!$J$11:$J$167,$J46,'6.1_Capex_summary'!$K$11:$K$167,$K46,'6.1_Capex_summary'!$N$11:$N$167,$N46)</f>
        <v>0</v>
      </c>
      <c r="AI46" s="93">
        <f>SUMIFS('6.1_Capex_summary'!AI$11:AI$167,'6.1_Capex_summary'!$F$11:$F$167,$F46,'6.1_Capex_summary'!$H$11:$H$167,$H46,'6.1_Capex_summary'!$J$11:$J$167,$J46,'6.1_Capex_summary'!$K$11:$K$167,$K46,'6.1_Capex_summary'!$N$11:$N$167,$N46)</f>
        <v>0</v>
      </c>
      <c r="AK46" s="435" t="s">
        <v>2871</v>
      </c>
    </row>
    <row r="47" spans="4:37" s="435" customFormat="1">
      <c r="D47" s="435" t="s">
        <v>79</v>
      </c>
      <c r="E47" s="435" t="s">
        <v>68</v>
      </c>
      <c r="F47" s="435" t="s">
        <v>274</v>
      </c>
      <c r="G47" s="435" t="s">
        <v>12</v>
      </c>
      <c r="H47" s="435" t="s">
        <v>1690</v>
      </c>
      <c r="I47" s="435" t="s">
        <v>7</v>
      </c>
      <c r="J47" s="435" t="s">
        <v>1766</v>
      </c>
      <c r="K47" s="436" t="s">
        <v>1054</v>
      </c>
      <c r="N47" s="436" t="s">
        <v>1054</v>
      </c>
      <c r="O47" s="435" t="s">
        <v>237</v>
      </c>
      <c r="AC47" s="435" t="s">
        <v>2</v>
      </c>
      <c r="AE47" s="93">
        <f>'6.1_Capex_summary'!AE87</f>
        <v>0</v>
      </c>
      <c r="AF47" s="93">
        <f>'6.1_Capex_summary'!AF87</f>
        <v>0</v>
      </c>
      <c r="AG47" s="93">
        <f>'6.1_Capex_summary'!AG87</f>
        <v>0</v>
      </c>
      <c r="AH47" s="93">
        <f>'6.1_Capex_summary'!AH87</f>
        <v>0</v>
      </c>
      <c r="AI47" s="93">
        <f>'6.1_Capex_summary'!AI87</f>
        <v>0</v>
      </c>
      <c r="AK47" s="435" t="s">
        <v>2871</v>
      </c>
    </row>
    <row r="48" spans="4:37" s="435" customFormat="1">
      <c r="D48" s="435" t="s">
        <v>79</v>
      </c>
      <c r="E48" s="435" t="s">
        <v>68</v>
      </c>
      <c r="F48" s="435" t="s">
        <v>274</v>
      </c>
      <c r="G48" s="435" t="s">
        <v>12</v>
      </c>
      <c r="H48" s="435" t="s">
        <v>1690</v>
      </c>
      <c r="I48" s="435" t="s">
        <v>7</v>
      </c>
      <c r="J48" s="435" t="s">
        <v>1086</v>
      </c>
      <c r="K48" s="436" t="s">
        <v>1054</v>
      </c>
      <c r="N48" s="436" t="s">
        <v>1054</v>
      </c>
      <c r="O48" s="694" t="s">
        <v>234</v>
      </c>
      <c r="AC48" s="435" t="s">
        <v>2</v>
      </c>
      <c r="AE48" s="93" cm="1">
        <f t="array" ref="AE48">SUM('6.6 PSUP_Capex'!AE76:AE80+SUM('6.6 PSUP_Capex'!AE86:AE90+SUM('6.6 PSUP_Capex'!AE104:AE109)))</f>
        <v>0</v>
      </c>
      <c r="AF48" s="93" cm="1">
        <f t="array" ref="AF48">SUM('6.6 PSUP_Capex'!AF76:AF80+SUM('6.6 PSUP_Capex'!AF86:AF90+SUM('6.6 PSUP_Capex'!AF104:AF109)))</f>
        <v>0</v>
      </c>
      <c r="AG48" s="93" cm="1">
        <f t="array" ref="AG48">SUM('6.6 PSUP_Capex'!AG76:AG80+SUM('6.6 PSUP_Capex'!AG86:AG90+SUM('6.6 PSUP_Capex'!AG104:AG109)))</f>
        <v>0</v>
      </c>
      <c r="AH48" s="93" cm="1">
        <f t="array" ref="AH48">SUM('6.6 PSUP_Capex'!AH76:AH80+SUM('6.6 PSUP_Capex'!AH86:AH90+SUM('6.6 PSUP_Capex'!AH104:AH109)))</f>
        <v>0</v>
      </c>
      <c r="AI48" s="93" cm="1">
        <f t="array" ref="AI48">SUM('6.6 PSUP_Capex'!AI76:AI80+SUM('6.6 PSUP_Capex'!AI86:AI90+SUM('6.6 PSUP_Capex'!AI104:AI109)))</f>
        <v>0</v>
      </c>
      <c r="AK48" s="435" t="s">
        <v>2871</v>
      </c>
    </row>
    <row r="49" spans="1:37" s="435" customFormat="1">
      <c r="D49" s="435" t="s">
        <v>79</v>
      </c>
      <c r="E49" s="435" t="s">
        <v>68</v>
      </c>
      <c r="F49" s="435" t="s">
        <v>274</v>
      </c>
      <c r="G49" s="435" t="s">
        <v>12</v>
      </c>
      <c r="H49" s="435" t="s">
        <v>1690</v>
      </c>
      <c r="I49" s="435" t="s">
        <v>7</v>
      </c>
      <c r="J49" s="435" t="s">
        <v>1086</v>
      </c>
      <c r="K49" s="435" t="s">
        <v>104</v>
      </c>
      <c r="N49" s="436" t="s">
        <v>1054</v>
      </c>
      <c r="O49" s="694" t="s">
        <v>234</v>
      </c>
      <c r="AC49" s="435" t="s">
        <v>2</v>
      </c>
      <c r="AE49" s="93">
        <f>SUM('2.3 Resilience Interface'!AE13:AE14)+SUM('6.6 PSUP_Capex'!AE13:AE50)</f>
        <v>0</v>
      </c>
      <c r="AF49" s="93">
        <f>SUM('2.3 Resilience Interface'!AF13:AF14)+SUM('6.6 PSUP_Capex'!AF13:AF50)</f>
        <v>0</v>
      </c>
      <c r="AG49" s="93">
        <f>SUM('2.3 Resilience Interface'!AG13:AG14)+SUM('6.6 PSUP_Capex'!AG13:AG50)</f>
        <v>0</v>
      </c>
      <c r="AH49" s="93">
        <f>SUM('2.3 Resilience Interface'!AH13:AH14)+SUM('6.6 PSUP_Capex'!AH13:AH50)</f>
        <v>0</v>
      </c>
      <c r="AI49" s="93">
        <f>SUM('2.3 Resilience Interface'!AI13:AI14)+SUM('6.6 PSUP_Capex'!AI13:AI50)</f>
        <v>0</v>
      </c>
      <c r="AK49" s="435" t="s">
        <v>2871</v>
      </c>
    </row>
    <row r="50" spans="1:37" s="435" customFormat="1">
      <c r="D50" s="435" t="s">
        <v>79</v>
      </c>
      <c r="E50" s="435" t="s">
        <v>68</v>
      </c>
      <c r="F50" s="435" t="s">
        <v>274</v>
      </c>
      <c r="G50" s="435" t="s">
        <v>12</v>
      </c>
      <c r="H50" s="435" t="s">
        <v>1690</v>
      </c>
      <c r="I50" s="435" t="s">
        <v>7</v>
      </c>
      <c r="J50" s="435" t="s">
        <v>1086</v>
      </c>
      <c r="K50" s="435" t="s">
        <v>2627</v>
      </c>
      <c r="N50" s="436" t="s">
        <v>1054</v>
      </c>
      <c r="O50" s="694" t="s">
        <v>234</v>
      </c>
      <c r="AC50" s="435" t="s">
        <v>2</v>
      </c>
      <c r="AE50" s="93">
        <f>SUM('2.3 Resilience Interface'!AE23:AE24)</f>
        <v>0</v>
      </c>
      <c r="AF50" s="93">
        <f>SUM('2.3 Resilience Interface'!AF23:AF24)</f>
        <v>0</v>
      </c>
      <c r="AG50" s="93">
        <f>SUM('2.3 Resilience Interface'!AG23:AG24)</f>
        <v>0</v>
      </c>
      <c r="AH50" s="93">
        <f>SUM('2.3 Resilience Interface'!AH23:AH24)</f>
        <v>0</v>
      </c>
      <c r="AI50" s="93">
        <f>SUM('2.3 Resilience Interface'!AI23:AI24)</f>
        <v>0</v>
      </c>
      <c r="AK50" s="435" t="s">
        <v>2871</v>
      </c>
    </row>
    <row r="51" spans="1:37" s="435" customFormat="1">
      <c r="D51" s="435" t="s">
        <v>79</v>
      </c>
      <c r="E51" s="435" t="s">
        <v>68</v>
      </c>
      <c r="F51" s="435" t="s">
        <v>274</v>
      </c>
      <c r="G51" s="435" t="s">
        <v>12</v>
      </c>
      <c r="H51" s="435" t="s">
        <v>1049</v>
      </c>
      <c r="I51" s="435" t="s">
        <v>1</v>
      </c>
      <c r="J51" s="435" t="s">
        <v>2867</v>
      </c>
      <c r="K51" s="436" t="s">
        <v>1054</v>
      </c>
      <c r="N51" s="436" t="s">
        <v>1054</v>
      </c>
      <c r="O51" s="920" t="s">
        <v>236</v>
      </c>
      <c r="AC51" s="435" t="s">
        <v>2</v>
      </c>
      <c r="AE51" s="93">
        <f>SUM('5.1 TO_Indirects'!AE13:AE21)-'5.1 TO_Indirects'!AE49</f>
        <v>0</v>
      </c>
      <c r="AF51" s="93">
        <f>SUM('5.1 TO_Indirects'!AF13:AF21)-'5.1 TO_Indirects'!AF49</f>
        <v>0</v>
      </c>
      <c r="AG51" s="93">
        <f>SUM('5.1 TO_Indirects'!AG13:AG21)-'5.1 TO_Indirects'!AG49</f>
        <v>0</v>
      </c>
      <c r="AH51" s="93">
        <f>SUM('5.1 TO_Indirects'!AH13:AH21)-'5.1 TO_Indirects'!AH49</f>
        <v>0</v>
      </c>
      <c r="AI51" s="93">
        <f>SUM('5.1 TO_Indirects'!AI13:AI21)-'5.1 TO_Indirects'!AI49</f>
        <v>0</v>
      </c>
      <c r="AK51" s="435" t="s">
        <v>2871</v>
      </c>
    </row>
    <row r="52" spans="1:37" s="435" customFormat="1">
      <c r="D52" s="435" t="s">
        <v>79</v>
      </c>
      <c r="E52" s="435" t="s">
        <v>68</v>
      </c>
      <c r="F52" s="435" t="s">
        <v>274</v>
      </c>
      <c r="G52" s="435" t="s">
        <v>12</v>
      </c>
      <c r="H52" s="435" t="s">
        <v>1049</v>
      </c>
      <c r="I52" s="435" t="s">
        <v>1</v>
      </c>
      <c r="J52" s="435" t="s">
        <v>2647</v>
      </c>
      <c r="K52" s="436" t="s">
        <v>1054</v>
      </c>
      <c r="N52" s="436" t="s">
        <v>1054</v>
      </c>
      <c r="O52" s="920" t="s">
        <v>236</v>
      </c>
      <c r="AC52" s="435" t="s">
        <v>2</v>
      </c>
      <c r="AE52" s="93">
        <f>SUM('5.1 TO_Indirects'!AE25:AE39)</f>
        <v>0</v>
      </c>
      <c r="AF52" s="93">
        <f>SUM('5.1 TO_Indirects'!AF25:AF39)</f>
        <v>0</v>
      </c>
      <c r="AG52" s="93">
        <f>SUM('5.1 TO_Indirects'!AG25:AG39)</f>
        <v>0</v>
      </c>
      <c r="AH52" s="93">
        <f>SUM('5.1 TO_Indirects'!AH25:AH39)</f>
        <v>0</v>
      </c>
      <c r="AI52" s="93">
        <f>SUM('5.1 TO_Indirects'!AI25:AI39)</f>
        <v>0</v>
      </c>
      <c r="AK52" s="435" t="s">
        <v>2871</v>
      </c>
    </row>
    <row r="53" spans="1:37" s="435" customFormat="1">
      <c r="D53" s="435" t="s">
        <v>79</v>
      </c>
      <c r="E53" s="435" t="s">
        <v>68</v>
      </c>
      <c r="F53" s="435" t="s">
        <v>274</v>
      </c>
      <c r="G53" s="435" t="s">
        <v>12</v>
      </c>
      <c r="H53" s="435" t="s">
        <v>1049</v>
      </c>
      <c r="I53" s="435" t="s">
        <v>1</v>
      </c>
      <c r="J53" s="435" t="s">
        <v>1764</v>
      </c>
      <c r="K53" s="436" t="s">
        <v>1054</v>
      </c>
      <c r="N53" s="436" t="s">
        <v>1054</v>
      </c>
      <c r="O53" s="920" t="s">
        <v>236</v>
      </c>
      <c r="AC53" s="435" t="s">
        <v>2</v>
      </c>
      <c r="AE53" s="93">
        <f>SUM('5.6 Quarry_Loss_CV'!AE13:AE24)</f>
        <v>0</v>
      </c>
      <c r="AF53" s="93">
        <f>SUM('5.6 Quarry_Loss_CV'!AF13:AF24)</f>
        <v>0</v>
      </c>
      <c r="AG53" s="93">
        <f>SUM('5.6 Quarry_Loss_CV'!AG13:AG24)</f>
        <v>0</v>
      </c>
      <c r="AH53" s="93">
        <f>SUM('5.6 Quarry_Loss_CV'!AH13:AH24)</f>
        <v>0</v>
      </c>
      <c r="AI53" s="93">
        <f>SUM('5.6 Quarry_Loss_CV'!AI13:AI24)</f>
        <v>0</v>
      </c>
      <c r="AK53" s="435" t="s">
        <v>2871</v>
      </c>
    </row>
    <row r="54" spans="1:37" s="435" customFormat="1">
      <c r="D54" s="435" t="s">
        <v>79</v>
      </c>
      <c r="E54" s="435" t="s">
        <v>68</v>
      </c>
      <c r="F54" s="435" t="s">
        <v>274</v>
      </c>
      <c r="G54" s="435" t="s">
        <v>12</v>
      </c>
      <c r="H54" s="435" t="s">
        <v>1049</v>
      </c>
      <c r="I54" s="435" t="s">
        <v>1</v>
      </c>
      <c r="J54" s="435" t="s">
        <v>1765</v>
      </c>
      <c r="K54" s="436" t="s">
        <v>1054</v>
      </c>
      <c r="N54" s="436" t="s">
        <v>1054</v>
      </c>
      <c r="O54" s="920" t="s">
        <v>236</v>
      </c>
      <c r="AC54" s="435" t="s">
        <v>2</v>
      </c>
      <c r="AE54" s="93">
        <f>SUM('5.1 TO_Indirects'!AE44:AE45)</f>
        <v>0</v>
      </c>
      <c r="AF54" s="93">
        <f>SUM('5.1 TO_Indirects'!AF44:AF45)</f>
        <v>0</v>
      </c>
      <c r="AG54" s="93">
        <f>SUM('5.1 TO_Indirects'!AG44:AG45)</f>
        <v>0</v>
      </c>
      <c r="AH54" s="93">
        <f>SUM('5.1 TO_Indirects'!AH44:AH45)</f>
        <v>0</v>
      </c>
      <c r="AI54" s="93">
        <f>SUM('5.1 TO_Indirects'!AI44:AI45)</f>
        <v>0</v>
      </c>
      <c r="AK54" s="435" t="s">
        <v>2871</v>
      </c>
    </row>
    <row r="55" spans="1:37" s="435" customFormat="1">
      <c r="D55" s="435" t="s">
        <v>79</v>
      </c>
      <c r="E55" s="435" t="s">
        <v>68</v>
      </c>
      <c r="F55" s="435" t="s">
        <v>274</v>
      </c>
      <c r="G55" s="435" t="s">
        <v>12</v>
      </c>
      <c r="H55" s="435" t="s">
        <v>1768</v>
      </c>
      <c r="I55" s="435" t="s">
        <v>1</v>
      </c>
      <c r="J55" s="435" t="s">
        <v>11</v>
      </c>
      <c r="K55" s="435" t="s">
        <v>144</v>
      </c>
      <c r="N55" s="436" t="s">
        <v>1054</v>
      </c>
      <c r="O55" s="920" t="s">
        <v>235</v>
      </c>
      <c r="AC55" s="435" t="s">
        <v>2</v>
      </c>
      <c r="AE55" s="93">
        <f>SUM('5.3 TO_Direct_Opex'!AE44:AE51)</f>
        <v>0</v>
      </c>
      <c r="AF55" s="93">
        <f>SUM('5.3 TO_Direct_Opex'!AF44:AF51)</f>
        <v>0</v>
      </c>
      <c r="AG55" s="93">
        <f>SUM('5.3 TO_Direct_Opex'!AG44:AG51)</f>
        <v>0</v>
      </c>
      <c r="AH55" s="93">
        <f>SUM('5.3 TO_Direct_Opex'!AH44:AH51)</f>
        <v>0</v>
      </c>
      <c r="AI55" s="93">
        <f>SUM('5.3 TO_Direct_Opex'!AI44:AI51)</f>
        <v>0</v>
      </c>
      <c r="AK55" s="435" t="s">
        <v>2871</v>
      </c>
    </row>
    <row r="56" spans="1:37" s="435" customFormat="1">
      <c r="D56" s="435" t="s">
        <v>79</v>
      </c>
      <c r="E56" s="435" t="s">
        <v>68</v>
      </c>
      <c r="F56" s="435" t="s">
        <v>274</v>
      </c>
      <c r="G56" s="435" t="s">
        <v>12</v>
      </c>
      <c r="H56" s="435" t="s">
        <v>1768</v>
      </c>
      <c r="I56" s="435" t="s">
        <v>1</v>
      </c>
      <c r="J56" s="435" t="s">
        <v>11</v>
      </c>
      <c r="K56" s="435" t="s">
        <v>145</v>
      </c>
      <c r="N56" s="436" t="s">
        <v>1054</v>
      </c>
      <c r="O56" s="920" t="s">
        <v>235</v>
      </c>
      <c r="AC56" s="435" t="s">
        <v>2</v>
      </c>
      <c r="AE56" s="93">
        <f>SUM('5.3 TO_Direct_Opex'!AE13:AE40)</f>
        <v>0</v>
      </c>
      <c r="AF56" s="93">
        <f>SUM('5.3 TO_Direct_Opex'!AF13:AF40)</f>
        <v>0</v>
      </c>
      <c r="AG56" s="93">
        <f>SUM('5.3 TO_Direct_Opex'!AG13:AG40)</f>
        <v>0</v>
      </c>
      <c r="AH56" s="93">
        <f>SUM('5.3 TO_Direct_Opex'!AH13:AH40)</f>
        <v>0</v>
      </c>
      <c r="AI56" s="93">
        <f>SUM('5.3 TO_Direct_Opex'!AI13:AI40)</f>
        <v>0</v>
      </c>
      <c r="AK56" s="435" t="s">
        <v>2871</v>
      </c>
    </row>
    <row r="57" spans="1:37" s="435" customFormat="1">
      <c r="D57" s="435" t="s">
        <v>79</v>
      </c>
      <c r="E57" s="435" t="s">
        <v>68</v>
      </c>
      <c r="F57" s="435" t="s">
        <v>274</v>
      </c>
      <c r="G57" s="435" t="s">
        <v>12</v>
      </c>
      <c r="H57" s="435" t="s">
        <v>1768</v>
      </c>
      <c r="I57" s="435" t="s">
        <v>1</v>
      </c>
      <c r="J57" s="435" t="s">
        <v>11</v>
      </c>
      <c r="K57" s="435" t="s">
        <v>211</v>
      </c>
      <c r="N57" s="436" t="s">
        <v>1054</v>
      </c>
      <c r="O57" s="920" t="s">
        <v>235</v>
      </c>
      <c r="AC57" s="435" t="s">
        <v>2</v>
      </c>
      <c r="AE57" s="93">
        <f>SUM('5.3 TO_Direct_Opex'!AE55:AE56)</f>
        <v>0</v>
      </c>
      <c r="AF57" s="93">
        <f>SUM('5.3 TO_Direct_Opex'!AF55:AF56)</f>
        <v>0</v>
      </c>
      <c r="AG57" s="93">
        <f>SUM('5.3 TO_Direct_Opex'!AG55:AG56)</f>
        <v>0</v>
      </c>
      <c r="AH57" s="93">
        <f>SUM('5.3 TO_Direct_Opex'!AH55:AH56)</f>
        <v>0</v>
      </c>
      <c r="AI57" s="93">
        <f>SUM('5.3 TO_Direct_Opex'!AI55:AI56)</f>
        <v>0</v>
      </c>
      <c r="AK57" s="435" t="s">
        <v>2871</v>
      </c>
    </row>
    <row r="58" spans="1:37" s="435" customFormat="1">
      <c r="D58" s="435" t="s">
        <v>79</v>
      </c>
      <c r="E58" s="435" t="s">
        <v>68</v>
      </c>
      <c r="F58" s="435" t="s">
        <v>274</v>
      </c>
      <c r="G58" s="435" t="s">
        <v>12</v>
      </c>
      <c r="H58" s="435" t="s">
        <v>1768</v>
      </c>
      <c r="I58" s="435" t="s">
        <v>1</v>
      </c>
      <c r="J58" s="435" t="s">
        <v>11</v>
      </c>
      <c r="K58" s="435" t="s">
        <v>2629</v>
      </c>
      <c r="N58" s="436" t="s">
        <v>1054</v>
      </c>
      <c r="O58" s="920" t="s">
        <v>235</v>
      </c>
      <c r="AC58" s="435" t="s">
        <v>2</v>
      </c>
      <c r="AE58" s="93">
        <f>SUM('5.7 PSUP_Opex'!AE13:AE16)+SUM('5.7 PSUP_Opex'!AE20:AE23)</f>
        <v>0</v>
      </c>
      <c r="AF58" s="93">
        <f>SUM('5.7 PSUP_Opex'!AF13:AF16)+SUM('5.7 PSUP_Opex'!AF20:AF23)</f>
        <v>0</v>
      </c>
      <c r="AG58" s="93">
        <f>SUM('5.7 PSUP_Opex'!AG13:AG16)+SUM('5.7 PSUP_Opex'!AG20:AG23)</f>
        <v>0</v>
      </c>
      <c r="AH58" s="93">
        <f>SUM('5.7 PSUP_Opex'!AH13:AH16)+SUM('5.7 PSUP_Opex'!AH20:AH23)</f>
        <v>0</v>
      </c>
      <c r="AI58" s="93">
        <f>SUM('5.7 PSUP_Opex'!AI13:AI16)+SUM('5.7 PSUP_Opex'!AI20:AI23)</f>
        <v>0</v>
      </c>
      <c r="AK58" s="435" t="s">
        <v>2871</v>
      </c>
    </row>
    <row r="59" spans="1:37" s="435" customFormat="1">
      <c r="D59" s="831" t="s">
        <v>79</v>
      </c>
      <c r="E59" s="831" t="s">
        <v>68</v>
      </c>
      <c r="F59" s="831" t="s">
        <v>274</v>
      </c>
      <c r="G59" s="831" t="s">
        <v>12</v>
      </c>
      <c r="H59" s="435" t="s">
        <v>1690</v>
      </c>
      <c r="I59" s="435" t="s">
        <v>7</v>
      </c>
      <c r="J59" s="99"/>
      <c r="K59" s="99" t="s">
        <v>2626</v>
      </c>
      <c r="N59" s="436" t="s">
        <v>1054</v>
      </c>
      <c r="O59" s="58" t="s">
        <v>234</v>
      </c>
      <c r="AC59" s="435" t="s">
        <v>2</v>
      </c>
      <c r="AE59" s="81"/>
      <c r="AF59" s="81"/>
      <c r="AG59" s="81"/>
      <c r="AH59" s="81"/>
      <c r="AI59" s="81"/>
      <c r="AK59" s="99" t="s">
        <v>3151</v>
      </c>
    </row>
    <row r="60" spans="1:37" s="435" customFormat="1"/>
    <row r="61" spans="1:37" s="1" customFormat="1" ht="13.9">
      <c r="A61" s="66"/>
      <c r="B61" s="78" t="s">
        <v>2634</v>
      </c>
    </row>
    <row r="62" spans="1:37" s="435" customFormat="1"/>
    <row r="63" spans="1:37" s="435" customFormat="1">
      <c r="D63" s="58" t="s">
        <v>79</v>
      </c>
      <c r="E63" s="58" t="s">
        <v>68</v>
      </c>
      <c r="F63" s="58" t="s">
        <v>296</v>
      </c>
      <c r="G63" s="58" t="s">
        <v>12</v>
      </c>
      <c r="H63" s="58" t="s">
        <v>276</v>
      </c>
      <c r="I63" s="58" t="s">
        <v>7</v>
      </c>
      <c r="J63" s="58" t="s">
        <v>277</v>
      </c>
      <c r="K63" s="58"/>
      <c r="N63" s="436" t="s">
        <v>1054</v>
      </c>
      <c r="O63" s="435" t="s">
        <v>238</v>
      </c>
      <c r="AC63" s="435" t="s">
        <v>2</v>
      </c>
      <c r="AE63" s="93">
        <f>SUM('6.1_Capex_summary'!AE101:AE104)</f>
        <v>0</v>
      </c>
      <c r="AF63" s="93">
        <f>SUM('6.1_Capex_summary'!AF101:AF104)</f>
        <v>0</v>
      </c>
      <c r="AG63" s="93">
        <f>SUM('6.1_Capex_summary'!AG101:AG104)</f>
        <v>0</v>
      </c>
      <c r="AH63" s="93">
        <f>SUM('6.1_Capex_summary'!AH101:AH104)</f>
        <v>0</v>
      </c>
      <c r="AI63" s="93">
        <f>SUM('6.1_Capex_summary'!AI101:AI104)</f>
        <v>0</v>
      </c>
      <c r="AK63" s="435" t="s">
        <v>2871</v>
      </c>
    </row>
    <row r="64" spans="1:37" s="435" customFormat="1">
      <c r="D64" s="58" t="s">
        <v>79</v>
      </c>
      <c r="E64" s="58" t="s">
        <v>68</v>
      </c>
      <c r="F64" s="58" t="s">
        <v>296</v>
      </c>
      <c r="G64" s="58" t="s">
        <v>12</v>
      </c>
      <c r="H64" s="58" t="s">
        <v>276</v>
      </c>
      <c r="I64" s="58" t="s">
        <v>7</v>
      </c>
      <c r="J64" s="58" t="s">
        <v>1758</v>
      </c>
      <c r="K64" s="58"/>
      <c r="N64" s="436" t="s">
        <v>1054</v>
      </c>
      <c r="O64" s="435" t="s">
        <v>238</v>
      </c>
      <c r="AC64" s="435" t="s">
        <v>2</v>
      </c>
      <c r="AE64" s="93">
        <f>SUM('6.1_Capex_summary'!AD108:AD111)</f>
        <v>0</v>
      </c>
      <c r="AF64" s="93">
        <f>SUM('6.1_Capex_summary'!AE108:AE111)</f>
        <v>0</v>
      </c>
      <c r="AG64" s="93">
        <f>SUM('6.1_Capex_summary'!AF108:AF111)</f>
        <v>0</v>
      </c>
      <c r="AH64" s="93">
        <f>SUM('6.1_Capex_summary'!AG108:AG111)</f>
        <v>0</v>
      </c>
      <c r="AI64" s="93">
        <f>SUM('6.1_Capex_summary'!AH108:AH111)</f>
        <v>0</v>
      </c>
      <c r="AK64" s="435" t="s">
        <v>2871</v>
      </c>
    </row>
    <row r="65" spans="4:37" s="435" customFormat="1">
      <c r="D65" s="58" t="s">
        <v>79</v>
      </c>
      <c r="E65" s="58" t="s">
        <v>68</v>
      </c>
      <c r="F65" s="58" t="s">
        <v>296</v>
      </c>
      <c r="G65" s="58" t="s">
        <v>12</v>
      </c>
      <c r="H65" s="58" t="s">
        <v>1759</v>
      </c>
      <c r="I65" s="58" t="s">
        <v>7</v>
      </c>
      <c r="J65" s="58" t="s">
        <v>1760</v>
      </c>
      <c r="K65" s="58" t="s">
        <v>1846</v>
      </c>
      <c r="N65" s="436" t="s">
        <v>1054</v>
      </c>
      <c r="O65" s="694" t="s">
        <v>239</v>
      </c>
      <c r="AC65" s="435" t="s">
        <v>2</v>
      </c>
      <c r="AE65" s="93">
        <f>'6.1_Capex_summary'!AE129</f>
        <v>0</v>
      </c>
      <c r="AF65" s="93">
        <f>'6.1_Capex_summary'!AF129</f>
        <v>0</v>
      </c>
      <c r="AG65" s="93">
        <f>'6.1_Capex_summary'!AG129</f>
        <v>0</v>
      </c>
      <c r="AH65" s="93">
        <f>'6.1_Capex_summary'!AH129</f>
        <v>0</v>
      </c>
      <c r="AI65" s="93">
        <f>'6.1_Capex_summary'!AI129</f>
        <v>0</v>
      </c>
      <c r="AK65" s="435" t="s">
        <v>2871</v>
      </c>
    </row>
    <row r="66" spans="4:37" s="435" customFormat="1">
      <c r="D66" s="58" t="s">
        <v>79</v>
      </c>
      <c r="E66" s="58" t="s">
        <v>68</v>
      </c>
      <c r="F66" s="58" t="s">
        <v>296</v>
      </c>
      <c r="G66" s="58" t="s">
        <v>12</v>
      </c>
      <c r="H66" s="58" t="s">
        <v>1759</v>
      </c>
      <c r="I66" s="58" t="s">
        <v>7</v>
      </c>
      <c r="J66" s="58" t="s">
        <v>1760</v>
      </c>
      <c r="K66" s="58" t="s">
        <v>3138</v>
      </c>
      <c r="N66" s="436" t="s">
        <v>1054</v>
      </c>
      <c r="O66" s="694" t="s">
        <v>239</v>
      </c>
      <c r="AC66" s="435" t="s">
        <v>2</v>
      </c>
      <c r="AE66" s="93">
        <f>'6.1_Capex_summary'!AE130</f>
        <v>0</v>
      </c>
      <c r="AF66" s="93">
        <f>'6.1_Capex_summary'!AF130</f>
        <v>0</v>
      </c>
      <c r="AG66" s="93">
        <f>'6.1_Capex_summary'!AG130</f>
        <v>0</v>
      </c>
      <c r="AH66" s="93">
        <f>'6.1_Capex_summary'!AH130</f>
        <v>0</v>
      </c>
      <c r="AI66" s="93">
        <f>'6.1_Capex_summary'!AI130</f>
        <v>0</v>
      </c>
      <c r="AK66" s="435" t="s">
        <v>2871</v>
      </c>
    </row>
    <row r="67" spans="4:37" s="435" customFormat="1">
      <c r="D67" s="58" t="s">
        <v>79</v>
      </c>
      <c r="E67" s="58" t="s">
        <v>68</v>
      </c>
      <c r="F67" s="58" t="s">
        <v>296</v>
      </c>
      <c r="G67" s="58" t="s">
        <v>12</v>
      </c>
      <c r="H67" s="58" t="s">
        <v>1759</v>
      </c>
      <c r="I67" s="58" t="s">
        <v>7</v>
      </c>
      <c r="J67" s="58" t="s">
        <v>1760</v>
      </c>
      <c r="K67" s="58" t="s">
        <v>971</v>
      </c>
      <c r="N67" s="436" t="s">
        <v>1054</v>
      </c>
      <c r="O67" s="694" t="s">
        <v>239</v>
      </c>
      <c r="AC67" s="435" t="s">
        <v>2</v>
      </c>
      <c r="AE67" s="93">
        <f>'6.1_Capex_summary'!AE131</f>
        <v>0</v>
      </c>
      <c r="AF67" s="93">
        <f>'6.1_Capex_summary'!AF131</f>
        <v>0</v>
      </c>
      <c r="AG67" s="93">
        <f>'6.1_Capex_summary'!AG131</f>
        <v>0</v>
      </c>
      <c r="AH67" s="93">
        <f>'6.1_Capex_summary'!AH131</f>
        <v>0</v>
      </c>
      <c r="AI67" s="93">
        <f>'6.1_Capex_summary'!AI131</f>
        <v>0</v>
      </c>
      <c r="AK67" s="435" t="s">
        <v>2871</v>
      </c>
    </row>
    <row r="68" spans="4:37" s="435" customFormat="1">
      <c r="D68" s="58" t="s">
        <v>79</v>
      </c>
      <c r="E68" s="58" t="s">
        <v>68</v>
      </c>
      <c r="F68" s="58" t="s">
        <v>296</v>
      </c>
      <c r="G68" s="58" t="s">
        <v>12</v>
      </c>
      <c r="H68" s="58" t="s">
        <v>1759</v>
      </c>
      <c r="I68" s="58" t="s">
        <v>7</v>
      </c>
      <c r="J68" s="58" t="s">
        <v>1760</v>
      </c>
      <c r="K68" s="58" t="s">
        <v>3139</v>
      </c>
      <c r="N68" s="436" t="s">
        <v>1054</v>
      </c>
      <c r="O68" s="694" t="s">
        <v>239</v>
      </c>
      <c r="AC68" s="435" t="s">
        <v>2</v>
      </c>
      <c r="AE68" s="93">
        <f>'6.1_Capex_summary'!AE132</f>
        <v>0</v>
      </c>
      <c r="AF68" s="93">
        <f>'6.1_Capex_summary'!AF132</f>
        <v>0</v>
      </c>
      <c r="AG68" s="93">
        <f>'6.1_Capex_summary'!AG132</f>
        <v>0</v>
      </c>
      <c r="AH68" s="93">
        <f>'6.1_Capex_summary'!AH132</f>
        <v>0</v>
      </c>
      <c r="AI68" s="93">
        <f>'6.1_Capex_summary'!AI132</f>
        <v>0</v>
      </c>
      <c r="AK68" s="435" t="s">
        <v>2871</v>
      </c>
    </row>
    <row r="69" spans="4:37" s="435" customFormat="1">
      <c r="D69" s="58" t="s">
        <v>79</v>
      </c>
      <c r="E69" s="58" t="s">
        <v>68</v>
      </c>
      <c r="F69" s="58" t="s">
        <v>296</v>
      </c>
      <c r="G69" s="58" t="s">
        <v>12</v>
      </c>
      <c r="H69" s="58" t="s">
        <v>1759</v>
      </c>
      <c r="I69" s="58" t="s">
        <v>7</v>
      </c>
      <c r="J69" s="58" t="s">
        <v>299</v>
      </c>
      <c r="K69" s="58" t="s">
        <v>323</v>
      </c>
      <c r="N69" s="436" t="s">
        <v>1054</v>
      </c>
      <c r="O69" s="694" t="s">
        <v>239</v>
      </c>
      <c r="AC69" s="435" t="s">
        <v>2</v>
      </c>
      <c r="AE69" s="93">
        <f>SUMIFS('6.1_Capex_summary'!AE$11:AE$167,'6.1_Capex_summary'!$F$11:$F$167,$F69,'6.1_Capex_summary'!$H$11:$H$167,$H69,'6.1_Capex_summary'!$J$11:$J$167,$J69,'6.1_Capex_summary'!$K$11:$K$167,$K69,'6.1_Capex_summary'!$N$11:$N$167,$N69)</f>
        <v>0</v>
      </c>
      <c r="AF69" s="93">
        <f>SUMIFS('6.1_Capex_summary'!AF$11:AF$167,'6.1_Capex_summary'!$F$11:$F$167,$F69,'6.1_Capex_summary'!$H$11:$H$167,$H69,'6.1_Capex_summary'!$J$11:$J$167,$J69,'6.1_Capex_summary'!$K$11:$K$167,$K69,'6.1_Capex_summary'!$N$11:$N$167,$N69)</f>
        <v>0</v>
      </c>
      <c r="AG69" s="93">
        <f>SUMIFS('6.1_Capex_summary'!AG$11:AG$167,'6.1_Capex_summary'!$F$11:$F$167,$F69,'6.1_Capex_summary'!$H$11:$H$167,$H69,'6.1_Capex_summary'!$J$11:$J$167,$J69,'6.1_Capex_summary'!$K$11:$K$167,$K69,'6.1_Capex_summary'!$N$11:$N$167,$N69)</f>
        <v>0</v>
      </c>
      <c r="AH69" s="93">
        <f>SUMIFS('6.1_Capex_summary'!AH$11:AH$167,'6.1_Capex_summary'!$F$11:$F$167,$F69,'6.1_Capex_summary'!$H$11:$H$167,$H69,'6.1_Capex_summary'!$J$11:$J$167,$J69,'6.1_Capex_summary'!$K$11:$K$167,$K69,'6.1_Capex_summary'!$N$11:$N$167,$N69)</f>
        <v>0</v>
      </c>
      <c r="AI69" s="93">
        <f>SUMIFS('6.1_Capex_summary'!AI$11:AI$167,'6.1_Capex_summary'!$F$11:$F$167,$F69,'6.1_Capex_summary'!$H$11:$H$167,$H69,'6.1_Capex_summary'!$J$11:$J$167,$J69,'6.1_Capex_summary'!$K$11:$K$167,$K69,'6.1_Capex_summary'!$N$11:$N$167,$N69)</f>
        <v>0</v>
      </c>
      <c r="AK69" s="435" t="s">
        <v>2871</v>
      </c>
    </row>
    <row r="70" spans="4:37" s="435" customFormat="1">
      <c r="D70" s="58" t="s">
        <v>79</v>
      </c>
      <c r="E70" s="58" t="s">
        <v>68</v>
      </c>
      <c r="F70" s="58" t="s">
        <v>296</v>
      </c>
      <c r="G70" s="58" t="s">
        <v>12</v>
      </c>
      <c r="H70" s="58" t="s">
        <v>1759</v>
      </c>
      <c r="I70" s="58" t="s">
        <v>7</v>
      </c>
      <c r="J70" s="58" t="s">
        <v>299</v>
      </c>
      <c r="K70" s="58" t="s">
        <v>323</v>
      </c>
      <c r="L70" s="435" t="s">
        <v>104</v>
      </c>
      <c r="N70" s="435" t="s">
        <v>829</v>
      </c>
      <c r="O70" s="694" t="s">
        <v>239</v>
      </c>
      <c r="AC70" s="435" t="s">
        <v>2</v>
      </c>
      <c r="AE70" s="93">
        <f>SUMIFS('6.1_Capex_summary'!AE$11:AE$167,'6.1_Capex_summary'!$F$11:$F$167,$F70,'6.1_Capex_summary'!$H$11:$H$167,$H70,'6.1_Capex_summary'!$J$11:$J$167,$J70,'6.1_Capex_summary'!$K$11:$K$167,$K70,'6.1_Capex_summary'!$N$11:$N$167,$N70)</f>
        <v>0</v>
      </c>
      <c r="AF70" s="93">
        <f>SUMIFS('6.1_Capex_summary'!AF$11:AF$167,'6.1_Capex_summary'!$F$11:$F$167,$F70,'6.1_Capex_summary'!$H$11:$H$167,$H70,'6.1_Capex_summary'!$J$11:$J$167,$J70,'6.1_Capex_summary'!$K$11:$K$167,$K70,'6.1_Capex_summary'!$N$11:$N$167,$N70)</f>
        <v>0</v>
      </c>
      <c r="AG70" s="93">
        <f>SUMIFS('6.1_Capex_summary'!AG$11:AG$167,'6.1_Capex_summary'!$F$11:$F$167,$F70,'6.1_Capex_summary'!$H$11:$H$167,$H70,'6.1_Capex_summary'!$J$11:$J$167,$J70,'6.1_Capex_summary'!$K$11:$K$167,$K70,'6.1_Capex_summary'!$N$11:$N$167,$N70)</f>
        <v>0</v>
      </c>
      <c r="AH70" s="93">
        <f>SUMIFS('6.1_Capex_summary'!AH$11:AH$167,'6.1_Capex_summary'!$F$11:$F$167,$F70,'6.1_Capex_summary'!$H$11:$H$167,$H70,'6.1_Capex_summary'!$J$11:$J$167,$J70,'6.1_Capex_summary'!$K$11:$K$167,$K70,'6.1_Capex_summary'!$N$11:$N$167,$N70)</f>
        <v>0</v>
      </c>
      <c r="AI70" s="93">
        <f>SUMIFS('6.1_Capex_summary'!AI$11:AI$167,'6.1_Capex_summary'!$F$11:$F$167,$F70,'6.1_Capex_summary'!$H$11:$H$167,$H70,'6.1_Capex_summary'!$J$11:$J$167,$J70,'6.1_Capex_summary'!$K$11:$K$167,$K70,'6.1_Capex_summary'!$N$11:$N$167,$N70)</f>
        <v>0</v>
      </c>
      <c r="AK70" s="435" t="s">
        <v>2871</v>
      </c>
    </row>
    <row r="71" spans="4:37" s="435" customFormat="1">
      <c r="D71" s="58" t="s">
        <v>79</v>
      </c>
      <c r="E71" s="58" t="s">
        <v>68</v>
      </c>
      <c r="F71" s="58" t="s">
        <v>296</v>
      </c>
      <c r="G71" s="58" t="s">
        <v>12</v>
      </c>
      <c r="H71" s="58" t="s">
        <v>1759</v>
      </c>
      <c r="I71" s="58" t="s">
        <v>7</v>
      </c>
      <c r="J71" s="58" t="s">
        <v>299</v>
      </c>
      <c r="K71" s="58" t="s">
        <v>319</v>
      </c>
      <c r="N71" s="436" t="s">
        <v>1054</v>
      </c>
      <c r="O71" s="694" t="s">
        <v>239</v>
      </c>
      <c r="AC71" s="435" t="s">
        <v>2</v>
      </c>
      <c r="AE71" s="93">
        <f>SUMIFS('6.1_Capex_summary'!AE$11:AE$167,'6.1_Capex_summary'!$F$11:$F$167,$F71,'6.1_Capex_summary'!$H$11:$H$167,$H71,'6.1_Capex_summary'!$J$11:$J$167,$J71,'6.1_Capex_summary'!$K$11:$K$167,$K71,'6.1_Capex_summary'!$N$11:$N$167,$N71)</f>
        <v>0</v>
      </c>
      <c r="AF71" s="93">
        <f>SUMIFS('6.1_Capex_summary'!AF$11:AF$167,'6.1_Capex_summary'!$F$11:$F$167,$F71,'6.1_Capex_summary'!$H$11:$H$167,$H71,'6.1_Capex_summary'!$J$11:$J$167,$J71,'6.1_Capex_summary'!$K$11:$K$167,$K71,'6.1_Capex_summary'!$N$11:$N$167,$N71)</f>
        <v>0</v>
      </c>
      <c r="AG71" s="93">
        <f>SUMIFS('6.1_Capex_summary'!AG$11:AG$167,'6.1_Capex_summary'!$F$11:$F$167,$F71,'6.1_Capex_summary'!$H$11:$H$167,$H71,'6.1_Capex_summary'!$J$11:$J$167,$J71,'6.1_Capex_summary'!$K$11:$K$167,$K71,'6.1_Capex_summary'!$N$11:$N$167,$N71)</f>
        <v>0</v>
      </c>
      <c r="AH71" s="93">
        <f>SUMIFS('6.1_Capex_summary'!AH$11:AH$167,'6.1_Capex_summary'!$F$11:$F$167,$F71,'6.1_Capex_summary'!$H$11:$H$167,$H71,'6.1_Capex_summary'!$J$11:$J$167,$J71,'6.1_Capex_summary'!$K$11:$K$167,$K71,'6.1_Capex_summary'!$N$11:$N$167,$N71)</f>
        <v>0</v>
      </c>
      <c r="AI71" s="93">
        <f>SUMIFS('6.1_Capex_summary'!AI$11:AI$167,'6.1_Capex_summary'!$F$11:$F$167,$F71,'6.1_Capex_summary'!$H$11:$H$167,$H71,'6.1_Capex_summary'!$J$11:$J$167,$J71,'6.1_Capex_summary'!$K$11:$K$167,$K71,'6.1_Capex_summary'!$N$11:$N$167,$N71)</f>
        <v>0</v>
      </c>
      <c r="AK71" s="435" t="s">
        <v>2871</v>
      </c>
    </row>
    <row r="72" spans="4:37" s="435" customFormat="1">
      <c r="D72" s="58" t="s">
        <v>79</v>
      </c>
      <c r="E72" s="58" t="s">
        <v>68</v>
      </c>
      <c r="F72" s="58" t="s">
        <v>296</v>
      </c>
      <c r="G72" s="58" t="s">
        <v>12</v>
      </c>
      <c r="H72" s="58" t="s">
        <v>1759</v>
      </c>
      <c r="I72" s="58" t="s">
        <v>7</v>
      </c>
      <c r="J72" s="58" t="s">
        <v>299</v>
      </c>
      <c r="K72" s="58" t="s">
        <v>319</v>
      </c>
      <c r="L72" s="435" t="s">
        <v>104</v>
      </c>
      <c r="N72" s="435" t="s">
        <v>829</v>
      </c>
      <c r="O72" s="694" t="s">
        <v>239</v>
      </c>
      <c r="AC72" s="435" t="s">
        <v>2</v>
      </c>
      <c r="AE72" s="93">
        <f>SUMIFS('6.1_Capex_summary'!AE$11:AE$167,'6.1_Capex_summary'!$F$11:$F$167,$F72,'6.1_Capex_summary'!$H$11:$H$167,$H72,'6.1_Capex_summary'!$J$11:$J$167,$J72,'6.1_Capex_summary'!$K$11:$K$167,$K72,'6.1_Capex_summary'!$N$11:$N$167,$N72)</f>
        <v>0</v>
      </c>
      <c r="AF72" s="93">
        <f>SUMIFS('6.1_Capex_summary'!AF$11:AF$167,'6.1_Capex_summary'!$F$11:$F$167,$F72,'6.1_Capex_summary'!$H$11:$H$167,$H72,'6.1_Capex_summary'!$J$11:$J$167,$J72,'6.1_Capex_summary'!$K$11:$K$167,$K72,'6.1_Capex_summary'!$N$11:$N$167,$N72)</f>
        <v>0</v>
      </c>
      <c r="AG72" s="93">
        <f>SUMIFS('6.1_Capex_summary'!AG$11:AG$167,'6.1_Capex_summary'!$F$11:$F$167,$F72,'6.1_Capex_summary'!$H$11:$H$167,$H72,'6.1_Capex_summary'!$J$11:$J$167,$J72,'6.1_Capex_summary'!$K$11:$K$167,$K72,'6.1_Capex_summary'!$N$11:$N$167,$N72)</f>
        <v>0</v>
      </c>
      <c r="AH72" s="93">
        <f>SUMIFS('6.1_Capex_summary'!AH$11:AH$167,'6.1_Capex_summary'!$F$11:$F$167,$F72,'6.1_Capex_summary'!$H$11:$H$167,$H72,'6.1_Capex_summary'!$J$11:$J$167,$J72,'6.1_Capex_summary'!$K$11:$K$167,$K72,'6.1_Capex_summary'!$N$11:$N$167,$N72)</f>
        <v>0</v>
      </c>
      <c r="AI72" s="93">
        <f>SUMIFS('6.1_Capex_summary'!AI$11:AI$167,'6.1_Capex_summary'!$F$11:$F$167,$F72,'6.1_Capex_summary'!$H$11:$H$167,$H72,'6.1_Capex_summary'!$J$11:$J$167,$J72,'6.1_Capex_summary'!$K$11:$K$167,$K72,'6.1_Capex_summary'!$N$11:$N$167,$N72)</f>
        <v>0</v>
      </c>
      <c r="AK72" s="435" t="s">
        <v>2871</v>
      </c>
    </row>
    <row r="73" spans="4:37" s="435" customFormat="1">
      <c r="D73" s="58" t="s">
        <v>79</v>
      </c>
      <c r="E73" s="58" t="s">
        <v>68</v>
      </c>
      <c r="F73" s="58" t="s">
        <v>296</v>
      </c>
      <c r="G73" s="58" t="s">
        <v>12</v>
      </c>
      <c r="H73" s="58" t="s">
        <v>1759</v>
      </c>
      <c r="I73" s="58" t="s">
        <v>7</v>
      </c>
      <c r="J73" s="58" t="s">
        <v>299</v>
      </c>
      <c r="K73" s="58" t="s">
        <v>300</v>
      </c>
      <c r="N73" s="436" t="s">
        <v>1054</v>
      </c>
      <c r="O73" s="694" t="s">
        <v>239</v>
      </c>
      <c r="AC73" s="435" t="s">
        <v>2</v>
      </c>
      <c r="AE73" s="93">
        <f>SUMIFS('6.1_Capex_summary'!AE$11:AE$167,'6.1_Capex_summary'!$F$11:$F$167,$F73,'6.1_Capex_summary'!$H$11:$H$167,$H73,'6.1_Capex_summary'!$J$11:$J$167,$J73,'6.1_Capex_summary'!$K$11:$K$167,$K73,'6.1_Capex_summary'!$N$11:$N$167,$N73)</f>
        <v>0</v>
      </c>
      <c r="AF73" s="93">
        <f>SUMIFS('6.1_Capex_summary'!AF$11:AF$167,'6.1_Capex_summary'!$F$11:$F$167,$F73,'6.1_Capex_summary'!$H$11:$H$167,$H73,'6.1_Capex_summary'!$J$11:$J$167,$J73,'6.1_Capex_summary'!$K$11:$K$167,$K73,'6.1_Capex_summary'!$N$11:$N$167,$N73)</f>
        <v>0</v>
      </c>
      <c r="AG73" s="93">
        <f>SUMIFS('6.1_Capex_summary'!AG$11:AG$167,'6.1_Capex_summary'!$F$11:$F$167,$F73,'6.1_Capex_summary'!$H$11:$H$167,$H73,'6.1_Capex_summary'!$J$11:$J$167,$J73,'6.1_Capex_summary'!$K$11:$K$167,$K73,'6.1_Capex_summary'!$N$11:$N$167,$N73)</f>
        <v>0</v>
      </c>
      <c r="AH73" s="93">
        <f>SUMIFS('6.1_Capex_summary'!AH$11:AH$167,'6.1_Capex_summary'!$F$11:$F$167,$F73,'6.1_Capex_summary'!$H$11:$H$167,$H73,'6.1_Capex_summary'!$J$11:$J$167,$J73,'6.1_Capex_summary'!$K$11:$K$167,$K73,'6.1_Capex_summary'!$N$11:$N$167,$N73)</f>
        <v>0</v>
      </c>
      <c r="AI73" s="93">
        <f>SUMIFS('6.1_Capex_summary'!AI$11:AI$167,'6.1_Capex_summary'!$F$11:$F$167,$F73,'6.1_Capex_summary'!$H$11:$H$167,$H73,'6.1_Capex_summary'!$J$11:$J$167,$J73,'6.1_Capex_summary'!$K$11:$K$167,$K73,'6.1_Capex_summary'!$N$11:$N$167,$N73)</f>
        <v>0</v>
      </c>
      <c r="AK73" s="435" t="s">
        <v>2871</v>
      </c>
    </row>
    <row r="74" spans="4:37" s="435" customFormat="1">
      <c r="D74" s="58" t="s">
        <v>79</v>
      </c>
      <c r="E74" s="58" t="s">
        <v>68</v>
      </c>
      <c r="F74" s="58" t="s">
        <v>296</v>
      </c>
      <c r="G74" s="58" t="s">
        <v>12</v>
      </c>
      <c r="H74" s="58" t="s">
        <v>1759</v>
      </c>
      <c r="I74" s="58" t="s">
        <v>7</v>
      </c>
      <c r="J74" s="58" t="s">
        <v>299</v>
      </c>
      <c r="K74" s="58" t="s">
        <v>300</v>
      </c>
      <c r="L74" s="435" t="s">
        <v>104</v>
      </c>
      <c r="N74" s="435" t="s">
        <v>829</v>
      </c>
      <c r="O74" s="694" t="s">
        <v>239</v>
      </c>
      <c r="AC74" s="435" t="s">
        <v>2</v>
      </c>
      <c r="AE74" s="93">
        <f>SUMIFS('6.1_Capex_summary'!AE$11:AE$167,'6.1_Capex_summary'!$F$11:$F$167,$F74,'6.1_Capex_summary'!$H$11:$H$167,$H74,'6.1_Capex_summary'!$J$11:$J$167,$J74,'6.1_Capex_summary'!$K$11:$K$167,$K74,'6.1_Capex_summary'!$N$11:$N$167,$N74)</f>
        <v>0</v>
      </c>
      <c r="AF74" s="93">
        <f>SUMIFS('6.1_Capex_summary'!AF$11:AF$167,'6.1_Capex_summary'!$F$11:$F$167,$F74,'6.1_Capex_summary'!$H$11:$H$167,$H74,'6.1_Capex_summary'!$J$11:$J$167,$J74,'6.1_Capex_summary'!$K$11:$K$167,$K74,'6.1_Capex_summary'!$N$11:$N$167,$N74)</f>
        <v>0</v>
      </c>
      <c r="AG74" s="93">
        <f>SUMIFS('6.1_Capex_summary'!AG$11:AG$167,'6.1_Capex_summary'!$F$11:$F$167,$F74,'6.1_Capex_summary'!$H$11:$H$167,$H74,'6.1_Capex_summary'!$J$11:$J$167,$J74,'6.1_Capex_summary'!$K$11:$K$167,$K74,'6.1_Capex_summary'!$N$11:$N$167,$N74)</f>
        <v>0</v>
      </c>
      <c r="AH74" s="93">
        <f>SUMIFS('6.1_Capex_summary'!AH$11:AH$167,'6.1_Capex_summary'!$F$11:$F$167,$F74,'6.1_Capex_summary'!$H$11:$H$167,$H74,'6.1_Capex_summary'!$J$11:$J$167,$J74,'6.1_Capex_summary'!$K$11:$K$167,$K74,'6.1_Capex_summary'!$N$11:$N$167,$N74)</f>
        <v>0</v>
      </c>
      <c r="AI74" s="93">
        <f>SUMIFS('6.1_Capex_summary'!AI$11:AI$167,'6.1_Capex_summary'!$F$11:$F$167,$F74,'6.1_Capex_summary'!$H$11:$H$167,$H74,'6.1_Capex_summary'!$J$11:$J$167,$J74,'6.1_Capex_summary'!$K$11:$K$167,$K74,'6.1_Capex_summary'!$N$11:$N$167,$N74)</f>
        <v>0</v>
      </c>
      <c r="AK74" s="435" t="s">
        <v>2871</v>
      </c>
    </row>
    <row r="75" spans="4:37" s="435" customFormat="1">
      <c r="D75" s="58" t="s">
        <v>79</v>
      </c>
      <c r="E75" s="58" t="s">
        <v>68</v>
      </c>
      <c r="F75" s="58" t="s">
        <v>296</v>
      </c>
      <c r="G75" s="58" t="s">
        <v>12</v>
      </c>
      <c r="H75" s="58" t="s">
        <v>1759</v>
      </c>
      <c r="I75" s="58" t="s">
        <v>7</v>
      </c>
      <c r="J75" s="58" t="s">
        <v>299</v>
      </c>
      <c r="K75" s="58" t="s">
        <v>300</v>
      </c>
      <c r="L75" s="435" t="s">
        <v>104</v>
      </c>
      <c r="N75" s="435" t="s">
        <v>3140</v>
      </c>
      <c r="O75" s="694" t="s">
        <v>239</v>
      </c>
      <c r="AC75" s="435" t="s">
        <v>2</v>
      </c>
      <c r="AE75" s="93">
        <f>SUMIFS('6.1_Capex_summary'!AE$11:AE$167,'6.1_Capex_summary'!$F$11:$F$167,$F75,'6.1_Capex_summary'!$H$11:$H$167,$H75,'6.1_Capex_summary'!$J$11:$J$167,$J75,'6.1_Capex_summary'!$K$11:$K$167,$K75,'6.1_Capex_summary'!$N$11:$N$167,$N75)</f>
        <v>0</v>
      </c>
      <c r="AF75" s="93">
        <f>SUMIFS('6.1_Capex_summary'!AF$11:AF$167,'6.1_Capex_summary'!$F$11:$F$167,$F75,'6.1_Capex_summary'!$H$11:$H$167,$H75,'6.1_Capex_summary'!$J$11:$J$167,$J75,'6.1_Capex_summary'!$K$11:$K$167,$K75,'6.1_Capex_summary'!$N$11:$N$167,$N75)</f>
        <v>0</v>
      </c>
      <c r="AG75" s="93">
        <f>SUMIFS('6.1_Capex_summary'!AG$11:AG$167,'6.1_Capex_summary'!$F$11:$F$167,$F75,'6.1_Capex_summary'!$H$11:$H$167,$H75,'6.1_Capex_summary'!$J$11:$J$167,$J75,'6.1_Capex_summary'!$K$11:$K$167,$K75,'6.1_Capex_summary'!$N$11:$N$167,$N75)</f>
        <v>0</v>
      </c>
      <c r="AH75" s="93">
        <f>SUMIFS('6.1_Capex_summary'!AH$11:AH$167,'6.1_Capex_summary'!$F$11:$F$167,$F75,'6.1_Capex_summary'!$H$11:$H$167,$H75,'6.1_Capex_summary'!$J$11:$J$167,$J75,'6.1_Capex_summary'!$K$11:$K$167,$K75,'6.1_Capex_summary'!$N$11:$N$167,$N75)</f>
        <v>0</v>
      </c>
      <c r="AI75" s="93">
        <f>SUMIFS('6.1_Capex_summary'!AI$11:AI$167,'6.1_Capex_summary'!$F$11:$F$167,$F75,'6.1_Capex_summary'!$H$11:$H$167,$H75,'6.1_Capex_summary'!$J$11:$J$167,$J75,'6.1_Capex_summary'!$K$11:$K$167,$K75,'6.1_Capex_summary'!$N$11:$N$167,$N75)</f>
        <v>0</v>
      </c>
      <c r="AK75" s="435" t="s">
        <v>2871</v>
      </c>
    </row>
    <row r="76" spans="4:37" s="435" customFormat="1">
      <c r="D76" s="58" t="s">
        <v>79</v>
      </c>
      <c r="E76" s="58" t="s">
        <v>68</v>
      </c>
      <c r="F76" s="58" t="s">
        <v>296</v>
      </c>
      <c r="G76" s="58" t="s">
        <v>12</v>
      </c>
      <c r="H76" s="58" t="s">
        <v>1759</v>
      </c>
      <c r="I76" s="58" t="s">
        <v>7</v>
      </c>
      <c r="J76" s="58" t="s">
        <v>1761</v>
      </c>
      <c r="K76" s="58" t="s">
        <v>1769</v>
      </c>
      <c r="N76" s="436" t="s">
        <v>1054</v>
      </c>
      <c r="O76" s="694" t="s">
        <v>239</v>
      </c>
      <c r="AC76" s="435" t="s">
        <v>2</v>
      </c>
      <c r="AE76" s="93">
        <f>'6.1_Capex_summary'!AE149</f>
        <v>0</v>
      </c>
      <c r="AF76" s="93">
        <f>'6.1_Capex_summary'!AF149</f>
        <v>0</v>
      </c>
      <c r="AG76" s="93">
        <f>'6.1_Capex_summary'!AG149</f>
        <v>0</v>
      </c>
      <c r="AH76" s="93">
        <f>'6.1_Capex_summary'!AH149</f>
        <v>0</v>
      </c>
      <c r="AI76" s="93">
        <f>'6.1_Capex_summary'!AI149</f>
        <v>0</v>
      </c>
      <c r="AK76" s="435" t="s">
        <v>2871</v>
      </c>
    </row>
    <row r="77" spans="4:37" s="435" customFormat="1">
      <c r="D77" s="58" t="s">
        <v>79</v>
      </c>
      <c r="E77" s="58" t="s">
        <v>68</v>
      </c>
      <c r="F77" s="58" t="s">
        <v>296</v>
      </c>
      <c r="G77" s="58" t="s">
        <v>12</v>
      </c>
      <c r="H77" s="58" t="s">
        <v>1759</v>
      </c>
      <c r="I77" s="58" t="s">
        <v>7</v>
      </c>
      <c r="J77" s="58" t="s">
        <v>1761</v>
      </c>
      <c r="K77" s="58" t="s">
        <v>292</v>
      </c>
      <c r="N77" s="436" t="s">
        <v>1054</v>
      </c>
      <c r="O77" s="694" t="s">
        <v>239</v>
      </c>
      <c r="AC77" s="435" t="s">
        <v>2</v>
      </c>
      <c r="AE77" s="93">
        <f>'6.1_Capex_summary'!AE150</f>
        <v>0</v>
      </c>
      <c r="AF77" s="93">
        <f>'6.1_Capex_summary'!AF150</f>
        <v>0</v>
      </c>
      <c r="AG77" s="93">
        <f>'6.1_Capex_summary'!AG150</f>
        <v>0</v>
      </c>
      <c r="AH77" s="93">
        <f>'6.1_Capex_summary'!AH150</f>
        <v>0</v>
      </c>
      <c r="AI77" s="93">
        <f>'6.1_Capex_summary'!AI150</f>
        <v>0</v>
      </c>
      <c r="AK77" s="435" t="s">
        <v>2871</v>
      </c>
    </row>
    <row r="78" spans="4:37" s="435" customFormat="1">
      <c r="D78" s="58" t="s">
        <v>79</v>
      </c>
      <c r="E78" s="58" t="s">
        <v>68</v>
      </c>
      <c r="F78" s="58" t="s">
        <v>296</v>
      </c>
      <c r="G78" s="58" t="s">
        <v>12</v>
      </c>
      <c r="H78" s="58" t="s">
        <v>1690</v>
      </c>
      <c r="I78" s="58" t="s">
        <v>7</v>
      </c>
      <c r="J78" s="58" t="s">
        <v>1766</v>
      </c>
      <c r="K78" s="58"/>
      <c r="N78" s="436" t="s">
        <v>1054</v>
      </c>
      <c r="O78" s="694" t="s">
        <v>239</v>
      </c>
      <c r="AC78" s="435" t="s">
        <v>2</v>
      </c>
      <c r="AE78" s="93">
        <f>'6.1_Capex_summary'!AE157</f>
        <v>0</v>
      </c>
      <c r="AF78" s="93">
        <f>'6.1_Capex_summary'!AF157</f>
        <v>0</v>
      </c>
      <c r="AG78" s="93">
        <f>'6.1_Capex_summary'!AG157</f>
        <v>0</v>
      </c>
      <c r="AH78" s="93">
        <f>'6.1_Capex_summary'!AH157</f>
        <v>0</v>
      </c>
      <c r="AI78" s="93">
        <f>'6.1_Capex_summary'!AI157</f>
        <v>0</v>
      </c>
      <c r="AK78" s="435" t="s">
        <v>2871</v>
      </c>
    </row>
    <row r="79" spans="4:37" s="435" customFormat="1">
      <c r="D79" s="58" t="s">
        <v>79</v>
      </c>
      <c r="E79" s="58" t="s">
        <v>68</v>
      </c>
      <c r="F79" s="58" t="s">
        <v>296</v>
      </c>
      <c r="G79" s="58" t="s">
        <v>12</v>
      </c>
      <c r="H79" s="58" t="s">
        <v>1690</v>
      </c>
      <c r="I79" s="58" t="s">
        <v>7</v>
      </c>
      <c r="J79" s="58" t="s">
        <v>1086</v>
      </c>
      <c r="K79" s="435" t="s">
        <v>104</v>
      </c>
      <c r="N79" s="436" t="s">
        <v>1054</v>
      </c>
      <c r="O79" s="435" t="s">
        <v>243</v>
      </c>
      <c r="AC79" s="435" t="s">
        <v>2</v>
      </c>
      <c r="AE79" s="93">
        <f>SUM('2.3 Resilience Interface'!AE30:AE31)+SUM('6.6 PSUP_Capex'!AE54:AE70)</f>
        <v>0</v>
      </c>
      <c r="AF79" s="93">
        <f>SUM('2.3 Resilience Interface'!AF30:AF31)+SUM('6.6 PSUP_Capex'!AF54:AF70)</f>
        <v>0</v>
      </c>
      <c r="AG79" s="93">
        <f>SUM('2.3 Resilience Interface'!AG30:AG31)+SUM('6.6 PSUP_Capex'!AG54:AG70)</f>
        <v>0</v>
      </c>
      <c r="AH79" s="93">
        <f>SUM('2.3 Resilience Interface'!AH30:AH31)+SUM('6.6 PSUP_Capex'!AH54:AH70)</f>
        <v>0</v>
      </c>
      <c r="AI79" s="93">
        <f>SUM('2.3 Resilience Interface'!AI30:AI31)+SUM('6.6 PSUP_Capex'!AI54:AI70)</f>
        <v>0</v>
      </c>
      <c r="AK79" s="435" t="s">
        <v>2871</v>
      </c>
    </row>
    <row r="80" spans="4:37" s="435" customFormat="1">
      <c r="D80" s="58" t="s">
        <v>79</v>
      </c>
      <c r="E80" s="58" t="s">
        <v>68</v>
      </c>
      <c r="F80" s="58" t="s">
        <v>296</v>
      </c>
      <c r="G80" s="58" t="s">
        <v>12</v>
      </c>
      <c r="H80" s="58" t="s">
        <v>1690</v>
      </c>
      <c r="I80" s="58" t="s">
        <v>7</v>
      </c>
      <c r="J80" s="58" t="s">
        <v>1086</v>
      </c>
      <c r="K80" s="435" t="s">
        <v>2627</v>
      </c>
      <c r="N80" s="436" t="s">
        <v>1054</v>
      </c>
      <c r="O80" s="435" t="s">
        <v>243</v>
      </c>
      <c r="AC80" s="435" t="s">
        <v>2</v>
      </c>
      <c r="AE80" s="93">
        <f>SUM('2.3 Resilience Interface'!AE40:AE41)</f>
        <v>0</v>
      </c>
      <c r="AF80" s="93">
        <f>SUM('2.3 Resilience Interface'!AF40:AF41)</f>
        <v>0</v>
      </c>
      <c r="AG80" s="93">
        <f>SUM('2.3 Resilience Interface'!AG40:AG41)</f>
        <v>0</v>
      </c>
      <c r="AH80" s="93">
        <f>SUM('2.3 Resilience Interface'!AH40:AH41)</f>
        <v>0</v>
      </c>
      <c r="AI80" s="93">
        <f>SUM('2.3 Resilience Interface'!AI40:AI41)</f>
        <v>0</v>
      </c>
      <c r="AK80" s="435" t="s">
        <v>2871</v>
      </c>
    </row>
    <row r="81" spans="1:1" s="435" customFormat="1"/>
    <row r="82" spans="1:1" s="73" customFormat="1" ht="18">
      <c r="A82" s="74" t="s">
        <v>76</v>
      </c>
    </row>
  </sheetData>
  <mergeCells count="2">
    <mergeCell ref="AE5:AI5"/>
    <mergeCell ref="AE6:AI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25"/>
  <sheetViews>
    <sheetView zoomScale="80" zoomScaleNormal="80" workbookViewId="0"/>
  </sheetViews>
  <sheetFormatPr defaultRowHeight="14.25"/>
  <cols>
    <col min="1" max="3" width="1.73046875" customWidth="1"/>
    <col min="4" max="4" width="8.1328125" bestFit="1" customWidth="1"/>
    <col min="5" max="5" width="5" bestFit="1" customWidth="1"/>
    <col min="6" max="6" width="23.86328125" style="435" bestFit="1" customWidth="1"/>
    <col min="7" max="7" width="12.3984375" style="435" bestFit="1" customWidth="1"/>
    <col min="8" max="8" width="13.73046875" bestFit="1" customWidth="1"/>
    <col min="9" max="9" width="9.3984375" bestFit="1" customWidth="1"/>
    <col min="10" max="10" width="43" customWidth="1"/>
    <col min="11" max="11" width="10.73046875" bestFit="1" customWidth="1"/>
    <col min="12" max="12" width="11.1328125" bestFit="1" customWidth="1"/>
    <col min="14" max="14" width="6" customWidth="1"/>
    <col min="15" max="15" width="14.86328125" bestFit="1" customWidth="1"/>
    <col min="16" max="17" width="1.73046875" customWidth="1"/>
    <col min="18" max="28" width="1.73046875" hidden="1" customWidth="1"/>
    <col min="29" max="29" width="5" bestFit="1" customWidth="1"/>
    <col min="30" max="30" width="7.73046875" customWidth="1"/>
  </cols>
  <sheetData>
    <row r="1" spans="1:37" s="73" customFormat="1" ht="23.25">
      <c r="A1" s="89" t="str">
        <f>'1.1 Cover'!A2</f>
        <v>Regulatory Reporting Pack</v>
      </c>
    </row>
    <row r="2" spans="1:37" s="73" customFormat="1" ht="23.25">
      <c r="A2" s="89" t="str">
        <f>'1.1 Cover'!A3</f>
        <v>Price base - 2018/19</v>
      </c>
    </row>
    <row r="3" spans="1:37" s="73" customFormat="1" ht="23.25">
      <c r="A3" s="89" t="str">
        <f>'1.1 Cover'!A4</f>
        <v>Regulatory Year: April 2021 - March 2022</v>
      </c>
    </row>
    <row r="4" spans="1:37" s="73" customFormat="1" ht="23.25">
      <c r="A4" s="89" t="s">
        <v>2631</v>
      </c>
    </row>
    <row r="5" spans="1:37" s="435" customFormat="1">
      <c r="AE5" s="1350" t="s">
        <v>2625</v>
      </c>
      <c r="AF5" s="1350"/>
      <c r="AG5" s="1350"/>
      <c r="AH5" s="1350"/>
      <c r="AI5" s="1350"/>
    </row>
    <row r="6" spans="1:37" s="435" customFormat="1">
      <c r="AE6" s="1347" t="s">
        <v>112</v>
      </c>
      <c r="AF6" s="1348"/>
      <c r="AG6" s="1348"/>
      <c r="AH6" s="1348"/>
      <c r="AI6" s="1349"/>
    </row>
    <row r="7" spans="1:37" s="67" customFormat="1">
      <c r="D7" s="87" t="s">
        <v>111</v>
      </c>
      <c r="E7" s="87" t="s">
        <v>68</v>
      </c>
      <c r="F7" s="87" t="s">
        <v>2680</v>
      </c>
      <c r="G7" s="87" t="s">
        <v>2684</v>
      </c>
      <c r="H7" s="87" t="s">
        <v>110</v>
      </c>
      <c r="I7" s="87" t="s">
        <v>109</v>
      </c>
      <c r="J7" s="87" t="s">
        <v>108</v>
      </c>
      <c r="K7" s="87" t="s">
        <v>107</v>
      </c>
      <c r="L7" s="87" t="s">
        <v>106</v>
      </c>
      <c r="M7" s="87" t="s">
        <v>105</v>
      </c>
      <c r="N7" s="87" t="s">
        <v>104</v>
      </c>
      <c r="O7" s="87" t="s">
        <v>103</v>
      </c>
      <c r="P7" s="87"/>
      <c r="Q7" s="87"/>
      <c r="R7" s="86" t="s">
        <v>101</v>
      </c>
      <c r="S7" s="86" t="s">
        <v>100</v>
      </c>
      <c r="T7" s="86" t="s">
        <v>99</v>
      </c>
      <c r="U7" s="86" t="s">
        <v>98</v>
      </c>
      <c r="V7" s="86" t="s">
        <v>97</v>
      </c>
      <c r="W7" s="86" t="s">
        <v>96</v>
      </c>
      <c r="X7" s="86" t="s">
        <v>95</v>
      </c>
      <c r="Y7" s="86" t="s">
        <v>94</v>
      </c>
      <c r="Z7" s="86" t="s">
        <v>93</v>
      </c>
      <c r="AA7" s="86" t="s">
        <v>92</v>
      </c>
      <c r="AB7" s="86" t="s">
        <v>91</v>
      </c>
      <c r="AC7" s="67" t="s">
        <v>5</v>
      </c>
      <c r="AD7" s="435"/>
      <c r="AE7" s="84">
        <v>2022</v>
      </c>
      <c r="AF7" s="83">
        <v>2023</v>
      </c>
      <c r="AG7" s="83">
        <v>2024</v>
      </c>
      <c r="AH7" s="83">
        <v>2025</v>
      </c>
      <c r="AI7" s="82">
        <v>2026</v>
      </c>
      <c r="AJ7" s="435"/>
    </row>
    <row r="8" spans="1:37">
      <c r="R8" s="67"/>
      <c r="S8" s="67"/>
      <c r="T8" s="67"/>
      <c r="U8" s="67"/>
    </row>
    <row r="9" spans="1:37" s="1" customFormat="1" ht="17.649999999999999">
      <c r="A9" s="2" t="s">
        <v>1753</v>
      </c>
      <c r="B9" s="2"/>
    </row>
    <row r="10" spans="1:37" s="435" customFormat="1"/>
    <row r="11" spans="1:37" s="1" customFormat="1" ht="13.9">
      <c r="A11" s="66"/>
      <c r="B11" s="78" t="s">
        <v>2633</v>
      </c>
    </row>
    <row r="12" spans="1:37" s="435" customFormat="1"/>
    <row r="13" spans="1:37" s="435" customFormat="1">
      <c r="D13" s="435" t="s">
        <v>185</v>
      </c>
      <c r="E13" s="435" t="s">
        <v>68</v>
      </c>
      <c r="F13" s="435" t="s">
        <v>274</v>
      </c>
      <c r="G13" s="435" t="s">
        <v>12</v>
      </c>
      <c r="H13" s="435" t="s">
        <v>1772</v>
      </c>
      <c r="I13" s="435" t="s">
        <v>7</v>
      </c>
      <c r="J13" s="435" t="s">
        <v>1773</v>
      </c>
      <c r="O13" s="692" t="s">
        <v>246</v>
      </c>
      <c r="AC13" s="435" t="s">
        <v>2</v>
      </c>
      <c r="AE13" s="93">
        <f>'6.1_Capex_summary'!AE88</f>
        <v>0</v>
      </c>
      <c r="AF13" s="93">
        <f>'6.1_Capex_summary'!AF88</f>
        <v>0</v>
      </c>
      <c r="AG13" s="93">
        <f>'6.1_Capex_summary'!AG88</f>
        <v>0</v>
      </c>
      <c r="AH13" s="93">
        <f>'6.1_Capex_summary'!AH88</f>
        <v>0</v>
      </c>
      <c r="AI13" s="93">
        <f>'6.1_Capex_summary'!AI88</f>
        <v>0</v>
      </c>
      <c r="AK13" s="435" t="s">
        <v>2871</v>
      </c>
    </row>
    <row r="14" spans="1:37" s="435" customFormat="1">
      <c r="D14" s="435" t="s">
        <v>185</v>
      </c>
      <c r="E14" s="435" t="s">
        <v>68</v>
      </c>
      <c r="F14" s="435" t="s">
        <v>274</v>
      </c>
      <c r="G14" s="435" t="s">
        <v>12</v>
      </c>
      <c r="H14" s="435" t="s">
        <v>1690</v>
      </c>
      <c r="I14" s="435" t="s">
        <v>7</v>
      </c>
      <c r="J14" s="435" t="s">
        <v>1086</v>
      </c>
      <c r="O14" s="692" t="s">
        <v>246</v>
      </c>
      <c r="AC14" s="435" t="s">
        <v>2</v>
      </c>
      <c r="AE14" s="93">
        <f>SUM('2.3 Resilience Interface'!AE18:AE19)</f>
        <v>0</v>
      </c>
      <c r="AF14" s="93">
        <f>SUM('2.3 Resilience Interface'!AF18:AF19)</f>
        <v>0</v>
      </c>
      <c r="AG14" s="93">
        <f>SUM('2.3 Resilience Interface'!AG18:AG19)</f>
        <v>0</v>
      </c>
      <c r="AH14" s="93">
        <f>SUM('2.3 Resilience Interface'!AH18:AH19)</f>
        <v>0</v>
      </c>
      <c r="AI14" s="93">
        <f>SUM('2.3 Resilience Interface'!AI18:AI19)</f>
        <v>0</v>
      </c>
      <c r="AK14" s="435" t="s">
        <v>2871</v>
      </c>
    </row>
    <row r="15" spans="1:37" s="435" customFormat="1">
      <c r="D15" s="435" t="s">
        <v>185</v>
      </c>
      <c r="E15" s="435" t="s">
        <v>68</v>
      </c>
      <c r="F15" s="435" t="s">
        <v>274</v>
      </c>
      <c r="G15" s="435" t="s">
        <v>12</v>
      </c>
      <c r="H15" s="435" t="s">
        <v>1049</v>
      </c>
      <c r="I15" s="435" t="s">
        <v>1</v>
      </c>
      <c r="J15" s="435" t="s">
        <v>1774</v>
      </c>
      <c r="O15" s="692" t="s">
        <v>247</v>
      </c>
      <c r="AC15" s="435" t="s">
        <v>2</v>
      </c>
      <c r="AE15" s="93" cm="1">
        <f t="array" ref="AE15">SUM('5.2 SO_Indirects'!AE13:AE21-'5.2 SO_Indirects'!AE49)</f>
        <v>0</v>
      </c>
      <c r="AF15" s="93" cm="1">
        <f t="array" ref="AF15">SUM('5.2 SO_Indirects'!AF13:AF21-'5.2 SO_Indirects'!AF49)</f>
        <v>0</v>
      </c>
      <c r="AG15" s="93" cm="1">
        <f t="array" ref="AG15">SUM('5.2 SO_Indirects'!AG13:AG21-'5.2 SO_Indirects'!AG49)</f>
        <v>0</v>
      </c>
      <c r="AH15" s="93" cm="1">
        <f t="array" ref="AH15">SUM('5.2 SO_Indirects'!AH13:AH21-'5.2 SO_Indirects'!AH49)</f>
        <v>0</v>
      </c>
      <c r="AI15" s="93" cm="1">
        <f t="array" ref="AI15">SUM('5.2 SO_Indirects'!AI13:AI21-'5.2 SO_Indirects'!AI49)</f>
        <v>0</v>
      </c>
      <c r="AK15" s="435" t="s">
        <v>2871</v>
      </c>
    </row>
    <row r="16" spans="1:37" s="435" customFormat="1">
      <c r="D16" s="435" t="s">
        <v>185</v>
      </c>
      <c r="E16" s="435" t="s">
        <v>68</v>
      </c>
      <c r="F16" s="435" t="s">
        <v>274</v>
      </c>
      <c r="G16" s="435" t="s">
        <v>12</v>
      </c>
      <c r="H16" s="435" t="s">
        <v>1049</v>
      </c>
      <c r="I16" s="435" t="s">
        <v>1</v>
      </c>
      <c r="J16" s="435" t="s">
        <v>1763</v>
      </c>
      <c r="O16" s="692" t="s">
        <v>247</v>
      </c>
      <c r="AC16" s="435" t="s">
        <v>2</v>
      </c>
      <c r="AE16" s="93">
        <f>SUM('5.2 SO_Indirects'!AE25:AE39)</f>
        <v>0</v>
      </c>
      <c r="AF16" s="93">
        <f>SUM('5.2 SO_Indirects'!AF25:AF39)</f>
        <v>0</v>
      </c>
      <c r="AG16" s="93">
        <f>SUM('5.2 SO_Indirects'!AG25:AG39)</f>
        <v>0</v>
      </c>
      <c r="AH16" s="93">
        <f>SUM('5.2 SO_Indirects'!AH25:AH39)</f>
        <v>0</v>
      </c>
      <c r="AI16" s="93">
        <f>SUM('5.2 SO_Indirects'!AI25:AI39)</f>
        <v>0</v>
      </c>
      <c r="AK16" s="435" t="s">
        <v>2871</v>
      </c>
    </row>
    <row r="17" spans="1:37" s="435" customFormat="1">
      <c r="D17" s="435" t="s">
        <v>185</v>
      </c>
      <c r="E17" s="435" t="s">
        <v>68</v>
      </c>
      <c r="F17" s="435" t="s">
        <v>274</v>
      </c>
      <c r="G17" s="435" t="s">
        <v>12</v>
      </c>
      <c r="H17" s="435" t="s">
        <v>1049</v>
      </c>
      <c r="I17" s="435" t="s">
        <v>1</v>
      </c>
      <c r="J17" s="435" t="s">
        <v>1765</v>
      </c>
      <c r="O17" s="692" t="s">
        <v>247</v>
      </c>
      <c r="AC17" s="435" t="s">
        <v>2</v>
      </c>
      <c r="AE17" s="93">
        <f>SUM('5.2 SO_Indirects'!AE44:AE45)</f>
        <v>0</v>
      </c>
      <c r="AF17" s="93">
        <f>SUM('5.2 SO_Indirects'!AF44:AF45)</f>
        <v>0</v>
      </c>
      <c r="AG17" s="93">
        <f>SUM('5.2 SO_Indirects'!AG44:AG45)</f>
        <v>0</v>
      </c>
      <c r="AH17" s="93">
        <f>SUM('5.2 SO_Indirects'!AH44:AH45)</f>
        <v>0</v>
      </c>
      <c r="AI17" s="93">
        <f>SUM('5.2 SO_Indirects'!AI44:AI45)</f>
        <v>0</v>
      </c>
      <c r="AK17" s="435" t="s">
        <v>2871</v>
      </c>
    </row>
    <row r="18" spans="1:37" s="435" customFormat="1">
      <c r="D18" s="435" t="s">
        <v>185</v>
      </c>
      <c r="E18" s="435" t="s">
        <v>68</v>
      </c>
      <c r="F18" s="435" t="s">
        <v>274</v>
      </c>
      <c r="G18" s="435" t="s">
        <v>12</v>
      </c>
      <c r="H18" s="435" t="s">
        <v>209</v>
      </c>
      <c r="I18" s="435" t="s">
        <v>1</v>
      </c>
      <c r="J18" s="435" t="s">
        <v>11</v>
      </c>
      <c r="O18" s="692" t="s">
        <v>247</v>
      </c>
      <c r="AC18" s="435" t="s">
        <v>2</v>
      </c>
      <c r="AE18" s="93">
        <f>SUM('5.4 SO_Direct_Opex'!AE13:AE20)</f>
        <v>0</v>
      </c>
      <c r="AF18" s="93">
        <f>SUM('5.4 SO_Direct_Opex'!AF13:AF20)</f>
        <v>0</v>
      </c>
      <c r="AG18" s="93">
        <f>SUM('5.4 SO_Direct_Opex'!AG13:AG20)</f>
        <v>0</v>
      </c>
      <c r="AH18" s="93">
        <f>SUM('5.4 SO_Direct_Opex'!AH13:AH20)</f>
        <v>0</v>
      </c>
      <c r="AI18" s="93">
        <f>SUM('5.4 SO_Direct_Opex'!AI13:AI20)</f>
        <v>0</v>
      </c>
      <c r="AK18" s="435" t="s">
        <v>2871</v>
      </c>
    </row>
    <row r="19" spans="1:37" s="435" customFormat="1"/>
    <row r="20" spans="1:37" s="1" customFormat="1" ht="13.9">
      <c r="A20" s="66"/>
      <c r="B20" s="78" t="s">
        <v>2634</v>
      </c>
    </row>
    <row r="21" spans="1:37" s="435" customFormat="1"/>
    <row r="22" spans="1:37" s="435" customFormat="1">
      <c r="D22" s="435" t="s">
        <v>185</v>
      </c>
      <c r="E22" s="435" t="s">
        <v>68</v>
      </c>
      <c r="F22" s="435" t="s">
        <v>296</v>
      </c>
      <c r="G22" s="435" t="s">
        <v>12</v>
      </c>
      <c r="H22" s="435" t="s">
        <v>1772</v>
      </c>
      <c r="I22" s="435" t="s">
        <v>7</v>
      </c>
      <c r="J22" s="435" t="s">
        <v>1773</v>
      </c>
      <c r="O22" s="692" t="s">
        <v>246</v>
      </c>
      <c r="AC22" s="435" t="s">
        <v>2</v>
      </c>
      <c r="AE22" s="93">
        <f>SUM('6.8 SO_NonOp_Capex'!AE100:AE110)</f>
        <v>0</v>
      </c>
      <c r="AF22" s="93">
        <f>SUM('6.8 SO_NonOp_Capex'!AF100:AF110)</f>
        <v>0</v>
      </c>
      <c r="AG22" s="93">
        <f>SUM('6.8 SO_NonOp_Capex'!AG100:AG110)</f>
        <v>0</v>
      </c>
      <c r="AH22" s="93">
        <f>SUM('6.8 SO_NonOp_Capex'!AH100:AH110)</f>
        <v>0</v>
      </c>
      <c r="AI22" s="93">
        <f>SUM('6.8 SO_NonOp_Capex'!AI100:AI110)</f>
        <v>0</v>
      </c>
      <c r="AK22" s="435" t="s">
        <v>2871</v>
      </c>
    </row>
    <row r="23" spans="1:37" s="435" customFormat="1">
      <c r="D23" s="435" t="s">
        <v>185</v>
      </c>
      <c r="E23" s="435" t="s">
        <v>68</v>
      </c>
      <c r="F23" s="435" t="s">
        <v>296</v>
      </c>
      <c r="G23" s="435" t="s">
        <v>12</v>
      </c>
      <c r="H23" s="435" t="s">
        <v>1690</v>
      </c>
      <c r="I23" s="435" t="s">
        <v>7</v>
      </c>
      <c r="J23" s="435" t="s">
        <v>1086</v>
      </c>
      <c r="O23" s="692" t="s">
        <v>247</v>
      </c>
      <c r="AC23" s="435" t="s">
        <v>2</v>
      </c>
      <c r="AE23" s="93">
        <f>SUM('2.3 Resilience Interface'!AE35:AE36)</f>
        <v>0</v>
      </c>
      <c r="AF23" s="93">
        <f>SUM('2.3 Resilience Interface'!AF35:AF36)</f>
        <v>0</v>
      </c>
      <c r="AG23" s="93">
        <f>SUM('2.3 Resilience Interface'!AG35:AG36)</f>
        <v>0</v>
      </c>
      <c r="AH23" s="93">
        <f>SUM('2.3 Resilience Interface'!AH35:AH36)</f>
        <v>0</v>
      </c>
      <c r="AI23" s="93">
        <f>SUM('2.3 Resilience Interface'!AI35:AI36)</f>
        <v>0</v>
      </c>
      <c r="AK23" s="435" t="s">
        <v>2871</v>
      </c>
    </row>
    <row r="24" spans="1:37" s="435" customFormat="1"/>
    <row r="25" spans="1:37" s="73" customFormat="1" ht="18">
      <c r="A25" s="74" t="s">
        <v>76</v>
      </c>
    </row>
  </sheetData>
  <mergeCells count="2">
    <mergeCell ref="AE5:AI5"/>
    <mergeCell ref="AE6:AI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J99"/>
  <sheetViews>
    <sheetView zoomScale="80" zoomScaleNormal="80" workbookViewId="0"/>
  </sheetViews>
  <sheetFormatPr defaultColWidth="9.1328125" defaultRowHeight="14.25"/>
  <cols>
    <col min="1" max="3" width="1.73046875" style="435" customWidth="1"/>
    <col min="4" max="4" width="8.1328125" style="435" bestFit="1" customWidth="1"/>
    <col min="5" max="5" width="5" style="435" bestFit="1" customWidth="1"/>
    <col min="6" max="6" width="23.86328125" style="435" bestFit="1" customWidth="1"/>
    <col min="7" max="7" width="5" style="435" customWidth="1"/>
    <col min="8" max="8" width="24.86328125" style="435" bestFit="1" customWidth="1"/>
    <col min="9" max="9" width="9.3984375" style="435" bestFit="1" customWidth="1"/>
    <col min="10" max="10" width="30.59765625" style="435" bestFit="1" customWidth="1"/>
    <col min="11" max="11" width="36" style="435" bestFit="1" customWidth="1"/>
    <col min="12" max="12" width="15.86328125" style="435" bestFit="1" customWidth="1"/>
    <col min="13" max="13" width="4.265625" style="435" customWidth="1"/>
    <col min="14" max="14" width="28.265625" style="435" bestFit="1" customWidth="1"/>
    <col min="15" max="17" width="1.73046875" style="435" customWidth="1"/>
    <col min="18" max="28" width="1.73046875" style="435" hidden="1" customWidth="1"/>
    <col min="29" max="29" width="6.265625" style="435" bestFit="1" customWidth="1"/>
    <col min="30" max="30" width="7.73046875" style="435" customWidth="1"/>
    <col min="31" max="16384" width="9.1328125" style="435"/>
  </cols>
  <sheetData>
    <row r="1" spans="1:36" s="73" customFormat="1" ht="23.25">
      <c r="A1" s="89" t="str">
        <f>'1.1 Cover'!A2</f>
        <v>Regulatory Reporting Pack</v>
      </c>
    </row>
    <row r="2" spans="1:36" s="73" customFormat="1" ht="23.25">
      <c r="A2" s="89" t="str">
        <f>'1.1 Cover'!A3</f>
        <v>Price base - 2018/19</v>
      </c>
    </row>
    <row r="3" spans="1:36" s="73" customFormat="1" ht="23.25">
      <c r="A3" s="89" t="str">
        <f>'1.1 Cover'!A4</f>
        <v>Regulatory Year: April 2021 - March 2022</v>
      </c>
    </row>
    <row r="4" spans="1:36" s="73" customFormat="1" ht="23.25">
      <c r="A4" s="89" t="s">
        <v>2628</v>
      </c>
    </row>
    <row r="5" spans="1:36">
      <c r="AE5" s="1350" t="s">
        <v>2625</v>
      </c>
      <c r="AF5" s="1350"/>
      <c r="AG5" s="1350"/>
      <c r="AH5" s="1350"/>
      <c r="AI5" s="1350"/>
      <c r="AJ5" s="67"/>
    </row>
    <row r="6" spans="1:36">
      <c r="AE6" s="1347" t="s">
        <v>112</v>
      </c>
      <c r="AF6" s="1348"/>
      <c r="AG6" s="1348"/>
      <c r="AH6" s="1348"/>
      <c r="AI6" s="1349"/>
    </row>
    <row r="7" spans="1:36" s="67" customFormat="1">
      <c r="D7" s="87" t="s">
        <v>111</v>
      </c>
      <c r="E7" s="87" t="s">
        <v>68</v>
      </c>
      <c r="F7" s="87" t="s">
        <v>2680</v>
      </c>
      <c r="G7" s="87" t="s">
        <v>2684</v>
      </c>
      <c r="H7" s="87" t="s">
        <v>110</v>
      </c>
      <c r="I7" s="87" t="s">
        <v>109</v>
      </c>
      <c r="J7" s="87" t="s">
        <v>108</v>
      </c>
      <c r="K7" s="87" t="s">
        <v>107</v>
      </c>
      <c r="L7" s="87" t="s">
        <v>106</v>
      </c>
      <c r="M7" s="87" t="s">
        <v>105</v>
      </c>
      <c r="N7" s="87" t="s">
        <v>104</v>
      </c>
      <c r="O7" s="87"/>
      <c r="P7" s="87"/>
      <c r="Q7" s="87"/>
      <c r="R7" s="86" t="s">
        <v>101</v>
      </c>
      <c r="S7" s="86" t="s">
        <v>100</v>
      </c>
      <c r="T7" s="86" t="s">
        <v>99</v>
      </c>
      <c r="U7" s="86" t="s">
        <v>98</v>
      </c>
      <c r="V7" s="86" t="s">
        <v>97</v>
      </c>
      <c r="W7" s="86" t="s">
        <v>96</v>
      </c>
      <c r="X7" s="86" t="s">
        <v>95</v>
      </c>
      <c r="Y7" s="86" t="s">
        <v>94</v>
      </c>
      <c r="Z7" s="86" t="s">
        <v>91</v>
      </c>
      <c r="AA7" s="86" t="s">
        <v>90</v>
      </c>
      <c r="AB7" s="86" t="s">
        <v>89</v>
      </c>
      <c r="AC7" s="67" t="s">
        <v>5</v>
      </c>
      <c r="AD7" s="435"/>
      <c r="AE7" s="84">
        <v>2022</v>
      </c>
      <c r="AF7" s="83">
        <v>2023</v>
      </c>
      <c r="AG7" s="83">
        <v>2024</v>
      </c>
      <c r="AH7" s="83">
        <v>2025</v>
      </c>
      <c r="AI7" s="82">
        <v>2026</v>
      </c>
      <c r="AJ7" s="435"/>
    </row>
    <row r="8" spans="1:36">
      <c r="R8" s="67"/>
      <c r="S8" s="67"/>
      <c r="T8" s="67"/>
      <c r="U8" s="67"/>
    </row>
    <row r="9" spans="1:36" s="1" customFormat="1" ht="17.649999999999999">
      <c r="A9" s="78"/>
      <c r="B9" s="2" t="s">
        <v>1754</v>
      </c>
    </row>
    <row r="11" spans="1:36" s="1" customFormat="1" ht="13.9">
      <c r="A11" s="66"/>
      <c r="B11" s="78" t="s">
        <v>1755</v>
      </c>
    </row>
    <row r="13" spans="1:36">
      <c r="D13" s="435" t="s">
        <v>79</v>
      </c>
      <c r="E13" s="435" t="s">
        <v>68</v>
      </c>
      <c r="F13" s="435" t="s">
        <v>274</v>
      </c>
      <c r="G13" s="435" t="s">
        <v>12</v>
      </c>
      <c r="H13" s="435" t="s">
        <v>276</v>
      </c>
      <c r="I13" s="435" t="s">
        <v>7</v>
      </c>
      <c r="J13" s="435" t="s">
        <v>277</v>
      </c>
      <c r="AC13" s="435" t="s">
        <v>2</v>
      </c>
      <c r="AE13" s="813"/>
      <c r="AF13" s="813"/>
      <c r="AG13" s="813"/>
      <c r="AH13" s="813"/>
      <c r="AI13" s="813"/>
    </row>
    <row r="14" spans="1:36">
      <c r="D14" s="435" t="s">
        <v>79</v>
      </c>
      <c r="E14" s="435" t="s">
        <v>68</v>
      </c>
      <c r="F14" s="435" t="s">
        <v>274</v>
      </c>
      <c r="G14" s="435" t="s">
        <v>12</v>
      </c>
      <c r="H14" s="435" t="s">
        <v>276</v>
      </c>
      <c r="I14" s="435" t="s">
        <v>7</v>
      </c>
      <c r="J14" s="435" t="s">
        <v>1758</v>
      </c>
      <c r="AC14" s="435" t="s">
        <v>2</v>
      </c>
      <c r="AE14" s="813"/>
      <c r="AF14" s="813"/>
      <c r="AG14" s="813"/>
      <c r="AH14" s="813"/>
      <c r="AI14" s="813"/>
    </row>
    <row r="15" spans="1:36">
      <c r="D15" s="435" t="s">
        <v>79</v>
      </c>
      <c r="E15" s="435" t="s">
        <v>68</v>
      </c>
      <c r="F15" s="435" t="s">
        <v>274</v>
      </c>
      <c r="G15" s="435" t="s">
        <v>12</v>
      </c>
      <c r="H15" s="435" t="s">
        <v>276</v>
      </c>
      <c r="I15" s="435" t="s">
        <v>7</v>
      </c>
      <c r="J15" s="435" t="s">
        <v>279</v>
      </c>
      <c r="AC15" s="435" t="s">
        <v>2</v>
      </c>
      <c r="AE15" s="813"/>
      <c r="AF15" s="813"/>
      <c r="AG15" s="813"/>
      <c r="AH15" s="813"/>
      <c r="AI15" s="813"/>
    </row>
    <row r="16" spans="1:36">
      <c r="D16" s="435" t="s">
        <v>79</v>
      </c>
      <c r="E16" s="435" t="s">
        <v>68</v>
      </c>
      <c r="F16" s="435" t="s">
        <v>274</v>
      </c>
      <c r="G16" s="435" t="s">
        <v>12</v>
      </c>
      <c r="H16" s="435" t="s">
        <v>276</v>
      </c>
      <c r="I16" s="435" t="s">
        <v>7</v>
      </c>
      <c r="J16" s="435" t="s">
        <v>275</v>
      </c>
      <c r="AC16" s="435" t="s">
        <v>2</v>
      </c>
      <c r="AE16" s="813"/>
      <c r="AF16" s="813"/>
      <c r="AG16" s="813"/>
      <c r="AH16" s="813"/>
      <c r="AI16" s="813"/>
    </row>
    <row r="17" spans="4:35">
      <c r="D17" s="435" t="s">
        <v>79</v>
      </c>
      <c r="E17" s="435" t="s">
        <v>68</v>
      </c>
      <c r="F17" s="435" t="s">
        <v>274</v>
      </c>
      <c r="G17" s="435" t="s">
        <v>12</v>
      </c>
      <c r="H17" s="435" t="s">
        <v>1759</v>
      </c>
      <c r="I17" s="435" t="s">
        <v>7</v>
      </c>
      <c r="J17" s="435" t="s">
        <v>1760</v>
      </c>
      <c r="K17" s="435" t="s">
        <v>252</v>
      </c>
      <c r="L17" s="435" t="s">
        <v>104</v>
      </c>
      <c r="M17" s="435" t="s">
        <v>1760</v>
      </c>
      <c r="N17" s="435" t="s">
        <v>1760</v>
      </c>
      <c r="AC17" s="435" t="s">
        <v>2</v>
      </c>
      <c r="AE17" s="813"/>
      <c r="AF17" s="813"/>
      <c r="AG17" s="813"/>
      <c r="AH17" s="813"/>
      <c r="AI17" s="813"/>
    </row>
    <row r="18" spans="4:35">
      <c r="D18" s="435" t="s">
        <v>79</v>
      </c>
      <c r="E18" s="435" t="s">
        <v>68</v>
      </c>
      <c r="F18" s="435" t="s">
        <v>274</v>
      </c>
      <c r="G18" s="435" t="s">
        <v>12</v>
      </c>
      <c r="H18" s="435" t="s">
        <v>1759</v>
      </c>
      <c r="I18" s="435" t="s">
        <v>7</v>
      </c>
      <c r="J18" s="435" t="s">
        <v>1760</v>
      </c>
      <c r="K18" s="435" t="s">
        <v>289</v>
      </c>
      <c r="L18" s="435" t="s">
        <v>104</v>
      </c>
      <c r="M18" s="435" t="s">
        <v>1760</v>
      </c>
      <c r="N18" s="435" t="s">
        <v>1760</v>
      </c>
      <c r="AC18" s="435" t="s">
        <v>2</v>
      </c>
      <c r="AE18" s="813"/>
      <c r="AF18" s="813"/>
      <c r="AG18" s="813"/>
      <c r="AH18" s="813"/>
      <c r="AI18" s="813"/>
    </row>
    <row r="19" spans="4:35">
      <c r="D19" s="435" t="s">
        <v>79</v>
      </c>
      <c r="E19" s="435" t="s">
        <v>68</v>
      </c>
      <c r="F19" s="435" t="s">
        <v>274</v>
      </c>
      <c r="G19" s="435" t="s">
        <v>12</v>
      </c>
      <c r="H19" s="435" t="s">
        <v>1759</v>
      </c>
      <c r="I19" s="435" t="s">
        <v>7</v>
      </c>
      <c r="J19" s="435" t="s">
        <v>1760</v>
      </c>
      <c r="K19" s="435" t="s">
        <v>1771</v>
      </c>
      <c r="L19" s="435" t="s">
        <v>104</v>
      </c>
      <c r="M19" s="435" t="s">
        <v>1760</v>
      </c>
      <c r="N19" s="435" t="s">
        <v>1760</v>
      </c>
      <c r="AC19" s="435" t="s">
        <v>2</v>
      </c>
      <c r="AE19" s="813"/>
      <c r="AF19" s="813"/>
      <c r="AG19" s="813"/>
      <c r="AH19" s="813"/>
      <c r="AI19" s="813"/>
    </row>
    <row r="20" spans="4:35">
      <c r="D20" s="435" t="s">
        <v>79</v>
      </c>
      <c r="E20" s="435" t="s">
        <v>68</v>
      </c>
      <c r="F20" s="435" t="s">
        <v>274</v>
      </c>
      <c r="G20" s="435" t="s">
        <v>12</v>
      </c>
      <c r="H20" s="435" t="s">
        <v>1759</v>
      </c>
      <c r="I20" s="435" t="s">
        <v>7</v>
      </c>
      <c r="J20" s="435" t="s">
        <v>1760</v>
      </c>
      <c r="K20" s="435" t="s">
        <v>288</v>
      </c>
      <c r="L20" s="435" t="s">
        <v>104</v>
      </c>
      <c r="M20" s="435" t="s">
        <v>1760</v>
      </c>
      <c r="N20" s="435" t="s">
        <v>1760</v>
      </c>
      <c r="AC20" s="435" t="s">
        <v>2</v>
      </c>
      <c r="AE20" s="813"/>
      <c r="AF20" s="813"/>
      <c r="AG20" s="813"/>
      <c r="AH20" s="813"/>
      <c r="AI20" s="813"/>
    </row>
    <row r="21" spans="4:35">
      <c r="D21" s="435" t="s">
        <v>79</v>
      </c>
      <c r="E21" s="435" t="s">
        <v>68</v>
      </c>
      <c r="F21" s="435" t="s">
        <v>274</v>
      </c>
      <c r="G21" s="435" t="s">
        <v>12</v>
      </c>
      <c r="H21" s="435" t="s">
        <v>1759</v>
      </c>
      <c r="I21" s="435" t="s">
        <v>7</v>
      </c>
      <c r="J21" s="435" t="s">
        <v>1760</v>
      </c>
      <c r="K21" s="435" t="s">
        <v>1053</v>
      </c>
      <c r="L21" s="435" t="s">
        <v>104</v>
      </c>
      <c r="M21" s="435" t="s">
        <v>1760</v>
      </c>
      <c r="N21" s="435" t="s">
        <v>1760</v>
      </c>
      <c r="AC21" s="435" t="s">
        <v>2</v>
      </c>
      <c r="AE21" s="813"/>
      <c r="AF21" s="813"/>
      <c r="AG21" s="813"/>
      <c r="AH21" s="813"/>
      <c r="AI21" s="813"/>
    </row>
    <row r="22" spans="4:35">
      <c r="D22" s="435" t="s">
        <v>79</v>
      </c>
      <c r="E22" s="435" t="s">
        <v>68</v>
      </c>
      <c r="F22" s="435" t="s">
        <v>274</v>
      </c>
      <c r="G22" s="435" t="s">
        <v>12</v>
      </c>
      <c r="H22" s="435" t="s">
        <v>1759</v>
      </c>
      <c r="I22" s="435" t="s">
        <v>7</v>
      </c>
      <c r="J22" s="435" t="s">
        <v>1760</v>
      </c>
      <c r="K22" s="435" t="s">
        <v>286</v>
      </c>
      <c r="M22" s="435" t="s">
        <v>1760</v>
      </c>
      <c r="AC22" s="435" t="s">
        <v>2</v>
      </c>
      <c r="AE22" s="813"/>
      <c r="AF22" s="813"/>
      <c r="AG22" s="813"/>
      <c r="AH22" s="813"/>
      <c r="AI22" s="813"/>
    </row>
    <row r="23" spans="4:35">
      <c r="D23" s="435" t="s">
        <v>79</v>
      </c>
      <c r="E23" s="435" t="s">
        <v>68</v>
      </c>
      <c r="F23" s="435" t="s">
        <v>274</v>
      </c>
      <c r="G23" s="435" t="s">
        <v>12</v>
      </c>
      <c r="H23" s="435" t="s">
        <v>1759</v>
      </c>
      <c r="I23" s="435" t="s">
        <v>7</v>
      </c>
      <c r="J23" s="435" t="s">
        <v>1760</v>
      </c>
      <c r="K23" s="435" t="s">
        <v>285</v>
      </c>
      <c r="M23" s="435" t="s">
        <v>1760</v>
      </c>
      <c r="AC23" s="435" t="s">
        <v>2</v>
      </c>
      <c r="AE23" s="813"/>
      <c r="AF23" s="813"/>
      <c r="AG23" s="813"/>
      <c r="AH23" s="813"/>
      <c r="AI23" s="813"/>
    </row>
    <row r="24" spans="4:35">
      <c r="D24" s="435" t="s">
        <v>79</v>
      </c>
      <c r="E24" s="435" t="s">
        <v>68</v>
      </c>
      <c r="F24" s="435" t="s">
        <v>274</v>
      </c>
      <c r="G24" s="435" t="s">
        <v>12</v>
      </c>
      <c r="H24" s="435" t="s">
        <v>1759</v>
      </c>
      <c r="I24" s="435" t="s">
        <v>7</v>
      </c>
      <c r="J24" s="435" t="s">
        <v>299</v>
      </c>
      <c r="K24" s="435" t="s">
        <v>255</v>
      </c>
      <c r="M24" s="435" t="s">
        <v>299</v>
      </c>
      <c r="N24" s="435" t="s">
        <v>2623</v>
      </c>
      <c r="AC24" s="435" t="s">
        <v>2</v>
      </c>
      <c r="AE24" s="813"/>
      <c r="AF24" s="813"/>
      <c r="AG24" s="813"/>
      <c r="AH24" s="813"/>
      <c r="AI24" s="813"/>
    </row>
    <row r="25" spans="4:35">
      <c r="D25" s="435" t="s">
        <v>79</v>
      </c>
      <c r="E25" s="435" t="s">
        <v>68</v>
      </c>
      <c r="F25" s="435" t="s">
        <v>274</v>
      </c>
      <c r="G25" s="435" t="s">
        <v>12</v>
      </c>
      <c r="H25" s="435" t="s">
        <v>1759</v>
      </c>
      <c r="I25" s="435" t="s">
        <v>7</v>
      </c>
      <c r="J25" s="435" t="s">
        <v>299</v>
      </c>
      <c r="K25" s="435" t="s">
        <v>255</v>
      </c>
      <c r="M25" s="435" t="s">
        <v>299</v>
      </c>
      <c r="N25" s="435" t="s">
        <v>829</v>
      </c>
      <c r="AC25" s="435" t="s">
        <v>2</v>
      </c>
      <c r="AE25" s="813"/>
      <c r="AF25" s="813"/>
      <c r="AG25" s="813"/>
      <c r="AH25" s="813"/>
      <c r="AI25" s="813"/>
    </row>
    <row r="26" spans="4:35">
      <c r="D26" s="435" t="s">
        <v>79</v>
      </c>
      <c r="E26" s="435" t="s">
        <v>68</v>
      </c>
      <c r="F26" s="435" t="s">
        <v>274</v>
      </c>
      <c r="G26" s="435" t="s">
        <v>12</v>
      </c>
      <c r="H26" s="435" t="s">
        <v>1759</v>
      </c>
      <c r="I26" s="435" t="s">
        <v>7</v>
      </c>
      <c r="J26" s="435" t="s">
        <v>299</v>
      </c>
      <c r="K26" s="435" t="s">
        <v>323</v>
      </c>
      <c r="M26" s="435" t="s">
        <v>299</v>
      </c>
      <c r="N26" s="435" t="s">
        <v>2623</v>
      </c>
      <c r="AC26" s="435" t="s">
        <v>2</v>
      </c>
      <c r="AE26" s="813"/>
      <c r="AF26" s="813"/>
      <c r="AG26" s="813"/>
      <c r="AH26" s="813"/>
      <c r="AI26" s="813"/>
    </row>
    <row r="27" spans="4:35">
      <c r="D27" s="435" t="s">
        <v>79</v>
      </c>
      <c r="E27" s="435" t="s">
        <v>68</v>
      </c>
      <c r="F27" s="435" t="s">
        <v>274</v>
      </c>
      <c r="G27" s="435" t="s">
        <v>12</v>
      </c>
      <c r="H27" s="435" t="s">
        <v>1759</v>
      </c>
      <c r="I27" s="435" t="s">
        <v>7</v>
      </c>
      <c r="J27" s="435" t="s">
        <v>299</v>
      </c>
      <c r="K27" s="435" t="s">
        <v>323</v>
      </c>
      <c r="M27" s="435" t="s">
        <v>299</v>
      </c>
      <c r="N27" s="435" t="s">
        <v>829</v>
      </c>
      <c r="AC27" s="435" t="s">
        <v>2</v>
      </c>
      <c r="AE27" s="813"/>
      <c r="AF27" s="813"/>
      <c r="AG27" s="813"/>
      <c r="AH27" s="813"/>
      <c r="AI27" s="813"/>
    </row>
    <row r="28" spans="4:35">
      <c r="D28" s="435" t="s">
        <v>79</v>
      </c>
      <c r="E28" s="435" t="s">
        <v>68</v>
      </c>
      <c r="F28" s="435" t="s">
        <v>274</v>
      </c>
      <c r="G28" s="435" t="s">
        <v>12</v>
      </c>
      <c r="H28" s="435" t="s">
        <v>1759</v>
      </c>
      <c r="I28" s="435" t="s">
        <v>7</v>
      </c>
      <c r="J28" s="435" t="s">
        <v>299</v>
      </c>
      <c r="K28" s="435" t="s">
        <v>259</v>
      </c>
      <c r="M28" s="435" t="s">
        <v>299</v>
      </c>
      <c r="N28" s="435" t="s">
        <v>2623</v>
      </c>
      <c r="AC28" s="435" t="s">
        <v>2</v>
      </c>
      <c r="AE28" s="813"/>
      <c r="AF28" s="813"/>
      <c r="AG28" s="813"/>
      <c r="AH28" s="813"/>
      <c r="AI28" s="813"/>
    </row>
    <row r="29" spans="4:35">
      <c r="D29" s="435" t="s">
        <v>79</v>
      </c>
      <c r="E29" s="435" t="s">
        <v>68</v>
      </c>
      <c r="F29" s="435" t="s">
        <v>274</v>
      </c>
      <c r="G29" s="435" t="s">
        <v>12</v>
      </c>
      <c r="H29" s="435" t="s">
        <v>1759</v>
      </c>
      <c r="I29" s="435" t="s">
        <v>7</v>
      </c>
      <c r="J29" s="435" t="s">
        <v>299</v>
      </c>
      <c r="K29" s="435" t="s">
        <v>259</v>
      </c>
      <c r="M29" s="435" t="s">
        <v>299</v>
      </c>
      <c r="N29" s="435" t="s">
        <v>829</v>
      </c>
      <c r="AC29" s="435" t="s">
        <v>2</v>
      </c>
      <c r="AE29" s="813"/>
      <c r="AF29" s="813"/>
      <c r="AG29" s="813"/>
      <c r="AH29" s="813"/>
      <c r="AI29" s="813"/>
    </row>
    <row r="30" spans="4:35">
      <c r="D30" s="435" t="s">
        <v>79</v>
      </c>
      <c r="E30" s="435" t="s">
        <v>68</v>
      </c>
      <c r="F30" s="435" t="s">
        <v>274</v>
      </c>
      <c r="G30" s="435" t="s">
        <v>12</v>
      </c>
      <c r="H30" s="435" t="s">
        <v>1759</v>
      </c>
      <c r="I30" s="435" t="s">
        <v>7</v>
      </c>
      <c r="J30" s="435" t="s">
        <v>299</v>
      </c>
      <c r="K30" s="435" t="s">
        <v>319</v>
      </c>
      <c r="M30" s="435" t="s">
        <v>299</v>
      </c>
      <c r="N30" s="435" t="s">
        <v>2623</v>
      </c>
      <c r="AC30" s="435" t="s">
        <v>2</v>
      </c>
      <c r="AE30" s="813"/>
      <c r="AF30" s="813"/>
      <c r="AG30" s="813"/>
      <c r="AH30" s="813"/>
      <c r="AI30" s="813"/>
    </row>
    <row r="31" spans="4:35">
      <c r="D31" s="435" t="s">
        <v>79</v>
      </c>
      <c r="E31" s="435" t="s">
        <v>68</v>
      </c>
      <c r="F31" s="435" t="s">
        <v>274</v>
      </c>
      <c r="G31" s="435" t="s">
        <v>12</v>
      </c>
      <c r="H31" s="435" t="s">
        <v>1759</v>
      </c>
      <c r="I31" s="435" t="s">
        <v>7</v>
      </c>
      <c r="J31" s="435" t="s">
        <v>299</v>
      </c>
      <c r="K31" s="435" t="s">
        <v>319</v>
      </c>
      <c r="M31" s="435" t="s">
        <v>299</v>
      </c>
      <c r="N31" s="435" t="s">
        <v>829</v>
      </c>
      <c r="AC31" s="435" t="s">
        <v>2</v>
      </c>
      <c r="AE31" s="813"/>
      <c r="AF31" s="813"/>
      <c r="AG31" s="813"/>
      <c r="AH31" s="813"/>
      <c r="AI31" s="813"/>
    </row>
    <row r="32" spans="4:35">
      <c r="D32" s="435" t="s">
        <v>79</v>
      </c>
      <c r="E32" s="435" t="s">
        <v>68</v>
      </c>
      <c r="F32" s="435" t="s">
        <v>274</v>
      </c>
      <c r="G32" s="435" t="s">
        <v>12</v>
      </c>
      <c r="H32" s="435" t="s">
        <v>1759</v>
      </c>
      <c r="I32" s="435" t="s">
        <v>7</v>
      </c>
      <c r="J32" s="435" t="s">
        <v>299</v>
      </c>
      <c r="K32" s="435" t="s">
        <v>303</v>
      </c>
      <c r="M32" s="435" t="s">
        <v>299</v>
      </c>
      <c r="N32" s="435" t="s">
        <v>2623</v>
      </c>
      <c r="AC32" s="435" t="s">
        <v>2</v>
      </c>
      <c r="AE32" s="813"/>
      <c r="AF32" s="813"/>
      <c r="AG32" s="813"/>
      <c r="AH32" s="813"/>
      <c r="AI32" s="813"/>
    </row>
    <row r="33" spans="4:35">
      <c r="D33" s="435" t="s">
        <v>79</v>
      </c>
      <c r="E33" s="435" t="s">
        <v>68</v>
      </c>
      <c r="F33" s="435" t="s">
        <v>274</v>
      </c>
      <c r="G33" s="435" t="s">
        <v>12</v>
      </c>
      <c r="H33" s="435" t="s">
        <v>1759</v>
      </c>
      <c r="I33" s="435" t="s">
        <v>7</v>
      </c>
      <c r="J33" s="435" t="s">
        <v>299</v>
      </c>
      <c r="K33" s="435" t="s">
        <v>303</v>
      </c>
      <c r="M33" s="435" t="s">
        <v>299</v>
      </c>
      <c r="N33" s="435" t="s">
        <v>829</v>
      </c>
      <c r="AC33" s="435" t="s">
        <v>2</v>
      </c>
      <c r="AE33" s="813"/>
      <c r="AF33" s="813"/>
      <c r="AG33" s="813"/>
      <c r="AH33" s="813"/>
      <c r="AI33" s="813"/>
    </row>
    <row r="34" spans="4:35">
      <c r="D34" s="435" t="s">
        <v>79</v>
      </c>
      <c r="E34" s="435" t="s">
        <v>68</v>
      </c>
      <c r="F34" s="435" t="s">
        <v>274</v>
      </c>
      <c r="G34" s="435" t="s">
        <v>12</v>
      </c>
      <c r="H34" s="435" t="s">
        <v>1759</v>
      </c>
      <c r="I34" s="435" t="s">
        <v>7</v>
      </c>
      <c r="J34" s="435" t="s">
        <v>299</v>
      </c>
      <c r="K34" s="435" t="s">
        <v>303</v>
      </c>
      <c r="M34" s="435" t="s">
        <v>299</v>
      </c>
      <c r="N34" s="435" t="s">
        <v>828</v>
      </c>
      <c r="AC34" s="435" t="s">
        <v>2</v>
      </c>
      <c r="AE34" s="813"/>
      <c r="AF34" s="813"/>
      <c r="AG34" s="813"/>
      <c r="AH34" s="813"/>
      <c r="AI34" s="813"/>
    </row>
    <row r="35" spans="4:35">
      <c r="D35" s="435" t="s">
        <v>79</v>
      </c>
      <c r="E35" s="435" t="s">
        <v>68</v>
      </c>
      <c r="F35" s="435" t="s">
        <v>274</v>
      </c>
      <c r="G35" s="435" t="s">
        <v>12</v>
      </c>
      <c r="H35" s="435" t="s">
        <v>1759</v>
      </c>
      <c r="I35" s="435" t="s">
        <v>7</v>
      </c>
      <c r="J35" s="435" t="s">
        <v>299</v>
      </c>
      <c r="K35" s="435" t="s">
        <v>310</v>
      </c>
      <c r="M35" s="435" t="s">
        <v>299</v>
      </c>
      <c r="N35" s="435" t="s">
        <v>2623</v>
      </c>
      <c r="AC35" s="435" t="s">
        <v>2</v>
      </c>
      <c r="AE35" s="813"/>
      <c r="AF35" s="813"/>
      <c r="AG35" s="813"/>
      <c r="AH35" s="813"/>
      <c r="AI35" s="813"/>
    </row>
    <row r="36" spans="4:35">
      <c r="D36" s="435" t="s">
        <v>79</v>
      </c>
      <c r="E36" s="435" t="s">
        <v>68</v>
      </c>
      <c r="F36" s="435" t="s">
        <v>274</v>
      </c>
      <c r="G36" s="435" t="s">
        <v>12</v>
      </c>
      <c r="H36" s="435" t="s">
        <v>1759</v>
      </c>
      <c r="I36" s="435" t="s">
        <v>7</v>
      </c>
      <c r="J36" s="435" t="s">
        <v>299</v>
      </c>
      <c r="K36" s="435" t="s">
        <v>310</v>
      </c>
      <c r="M36" s="435" t="s">
        <v>299</v>
      </c>
      <c r="N36" s="435" t="s">
        <v>829</v>
      </c>
      <c r="AC36" s="435" t="s">
        <v>2</v>
      </c>
      <c r="AE36" s="813"/>
      <c r="AF36" s="813"/>
      <c r="AG36" s="813"/>
      <c r="AH36" s="813"/>
      <c r="AI36" s="813"/>
    </row>
    <row r="37" spans="4:35">
      <c r="D37" s="435" t="s">
        <v>79</v>
      </c>
      <c r="E37" s="435" t="s">
        <v>68</v>
      </c>
      <c r="F37" s="435" t="s">
        <v>274</v>
      </c>
      <c r="G37" s="435" t="s">
        <v>12</v>
      </c>
      <c r="H37" s="435" t="s">
        <v>1759</v>
      </c>
      <c r="I37" s="435" t="s">
        <v>7</v>
      </c>
      <c r="J37" s="435" t="s">
        <v>299</v>
      </c>
      <c r="K37" s="435" t="s">
        <v>310</v>
      </c>
      <c r="M37" s="435" t="s">
        <v>299</v>
      </c>
      <c r="N37" s="435" t="s">
        <v>828</v>
      </c>
      <c r="AC37" s="435" t="s">
        <v>2</v>
      </c>
      <c r="AE37" s="813"/>
      <c r="AF37" s="813"/>
      <c r="AG37" s="813"/>
      <c r="AH37" s="813"/>
      <c r="AI37" s="813"/>
    </row>
    <row r="38" spans="4:35">
      <c r="D38" s="435" t="s">
        <v>79</v>
      </c>
      <c r="E38" s="435" t="s">
        <v>68</v>
      </c>
      <c r="F38" s="435" t="s">
        <v>274</v>
      </c>
      <c r="G38" s="435" t="s">
        <v>12</v>
      </c>
      <c r="H38" s="435" t="s">
        <v>1759</v>
      </c>
      <c r="I38" s="435" t="s">
        <v>7</v>
      </c>
      <c r="J38" s="435" t="s">
        <v>299</v>
      </c>
      <c r="K38" s="435" t="s">
        <v>300</v>
      </c>
      <c r="M38" s="435" t="s">
        <v>299</v>
      </c>
      <c r="N38" s="435" t="s">
        <v>2623</v>
      </c>
      <c r="AC38" s="435" t="s">
        <v>2</v>
      </c>
      <c r="AE38" s="813"/>
      <c r="AF38" s="813"/>
      <c r="AG38" s="813"/>
      <c r="AH38" s="813"/>
      <c r="AI38" s="813"/>
    </row>
    <row r="39" spans="4:35">
      <c r="D39" s="435" t="s">
        <v>79</v>
      </c>
      <c r="E39" s="435" t="s">
        <v>68</v>
      </c>
      <c r="F39" s="435" t="s">
        <v>274</v>
      </c>
      <c r="G39" s="435" t="s">
        <v>12</v>
      </c>
      <c r="H39" s="435" t="s">
        <v>1759</v>
      </c>
      <c r="I39" s="435" t="s">
        <v>7</v>
      </c>
      <c r="J39" s="435" t="s">
        <v>299</v>
      </c>
      <c r="K39" s="435" t="s">
        <v>300</v>
      </c>
      <c r="M39" s="435" t="s">
        <v>299</v>
      </c>
      <c r="N39" s="435" t="s">
        <v>829</v>
      </c>
      <c r="AC39" s="435" t="s">
        <v>2</v>
      </c>
      <c r="AE39" s="813"/>
      <c r="AF39" s="813"/>
      <c r="AG39" s="813"/>
      <c r="AH39" s="813"/>
      <c r="AI39" s="813"/>
    </row>
    <row r="40" spans="4:35">
      <c r="D40" s="435" t="s">
        <v>79</v>
      </c>
      <c r="E40" s="435" t="s">
        <v>68</v>
      </c>
      <c r="F40" s="435" t="s">
        <v>274</v>
      </c>
      <c r="G40" s="435" t="s">
        <v>12</v>
      </c>
      <c r="H40" s="435" t="s">
        <v>1759</v>
      </c>
      <c r="I40" s="435" t="s">
        <v>7</v>
      </c>
      <c r="J40" s="435" t="s">
        <v>299</v>
      </c>
      <c r="K40" s="435" t="s">
        <v>300</v>
      </c>
      <c r="M40" s="435" t="s">
        <v>299</v>
      </c>
      <c r="N40" s="435" t="s">
        <v>828</v>
      </c>
      <c r="AC40" s="435" t="s">
        <v>2</v>
      </c>
      <c r="AE40" s="813"/>
      <c r="AF40" s="813"/>
      <c r="AG40" s="813"/>
      <c r="AH40" s="813"/>
      <c r="AI40" s="813"/>
    </row>
    <row r="41" spans="4:35">
      <c r="D41" s="435" t="s">
        <v>79</v>
      </c>
      <c r="E41" s="435" t="s">
        <v>68</v>
      </c>
      <c r="F41" s="435" t="s">
        <v>274</v>
      </c>
      <c r="G41" s="435" t="s">
        <v>12</v>
      </c>
      <c r="H41" s="435" t="s">
        <v>1759</v>
      </c>
      <c r="I41" s="435" t="s">
        <v>7</v>
      </c>
      <c r="J41" s="435" t="s">
        <v>299</v>
      </c>
      <c r="K41" s="435" t="s">
        <v>300</v>
      </c>
      <c r="M41" s="435" t="s">
        <v>299</v>
      </c>
      <c r="N41" s="435" t="s">
        <v>828</v>
      </c>
      <c r="AC41" s="435" t="s">
        <v>2</v>
      </c>
      <c r="AE41" s="813"/>
      <c r="AF41" s="813"/>
      <c r="AG41" s="813"/>
      <c r="AH41" s="813"/>
      <c r="AI41" s="813"/>
    </row>
    <row r="42" spans="4:35">
      <c r="D42" s="435" t="s">
        <v>79</v>
      </c>
      <c r="E42" s="435" t="s">
        <v>68</v>
      </c>
      <c r="F42" s="435" t="s">
        <v>274</v>
      </c>
      <c r="G42" s="435" t="s">
        <v>12</v>
      </c>
      <c r="H42" s="435" t="s">
        <v>1759</v>
      </c>
      <c r="I42" s="435" t="s">
        <v>7</v>
      </c>
      <c r="J42" s="435" t="s">
        <v>1761</v>
      </c>
      <c r="K42" s="435" t="s">
        <v>293</v>
      </c>
      <c r="L42" s="435" t="s">
        <v>104</v>
      </c>
      <c r="M42" s="435" t="s">
        <v>1761</v>
      </c>
      <c r="N42" s="435" t="s">
        <v>293</v>
      </c>
      <c r="AC42" s="435" t="s">
        <v>2</v>
      </c>
      <c r="AE42" s="813"/>
      <c r="AF42" s="813"/>
      <c r="AG42" s="813"/>
      <c r="AH42" s="813"/>
      <c r="AI42" s="813"/>
    </row>
    <row r="43" spans="4:35">
      <c r="D43" s="435" t="s">
        <v>79</v>
      </c>
      <c r="E43" s="435" t="s">
        <v>68</v>
      </c>
      <c r="F43" s="435" t="s">
        <v>274</v>
      </c>
      <c r="G43" s="435" t="s">
        <v>12</v>
      </c>
      <c r="H43" s="435" t="s">
        <v>1759</v>
      </c>
      <c r="I43" s="435" t="s">
        <v>7</v>
      </c>
      <c r="J43" s="435" t="s">
        <v>1761</v>
      </c>
      <c r="K43" s="435" t="s">
        <v>1769</v>
      </c>
      <c r="L43" s="435" t="s">
        <v>104</v>
      </c>
      <c r="M43" s="435" t="s">
        <v>1761</v>
      </c>
      <c r="N43" s="435" t="s">
        <v>1014</v>
      </c>
      <c r="AC43" s="435" t="s">
        <v>2</v>
      </c>
      <c r="AE43" s="813"/>
      <c r="AF43" s="813"/>
      <c r="AG43" s="813"/>
      <c r="AH43" s="813"/>
      <c r="AI43" s="813"/>
    </row>
    <row r="44" spans="4:35">
      <c r="D44" s="435" t="s">
        <v>79</v>
      </c>
      <c r="E44" s="435" t="s">
        <v>68</v>
      </c>
      <c r="F44" s="435" t="s">
        <v>274</v>
      </c>
      <c r="G44" s="435" t="s">
        <v>12</v>
      </c>
      <c r="H44" s="435" t="s">
        <v>1759</v>
      </c>
      <c r="I44" s="435" t="s">
        <v>7</v>
      </c>
      <c r="J44" s="435" t="s">
        <v>1761</v>
      </c>
      <c r="K44" s="435" t="s">
        <v>1015</v>
      </c>
      <c r="L44" s="435" t="s">
        <v>104</v>
      </c>
      <c r="M44" s="435" t="s">
        <v>1761</v>
      </c>
      <c r="N44" s="435" t="s">
        <v>1015</v>
      </c>
      <c r="AC44" s="435" t="s">
        <v>2</v>
      </c>
      <c r="AE44" s="813"/>
      <c r="AF44" s="813"/>
      <c r="AG44" s="813"/>
      <c r="AH44" s="813"/>
      <c r="AI44" s="813"/>
    </row>
    <row r="45" spans="4:35">
      <c r="D45" s="435" t="s">
        <v>79</v>
      </c>
      <c r="E45" s="435" t="s">
        <v>68</v>
      </c>
      <c r="F45" s="435" t="s">
        <v>274</v>
      </c>
      <c r="G45" s="435" t="s">
        <v>12</v>
      </c>
      <c r="H45" s="435" t="s">
        <v>1759</v>
      </c>
      <c r="I45" s="435" t="s">
        <v>7</v>
      </c>
      <c r="J45" s="435" t="s">
        <v>1761</v>
      </c>
      <c r="K45" s="435" t="s">
        <v>1770</v>
      </c>
      <c r="M45" s="435" t="s">
        <v>1761</v>
      </c>
      <c r="AC45" s="435" t="s">
        <v>2</v>
      </c>
      <c r="AE45" s="813"/>
      <c r="AF45" s="813"/>
      <c r="AG45" s="813"/>
      <c r="AH45" s="813"/>
      <c r="AI45" s="813"/>
    </row>
    <row r="46" spans="4:35">
      <c r="D46" s="435" t="s">
        <v>79</v>
      </c>
      <c r="E46" s="435" t="s">
        <v>68</v>
      </c>
      <c r="F46" s="435" t="s">
        <v>274</v>
      </c>
      <c r="G46" s="435" t="s">
        <v>12</v>
      </c>
      <c r="H46" s="435" t="s">
        <v>1759</v>
      </c>
      <c r="I46" s="435" t="s">
        <v>7</v>
      </c>
      <c r="J46" s="435" t="s">
        <v>1761</v>
      </c>
      <c r="K46" s="435" t="s">
        <v>294</v>
      </c>
      <c r="M46" s="435" t="s">
        <v>1761</v>
      </c>
      <c r="AC46" s="435" t="s">
        <v>2</v>
      </c>
      <c r="AE46" s="813"/>
      <c r="AF46" s="813"/>
      <c r="AG46" s="813"/>
      <c r="AH46" s="813"/>
      <c r="AI46" s="813"/>
    </row>
    <row r="47" spans="4:35">
      <c r="D47" s="435" t="s">
        <v>79</v>
      </c>
      <c r="E47" s="435" t="s">
        <v>68</v>
      </c>
      <c r="F47" s="435" t="s">
        <v>274</v>
      </c>
      <c r="G47" s="435" t="s">
        <v>12</v>
      </c>
      <c r="H47" s="435" t="s">
        <v>1690</v>
      </c>
      <c r="I47" s="435" t="s">
        <v>7</v>
      </c>
      <c r="J47" s="435" t="s">
        <v>1766</v>
      </c>
      <c r="M47" s="435" t="s">
        <v>1766</v>
      </c>
      <c r="AC47" s="435" t="s">
        <v>2</v>
      </c>
      <c r="AE47" s="813"/>
      <c r="AF47" s="813"/>
      <c r="AG47" s="813"/>
      <c r="AH47" s="813"/>
      <c r="AI47" s="813"/>
    </row>
    <row r="48" spans="4:35">
      <c r="D48" s="435" t="s">
        <v>79</v>
      </c>
      <c r="E48" s="435" t="s">
        <v>68</v>
      </c>
      <c r="F48" s="435" t="s">
        <v>274</v>
      </c>
      <c r="G48" s="435" t="s">
        <v>12</v>
      </c>
      <c r="H48" s="435" t="s">
        <v>1690</v>
      </c>
      <c r="I48" s="435" t="s">
        <v>7</v>
      </c>
      <c r="J48" s="435" t="s">
        <v>1767</v>
      </c>
      <c r="M48" s="435" t="s">
        <v>1086</v>
      </c>
      <c r="AC48" s="435" t="s">
        <v>2</v>
      </c>
      <c r="AE48" s="813"/>
      <c r="AF48" s="813"/>
      <c r="AG48" s="813"/>
      <c r="AH48" s="813"/>
      <c r="AI48" s="813"/>
    </row>
    <row r="49" spans="1:35">
      <c r="D49" s="435" t="s">
        <v>79</v>
      </c>
      <c r="E49" s="435" t="s">
        <v>68</v>
      </c>
      <c r="F49" s="435" t="s">
        <v>274</v>
      </c>
      <c r="G49" s="435" t="s">
        <v>12</v>
      </c>
      <c r="H49" s="435" t="s">
        <v>1690</v>
      </c>
      <c r="I49" s="435" t="s">
        <v>7</v>
      </c>
      <c r="J49" s="435" t="s">
        <v>1767</v>
      </c>
      <c r="K49" s="435" t="s">
        <v>104</v>
      </c>
      <c r="M49" s="435" t="s">
        <v>1086</v>
      </c>
      <c r="AC49" s="435" t="s">
        <v>2</v>
      </c>
      <c r="AE49" s="813"/>
      <c r="AF49" s="813"/>
      <c r="AG49" s="813"/>
      <c r="AH49" s="813"/>
      <c r="AI49" s="813"/>
    </row>
    <row r="50" spans="1:35">
      <c r="D50" s="435" t="s">
        <v>79</v>
      </c>
      <c r="E50" s="435" t="s">
        <v>68</v>
      </c>
      <c r="F50" s="435" t="s">
        <v>274</v>
      </c>
      <c r="G50" s="435" t="s">
        <v>12</v>
      </c>
      <c r="H50" s="435" t="s">
        <v>1690</v>
      </c>
      <c r="I50" s="435" t="s">
        <v>7</v>
      </c>
      <c r="J50" s="435" t="s">
        <v>1767</v>
      </c>
      <c r="K50" s="435" t="s">
        <v>2627</v>
      </c>
      <c r="M50" s="435" t="s">
        <v>1086</v>
      </c>
      <c r="AC50" s="435" t="s">
        <v>2</v>
      </c>
      <c r="AE50" s="813"/>
      <c r="AF50" s="813"/>
      <c r="AG50" s="813"/>
      <c r="AH50" s="813"/>
      <c r="AI50" s="813"/>
    </row>
    <row r="51" spans="1:35">
      <c r="D51" s="435" t="s">
        <v>79</v>
      </c>
      <c r="E51" s="435" t="s">
        <v>68</v>
      </c>
      <c r="F51" s="435" t="s">
        <v>274</v>
      </c>
      <c r="G51" s="435" t="s">
        <v>12</v>
      </c>
      <c r="H51" s="435" t="s">
        <v>1049</v>
      </c>
      <c r="I51" s="435" t="s">
        <v>1</v>
      </c>
      <c r="J51" s="435" t="s">
        <v>1762</v>
      </c>
      <c r="AC51" s="435" t="s">
        <v>2</v>
      </c>
      <c r="AE51" s="813"/>
      <c r="AF51" s="813"/>
      <c r="AG51" s="813"/>
      <c r="AH51" s="813"/>
      <c r="AI51" s="813"/>
    </row>
    <row r="52" spans="1:35">
      <c r="D52" s="435" t="s">
        <v>79</v>
      </c>
      <c r="E52" s="435" t="s">
        <v>68</v>
      </c>
      <c r="F52" s="435" t="s">
        <v>274</v>
      </c>
      <c r="G52" s="435" t="s">
        <v>12</v>
      </c>
      <c r="H52" s="435" t="s">
        <v>1049</v>
      </c>
      <c r="I52" s="435" t="s">
        <v>1</v>
      </c>
      <c r="J52" s="435" t="s">
        <v>2647</v>
      </c>
      <c r="AC52" s="435" t="s">
        <v>2</v>
      </c>
      <c r="AE52" s="813"/>
      <c r="AF52" s="813"/>
      <c r="AG52" s="813"/>
      <c r="AH52" s="813"/>
      <c r="AI52" s="813"/>
    </row>
    <row r="53" spans="1:35">
      <c r="D53" s="435" t="s">
        <v>79</v>
      </c>
      <c r="E53" s="435" t="s">
        <v>68</v>
      </c>
      <c r="F53" s="435" t="s">
        <v>274</v>
      </c>
      <c r="G53" s="435" t="s">
        <v>12</v>
      </c>
      <c r="H53" s="435" t="s">
        <v>1049</v>
      </c>
      <c r="I53" s="435" t="s">
        <v>1</v>
      </c>
      <c r="J53" s="435" t="s">
        <v>1764</v>
      </c>
      <c r="AC53" s="435" t="s">
        <v>2</v>
      </c>
      <c r="AE53" s="813"/>
      <c r="AF53" s="813"/>
      <c r="AG53" s="813"/>
      <c r="AH53" s="813"/>
      <c r="AI53" s="813"/>
    </row>
    <row r="54" spans="1:35">
      <c r="D54" s="435" t="s">
        <v>79</v>
      </c>
      <c r="E54" s="435" t="s">
        <v>68</v>
      </c>
      <c r="F54" s="435" t="s">
        <v>274</v>
      </c>
      <c r="G54" s="435" t="s">
        <v>12</v>
      </c>
      <c r="H54" s="435" t="s">
        <v>1049</v>
      </c>
      <c r="I54" s="435" t="s">
        <v>1</v>
      </c>
      <c r="J54" s="435" t="s">
        <v>1765</v>
      </c>
      <c r="AC54" s="435" t="s">
        <v>2</v>
      </c>
      <c r="AE54" s="813"/>
      <c r="AF54" s="813"/>
      <c r="AG54" s="813"/>
      <c r="AH54" s="813"/>
      <c r="AI54" s="813"/>
    </row>
    <row r="55" spans="1:35">
      <c r="D55" s="435" t="s">
        <v>79</v>
      </c>
      <c r="E55" s="435" t="s">
        <v>68</v>
      </c>
      <c r="F55" s="435" t="s">
        <v>274</v>
      </c>
      <c r="G55" s="435" t="s">
        <v>12</v>
      </c>
      <c r="H55" s="435" t="s">
        <v>1768</v>
      </c>
      <c r="I55" s="435" t="s">
        <v>1</v>
      </c>
      <c r="J55" s="435" t="s">
        <v>11</v>
      </c>
      <c r="K55" s="435" t="s">
        <v>144</v>
      </c>
      <c r="AC55" s="435" t="s">
        <v>2</v>
      </c>
      <c r="AE55" s="813"/>
      <c r="AF55" s="813"/>
      <c r="AG55" s="813"/>
      <c r="AH55" s="813"/>
      <c r="AI55" s="813"/>
    </row>
    <row r="56" spans="1:35">
      <c r="D56" s="435" t="s">
        <v>79</v>
      </c>
      <c r="E56" s="435" t="s">
        <v>68</v>
      </c>
      <c r="F56" s="435" t="s">
        <v>274</v>
      </c>
      <c r="G56" s="435" t="s">
        <v>12</v>
      </c>
      <c r="H56" s="435" t="s">
        <v>1768</v>
      </c>
      <c r="I56" s="435" t="s">
        <v>1</v>
      </c>
      <c r="J56" s="435" t="s">
        <v>11</v>
      </c>
      <c r="K56" s="435" t="s">
        <v>145</v>
      </c>
      <c r="AC56" s="435" t="s">
        <v>2</v>
      </c>
      <c r="AE56" s="813"/>
      <c r="AF56" s="813"/>
      <c r="AG56" s="813"/>
      <c r="AH56" s="813"/>
      <c r="AI56" s="813"/>
    </row>
    <row r="57" spans="1:35">
      <c r="D57" s="435" t="s">
        <v>79</v>
      </c>
      <c r="E57" s="435" t="s">
        <v>68</v>
      </c>
      <c r="F57" s="435" t="s">
        <v>274</v>
      </c>
      <c r="G57" s="435" t="s">
        <v>12</v>
      </c>
      <c r="H57" s="435" t="s">
        <v>1768</v>
      </c>
      <c r="I57" s="435" t="s">
        <v>1</v>
      </c>
      <c r="J57" s="435" t="s">
        <v>11</v>
      </c>
      <c r="K57" s="435" t="s">
        <v>211</v>
      </c>
      <c r="AC57" s="435" t="s">
        <v>2</v>
      </c>
      <c r="AE57" s="813"/>
      <c r="AF57" s="813"/>
      <c r="AG57" s="813"/>
      <c r="AH57" s="813"/>
      <c r="AI57" s="813"/>
    </row>
    <row r="58" spans="1:35">
      <c r="D58" s="435" t="s">
        <v>79</v>
      </c>
      <c r="E58" s="435" t="s">
        <v>68</v>
      </c>
      <c r="F58" s="435" t="s">
        <v>274</v>
      </c>
      <c r="G58" s="435" t="s">
        <v>12</v>
      </c>
      <c r="H58" s="435" t="s">
        <v>1768</v>
      </c>
      <c r="I58" s="435" t="s">
        <v>1</v>
      </c>
      <c r="J58" s="435" t="s">
        <v>11</v>
      </c>
      <c r="K58" s="435" t="s">
        <v>2629</v>
      </c>
      <c r="AC58" s="435" t="s">
        <v>2</v>
      </c>
      <c r="AE58" s="813"/>
      <c r="AF58" s="813"/>
      <c r="AG58" s="813"/>
      <c r="AH58" s="813"/>
      <c r="AI58" s="813"/>
    </row>
    <row r="59" spans="1:35">
      <c r="D59" s="435" t="s">
        <v>79</v>
      </c>
      <c r="E59" s="435" t="s">
        <v>68</v>
      </c>
      <c r="F59" s="435" t="s">
        <v>274</v>
      </c>
      <c r="G59" s="435" t="s">
        <v>12</v>
      </c>
      <c r="H59" s="435" t="s">
        <v>1768</v>
      </c>
      <c r="I59" s="435" t="s">
        <v>1</v>
      </c>
      <c r="K59" s="435" t="s">
        <v>2626</v>
      </c>
      <c r="AC59" s="435" t="s">
        <v>2</v>
      </c>
      <c r="AE59" s="813"/>
      <c r="AF59" s="813"/>
      <c r="AG59" s="813"/>
      <c r="AH59" s="813"/>
      <c r="AI59" s="813"/>
    </row>
    <row r="61" spans="1:35" s="1" customFormat="1" ht="13.9">
      <c r="A61" s="66"/>
      <c r="B61" s="78" t="s">
        <v>1757</v>
      </c>
    </row>
    <row r="63" spans="1:35">
      <c r="D63" s="435" t="s">
        <v>79</v>
      </c>
      <c r="E63" s="435" t="s">
        <v>68</v>
      </c>
      <c r="F63" s="435" t="s">
        <v>296</v>
      </c>
      <c r="G63" s="435" t="s">
        <v>12</v>
      </c>
      <c r="H63" s="435" t="s">
        <v>276</v>
      </c>
      <c r="I63" s="435" t="s">
        <v>7</v>
      </c>
      <c r="J63" s="435" t="s">
        <v>277</v>
      </c>
      <c r="AC63" s="435" t="s">
        <v>2</v>
      </c>
      <c r="AE63" s="81"/>
      <c r="AF63" s="81"/>
      <c r="AG63" s="81"/>
      <c r="AH63" s="81"/>
      <c r="AI63" s="81"/>
    </row>
    <row r="64" spans="1:35">
      <c r="D64" s="435" t="s">
        <v>79</v>
      </c>
      <c r="E64" s="435" t="s">
        <v>68</v>
      </c>
      <c r="F64" s="435" t="s">
        <v>296</v>
      </c>
      <c r="G64" s="435" t="s">
        <v>12</v>
      </c>
      <c r="H64" s="435" t="s">
        <v>276</v>
      </c>
      <c r="I64" s="435" t="s">
        <v>7</v>
      </c>
      <c r="J64" s="435" t="s">
        <v>1758</v>
      </c>
      <c r="AC64" s="435" t="s">
        <v>2</v>
      </c>
      <c r="AE64" s="81"/>
      <c r="AF64" s="81"/>
      <c r="AG64" s="81"/>
      <c r="AH64" s="81"/>
      <c r="AI64" s="81"/>
    </row>
    <row r="65" spans="4:35">
      <c r="D65" s="435" t="s">
        <v>79</v>
      </c>
      <c r="E65" s="435" t="s">
        <v>68</v>
      </c>
      <c r="F65" s="435" t="s">
        <v>296</v>
      </c>
      <c r="G65" s="435" t="s">
        <v>12</v>
      </c>
      <c r="H65" s="435" t="s">
        <v>1759</v>
      </c>
      <c r="I65" s="435" t="s">
        <v>7</v>
      </c>
      <c r="J65" s="435" t="s">
        <v>1760</v>
      </c>
      <c r="K65" s="435" t="s">
        <v>1846</v>
      </c>
      <c r="AC65" s="435" t="s">
        <v>2</v>
      </c>
      <c r="AE65" s="81"/>
      <c r="AF65" s="81"/>
      <c r="AG65" s="81"/>
      <c r="AH65" s="81"/>
      <c r="AI65" s="81"/>
    </row>
    <row r="66" spans="4:35">
      <c r="D66" s="435" t="s">
        <v>79</v>
      </c>
      <c r="E66" s="435" t="s">
        <v>68</v>
      </c>
      <c r="F66" s="435" t="s">
        <v>296</v>
      </c>
      <c r="G66" s="435" t="s">
        <v>12</v>
      </c>
      <c r="H66" s="435" t="s">
        <v>1759</v>
      </c>
      <c r="I66" s="435" t="s">
        <v>7</v>
      </c>
      <c r="J66" s="435" t="s">
        <v>1760</v>
      </c>
      <c r="K66" s="435" t="s">
        <v>3138</v>
      </c>
      <c r="AC66" s="435" t="s">
        <v>2</v>
      </c>
      <c r="AE66" s="81"/>
      <c r="AF66" s="81"/>
      <c r="AG66" s="81"/>
      <c r="AH66" s="81"/>
      <c r="AI66" s="81"/>
    </row>
    <row r="67" spans="4:35">
      <c r="D67" s="435" t="s">
        <v>79</v>
      </c>
      <c r="E67" s="435" t="s">
        <v>68</v>
      </c>
      <c r="F67" s="435" t="s">
        <v>296</v>
      </c>
      <c r="G67" s="435" t="s">
        <v>12</v>
      </c>
      <c r="H67" s="435" t="s">
        <v>1759</v>
      </c>
      <c r="I67" s="435" t="s">
        <v>7</v>
      </c>
      <c r="J67" s="435" t="s">
        <v>1760</v>
      </c>
      <c r="K67" s="435" t="s">
        <v>971</v>
      </c>
      <c r="AC67" s="435" t="s">
        <v>2</v>
      </c>
      <c r="AE67" s="81"/>
      <c r="AF67" s="81"/>
      <c r="AG67" s="81"/>
      <c r="AH67" s="81"/>
      <c r="AI67" s="81"/>
    </row>
    <row r="68" spans="4:35">
      <c r="D68" s="435" t="s">
        <v>79</v>
      </c>
      <c r="E68" s="435" t="s">
        <v>68</v>
      </c>
      <c r="F68" s="435" t="s">
        <v>296</v>
      </c>
      <c r="G68" s="435" t="s">
        <v>12</v>
      </c>
      <c r="H68" s="435" t="s">
        <v>1759</v>
      </c>
      <c r="I68" s="435" t="s">
        <v>7</v>
      </c>
      <c r="J68" s="435" t="s">
        <v>1760</v>
      </c>
      <c r="K68" s="435" t="s">
        <v>3139</v>
      </c>
      <c r="AC68" s="435" t="s">
        <v>2</v>
      </c>
      <c r="AE68" s="81"/>
      <c r="AF68" s="81"/>
      <c r="AG68" s="81"/>
      <c r="AH68" s="81"/>
      <c r="AI68" s="81"/>
    </row>
    <row r="69" spans="4:35">
      <c r="D69" s="58" t="s">
        <v>79</v>
      </c>
      <c r="E69" s="58" t="s">
        <v>68</v>
      </c>
      <c r="F69" s="58" t="s">
        <v>296</v>
      </c>
      <c r="G69" s="58" t="s">
        <v>12</v>
      </c>
      <c r="H69" s="58" t="s">
        <v>1759</v>
      </c>
      <c r="I69" s="58" t="s">
        <v>7</v>
      </c>
      <c r="J69" s="58" t="s">
        <v>299</v>
      </c>
      <c r="K69" s="435" t="s">
        <v>323</v>
      </c>
      <c r="AC69" s="435" t="s">
        <v>2</v>
      </c>
      <c r="AE69" s="81"/>
      <c r="AF69" s="81"/>
      <c r="AG69" s="81"/>
      <c r="AH69" s="81"/>
      <c r="AI69" s="81"/>
    </row>
    <row r="70" spans="4:35">
      <c r="D70" s="58" t="s">
        <v>79</v>
      </c>
      <c r="E70" s="58" t="s">
        <v>68</v>
      </c>
      <c r="F70" s="58" t="s">
        <v>296</v>
      </c>
      <c r="G70" s="58" t="s">
        <v>12</v>
      </c>
      <c r="H70" s="58" t="s">
        <v>1759</v>
      </c>
      <c r="I70" s="58" t="s">
        <v>7</v>
      </c>
      <c r="J70" s="58" t="s">
        <v>299</v>
      </c>
      <c r="K70" s="435" t="s">
        <v>323</v>
      </c>
      <c r="L70" s="435" t="s">
        <v>104</v>
      </c>
      <c r="N70" s="435" t="s">
        <v>829</v>
      </c>
      <c r="AC70" s="435" t="s">
        <v>2</v>
      </c>
      <c r="AE70" s="81"/>
      <c r="AF70" s="81"/>
      <c r="AG70" s="81"/>
      <c r="AH70" s="81"/>
      <c r="AI70" s="81"/>
    </row>
    <row r="71" spans="4:35">
      <c r="D71" s="58" t="s">
        <v>79</v>
      </c>
      <c r="E71" s="58" t="s">
        <v>68</v>
      </c>
      <c r="F71" s="58" t="s">
        <v>296</v>
      </c>
      <c r="G71" s="58" t="s">
        <v>12</v>
      </c>
      <c r="H71" s="58" t="s">
        <v>1759</v>
      </c>
      <c r="I71" s="58" t="s">
        <v>7</v>
      </c>
      <c r="J71" s="58" t="s">
        <v>299</v>
      </c>
      <c r="K71" s="58" t="s">
        <v>319</v>
      </c>
      <c r="L71" s="58"/>
      <c r="N71" s="58"/>
      <c r="AC71" s="435" t="s">
        <v>2</v>
      </c>
      <c r="AE71" s="81"/>
      <c r="AF71" s="81"/>
      <c r="AG71" s="81"/>
      <c r="AH71" s="81"/>
      <c r="AI71" s="81"/>
    </row>
    <row r="72" spans="4:35">
      <c r="D72" s="58" t="s">
        <v>79</v>
      </c>
      <c r="E72" s="58" t="s">
        <v>68</v>
      </c>
      <c r="F72" s="58" t="s">
        <v>296</v>
      </c>
      <c r="G72" s="58" t="s">
        <v>12</v>
      </c>
      <c r="H72" s="58" t="s">
        <v>1759</v>
      </c>
      <c r="I72" s="58" t="s">
        <v>7</v>
      </c>
      <c r="J72" s="58" t="s">
        <v>299</v>
      </c>
      <c r="K72" s="58" t="s">
        <v>319</v>
      </c>
      <c r="L72" s="58" t="s">
        <v>104</v>
      </c>
      <c r="N72" s="58" t="s">
        <v>829</v>
      </c>
      <c r="AC72" s="435" t="s">
        <v>2</v>
      </c>
      <c r="AE72" s="81"/>
      <c r="AF72" s="81"/>
      <c r="AG72" s="81"/>
      <c r="AH72" s="81"/>
      <c r="AI72" s="81"/>
    </row>
    <row r="73" spans="4:35">
      <c r="D73" s="58" t="s">
        <v>79</v>
      </c>
      <c r="E73" s="58" t="s">
        <v>68</v>
      </c>
      <c r="F73" s="58" t="s">
        <v>296</v>
      </c>
      <c r="G73" s="58" t="s">
        <v>12</v>
      </c>
      <c r="H73" s="58" t="s">
        <v>1759</v>
      </c>
      <c r="I73" s="58" t="s">
        <v>7</v>
      </c>
      <c r="J73" s="58" t="s">
        <v>299</v>
      </c>
      <c r="K73" s="58" t="s">
        <v>300</v>
      </c>
      <c r="L73" s="58"/>
      <c r="N73" s="58"/>
      <c r="AC73" s="435" t="s">
        <v>2</v>
      </c>
      <c r="AE73" s="81"/>
      <c r="AF73" s="81"/>
      <c r="AG73" s="81"/>
      <c r="AH73" s="81"/>
      <c r="AI73" s="81"/>
    </row>
    <row r="74" spans="4:35">
      <c r="D74" s="58" t="s">
        <v>79</v>
      </c>
      <c r="E74" s="58" t="s">
        <v>68</v>
      </c>
      <c r="F74" s="58" t="s">
        <v>296</v>
      </c>
      <c r="G74" s="58" t="s">
        <v>12</v>
      </c>
      <c r="H74" s="58" t="s">
        <v>1759</v>
      </c>
      <c r="I74" s="58" t="s">
        <v>7</v>
      </c>
      <c r="J74" s="58" t="s">
        <v>299</v>
      </c>
      <c r="K74" s="58" t="s">
        <v>300</v>
      </c>
      <c r="L74" s="58" t="s">
        <v>104</v>
      </c>
      <c r="N74" s="58" t="s">
        <v>829</v>
      </c>
      <c r="AC74" s="435" t="s">
        <v>2</v>
      </c>
      <c r="AE74" s="81"/>
      <c r="AF74" s="81"/>
      <c r="AG74" s="81"/>
      <c r="AH74" s="81"/>
      <c r="AI74" s="81"/>
    </row>
    <row r="75" spans="4:35">
      <c r="D75" s="435" t="s">
        <v>79</v>
      </c>
      <c r="E75" s="435" t="s">
        <v>68</v>
      </c>
      <c r="F75" s="435" t="s">
        <v>296</v>
      </c>
      <c r="G75" s="435" t="s">
        <v>12</v>
      </c>
      <c r="H75" s="435" t="s">
        <v>1759</v>
      </c>
      <c r="I75" s="435" t="s">
        <v>7</v>
      </c>
      <c r="J75" s="435" t="s">
        <v>299</v>
      </c>
      <c r="K75" s="435" t="s">
        <v>300</v>
      </c>
      <c r="L75" s="435" t="s">
        <v>104</v>
      </c>
      <c r="N75" s="435" t="s">
        <v>3140</v>
      </c>
      <c r="AC75" s="435" t="s">
        <v>2</v>
      </c>
      <c r="AE75" s="81"/>
      <c r="AF75" s="81"/>
      <c r="AG75" s="81"/>
      <c r="AH75" s="81"/>
      <c r="AI75" s="81"/>
    </row>
    <row r="76" spans="4:35">
      <c r="D76" s="435" t="s">
        <v>79</v>
      </c>
      <c r="E76" s="435" t="s">
        <v>68</v>
      </c>
      <c r="F76" s="435" t="s">
        <v>296</v>
      </c>
      <c r="G76" s="435" t="s">
        <v>12</v>
      </c>
      <c r="H76" s="435" t="s">
        <v>1759</v>
      </c>
      <c r="I76" s="435" t="s">
        <v>7</v>
      </c>
      <c r="J76" s="435" t="s">
        <v>1761</v>
      </c>
      <c r="K76" s="435" t="s">
        <v>1769</v>
      </c>
      <c r="AC76" s="435" t="s">
        <v>2</v>
      </c>
      <c r="AE76" s="81"/>
      <c r="AF76" s="81"/>
      <c r="AG76" s="81"/>
      <c r="AH76" s="81"/>
      <c r="AI76" s="81"/>
    </row>
    <row r="77" spans="4:35">
      <c r="D77" s="435" t="s">
        <v>79</v>
      </c>
      <c r="E77" s="435" t="s">
        <v>68</v>
      </c>
      <c r="F77" s="435" t="s">
        <v>296</v>
      </c>
      <c r="G77" s="435" t="s">
        <v>12</v>
      </c>
      <c r="H77" s="435" t="s">
        <v>1759</v>
      </c>
      <c r="I77" s="435" t="s">
        <v>7</v>
      </c>
      <c r="J77" s="435" t="s">
        <v>1761</v>
      </c>
      <c r="K77" s="435" t="s">
        <v>292</v>
      </c>
      <c r="AC77" s="435" t="s">
        <v>2</v>
      </c>
      <c r="AE77" s="81"/>
      <c r="AF77" s="81"/>
      <c r="AG77" s="81"/>
      <c r="AH77" s="81"/>
      <c r="AI77" s="81"/>
    </row>
    <row r="78" spans="4:35">
      <c r="D78" s="435" t="s">
        <v>79</v>
      </c>
      <c r="E78" s="435" t="s">
        <v>68</v>
      </c>
      <c r="F78" s="435" t="s">
        <v>296</v>
      </c>
      <c r="G78" s="435" t="s">
        <v>12</v>
      </c>
      <c r="H78" s="435" t="s">
        <v>1690</v>
      </c>
      <c r="I78" s="435" t="s">
        <v>7</v>
      </c>
      <c r="J78" s="435" t="s">
        <v>1766</v>
      </c>
      <c r="AC78" s="435" t="s">
        <v>2</v>
      </c>
      <c r="AE78" s="81"/>
      <c r="AF78" s="81"/>
      <c r="AG78" s="81"/>
      <c r="AH78" s="81"/>
      <c r="AI78" s="81"/>
    </row>
    <row r="79" spans="4:35">
      <c r="D79" s="435" t="s">
        <v>79</v>
      </c>
      <c r="E79" s="435" t="s">
        <v>68</v>
      </c>
      <c r="F79" s="435" t="s">
        <v>296</v>
      </c>
      <c r="G79" s="435" t="s">
        <v>12</v>
      </c>
      <c r="H79" s="435" t="s">
        <v>1690</v>
      </c>
      <c r="I79" s="435" t="s">
        <v>7</v>
      </c>
      <c r="J79" s="435" t="s">
        <v>1767</v>
      </c>
      <c r="AC79" s="435" t="s">
        <v>2</v>
      </c>
      <c r="AE79" s="81"/>
      <c r="AF79" s="81"/>
      <c r="AG79" s="81"/>
      <c r="AH79" s="81"/>
      <c r="AI79" s="81"/>
    </row>
    <row r="80" spans="4:35">
      <c r="D80" s="435" t="s">
        <v>79</v>
      </c>
      <c r="E80" s="435" t="s">
        <v>68</v>
      </c>
      <c r="F80" s="435" t="s">
        <v>296</v>
      </c>
      <c r="G80" s="435" t="s">
        <v>12</v>
      </c>
      <c r="H80" s="435" t="s">
        <v>1049</v>
      </c>
      <c r="I80" s="435" t="s">
        <v>1</v>
      </c>
      <c r="J80" s="435" t="s">
        <v>1763</v>
      </c>
      <c r="L80" s="435" t="s">
        <v>1482</v>
      </c>
      <c r="AC80" s="435" t="s">
        <v>2</v>
      </c>
      <c r="AE80" s="81"/>
      <c r="AF80" s="81"/>
      <c r="AG80" s="81"/>
      <c r="AH80" s="81"/>
      <c r="AI80" s="81"/>
    </row>
    <row r="81" spans="1:35">
      <c r="D81" s="435" t="s">
        <v>79</v>
      </c>
      <c r="E81" s="435" t="s">
        <v>68</v>
      </c>
      <c r="F81" s="435" t="s">
        <v>296</v>
      </c>
      <c r="G81" s="435" t="s">
        <v>12</v>
      </c>
      <c r="H81" s="435" t="s">
        <v>1049</v>
      </c>
      <c r="I81" s="435" t="s">
        <v>1</v>
      </c>
      <c r="J81" s="435" t="s">
        <v>1764</v>
      </c>
      <c r="AC81" s="435" t="s">
        <v>2</v>
      </c>
      <c r="AE81" s="81"/>
      <c r="AF81" s="81"/>
      <c r="AG81" s="81"/>
      <c r="AH81" s="81"/>
      <c r="AI81" s="81"/>
    </row>
    <row r="83" spans="1:35" s="1" customFormat="1" ht="17.649999999999999">
      <c r="A83" s="2" t="s">
        <v>1753</v>
      </c>
    </row>
    <row r="85" spans="1:35" s="1" customFormat="1" ht="13.9">
      <c r="A85" s="66"/>
      <c r="B85" s="78" t="s">
        <v>1755</v>
      </c>
    </row>
    <row r="87" spans="1:35">
      <c r="D87" s="435" t="s">
        <v>185</v>
      </c>
      <c r="E87" s="435" t="s">
        <v>68</v>
      </c>
      <c r="F87" s="435" t="s">
        <v>2683</v>
      </c>
      <c r="G87" s="435" t="s">
        <v>12</v>
      </c>
      <c r="H87" s="435" t="s">
        <v>1772</v>
      </c>
      <c r="I87" s="435" t="s">
        <v>7</v>
      </c>
      <c r="J87" s="435" t="s">
        <v>1773</v>
      </c>
      <c r="AC87" s="435" t="s">
        <v>2</v>
      </c>
      <c r="AE87" s="813"/>
      <c r="AF87" s="813"/>
      <c r="AG87" s="813"/>
      <c r="AH87" s="813"/>
      <c r="AI87" s="813"/>
    </row>
    <row r="88" spans="1:35">
      <c r="D88" s="435" t="s">
        <v>185</v>
      </c>
      <c r="E88" s="435" t="s">
        <v>68</v>
      </c>
      <c r="F88" s="435" t="s">
        <v>2683</v>
      </c>
      <c r="G88" s="435" t="s">
        <v>12</v>
      </c>
      <c r="H88" s="435" t="s">
        <v>1690</v>
      </c>
      <c r="I88" s="435" t="s">
        <v>7</v>
      </c>
      <c r="J88" s="435" t="s">
        <v>1086</v>
      </c>
      <c r="AC88" s="435" t="s">
        <v>2</v>
      </c>
      <c r="AE88" s="813"/>
      <c r="AF88" s="813"/>
      <c r="AG88" s="813"/>
      <c r="AH88" s="813"/>
      <c r="AI88" s="813"/>
    </row>
    <row r="89" spans="1:35">
      <c r="D89" s="435" t="s">
        <v>185</v>
      </c>
      <c r="E89" s="435" t="s">
        <v>68</v>
      </c>
      <c r="F89" s="435" t="s">
        <v>2683</v>
      </c>
      <c r="G89" s="435" t="s">
        <v>12</v>
      </c>
      <c r="H89" s="435" t="s">
        <v>1049</v>
      </c>
      <c r="I89" s="435" t="s">
        <v>1</v>
      </c>
      <c r="J89" s="435" t="s">
        <v>1774</v>
      </c>
      <c r="AC89" s="435" t="s">
        <v>2</v>
      </c>
      <c r="AE89" s="813"/>
      <c r="AF89" s="813"/>
      <c r="AG89" s="813"/>
      <c r="AH89" s="813"/>
      <c r="AI89" s="813"/>
    </row>
    <row r="90" spans="1:35">
      <c r="D90" s="435" t="s">
        <v>185</v>
      </c>
      <c r="E90" s="435" t="s">
        <v>68</v>
      </c>
      <c r="F90" s="435" t="s">
        <v>2683</v>
      </c>
      <c r="G90" s="435" t="s">
        <v>12</v>
      </c>
      <c r="H90" s="435" t="s">
        <v>1049</v>
      </c>
      <c r="I90" s="435" t="s">
        <v>1</v>
      </c>
      <c r="J90" s="435" t="s">
        <v>1763</v>
      </c>
      <c r="AC90" s="435" t="s">
        <v>2</v>
      </c>
      <c r="AE90" s="813"/>
      <c r="AF90" s="813"/>
      <c r="AG90" s="813"/>
      <c r="AH90" s="813"/>
      <c r="AI90" s="813"/>
    </row>
    <row r="91" spans="1:35">
      <c r="D91" s="435" t="s">
        <v>185</v>
      </c>
      <c r="E91" s="435" t="s">
        <v>68</v>
      </c>
      <c r="F91" s="435" t="s">
        <v>2683</v>
      </c>
      <c r="G91" s="435" t="s">
        <v>12</v>
      </c>
      <c r="H91" s="435" t="s">
        <v>1049</v>
      </c>
      <c r="I91" s="435" t="s">
        <v>1</v>
      </c>
      <c r="J91" s="435" t="s">
        <v>1765</v>
      </c>
      <c r="AC91" s="435" t="s">
        <v>2</v>
      </c>
      <c r="AE91" s="813"/>
      <c r="AF91" s="813"/>
      <c r="AG91" s="813"/>
      <c r="AH91" s="813"/>
      <c r="AI91" s="813"/>
    </row>
    <row r="92" spans="1:35">
      <c r="D92" s="435" t="s">
        <v>185</v>
      </c>
      <c r="E92" s="435" t="s">
        <v>68</v>
      </c>
      <c r="F92" s="435" t="s">
        <v>2683</v>
      </c>
      <c r="G92" s="435" t="s">
        <v>12</v>
      </c>
      <c r="H92" s="435" t="s">
        <v>209</v>
      </c>
      <c r="I92" s="435" t="s">
        <v>1</v>
      </c>
      <c r="J92" s="435" t="s">
        <v>1775</v>
      </c>
      <c r="AC92" s="435" t="s">
        <v>2</v>
      </c>
      <c r="AE92" s="813"/>
      <c r="AF92" s="813"/>
      <c r="AG92" s="813"/>
      <c r="AH92" s="813"/>
      <c r="AI92" s="813"/>
    </row>
    <row r="94" spans="1:35" s="1" customFormat="1" ht="13.9">
      <c r="A94" s="66"/>
      <c r="B94" s="78" t="s">
        <v>1757</v>
      </c>
    </row>
    <row r="96" spans="1:35">
      <c r="D96" s="435" t="s">
        <v>185</v>
      </c>
      <c r="E96" s="435" t="s">
        <v>68</v>
      </c>
      <c r="F96" s="435" t="s">
        <v>274</v>
      </c>
      <c r="G96" s="435" t="s">
        <v>12</v>
      </c>
      <c r="H96" s="435" t="s">
        <v>1772</v>
      </c>
      <c r="I96" s="435" t="s">
        <v>7</v>
      </c>
      <c r="J96" s="435" t="s">
        <v>1773</v>
      </c>
      <c r="AC96" s="435" t="s">
        <v>2</v>
      </c>
      <c r="AE96" s="81"/>
      <c r="AF96" s="81"/>
      <c r="AG96" s="81"/>
      <c r="AH96" s="81"/>
      <c r="AI96" s="81"/>
    </row>
    <row r="97" spans="1:35">
      <c r="D97" s="435" t="s">
        <v>185</v>
      </c>
      <c r="E97" s="435" t="s">
        <v>68</v>
      </c>
      <c r="F97" s="435" t="s">
        <v>274</v>
      </c>
      <c r="G97" s="435" t="s">
        <v>12</v>
      </c>
      <c r="H97" s="435" t="s">
        <v>1690</v>
      </c>
      <c r="I97" s="435" t="s">
        <v>7</v>
      </c>
      <c r="J97" s="435" t="s">
        <v>1086</v>
      </c>
      <c r="AC97" s="435" t="s">
        <v>2</v>
      </c>
      <c r="AE97" s="81"/>
      <c r="AF97" s="81"/>
      <c r="AG97" s="81"/>
      <c r="AH97" s="81"/>
      <c r="AI97" s="81"/>
    </row>
    <row r="99" spans="1:35" s="73" customFormat="1" ht="18">
      <c r="A99" s="74" t="s">
        <v>76</v>
      </c>
    </row>
  </sheetData>
  <mergeCells count="2">
    <mergeCell ref="AE6:AI6"/>
    <mergeCell ref="AE5:AI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CBFA-B0D0-4B01-8F2E-730175D1FF83}">
  <sheetPr>
    <tabColor theme="4"/>
  </sheetPr>
  <dimension ref="A1:AK67"/>
  <sheetViews>
    <sheetView zoomScale="80" zoomScaleNormal="80" workbookViewId="0"/>
  </sheetViews>
  <sheetFormatPr defaultRowHeight="14.25"/>
  <cols>
    <col min="1" max="3" width="1.73046875" customWidth="1"/>
    <col min="4" max="4" width="8.1328125" bestFit="1" customWidth="1"/>
    <col min="5" max="5" width="5" bestFit="1" customWidth="1"/>
    <col min="6" max="7" width="5" style="435" customWidth="1"/>
    <col min="8" max="8" width="23.59765625" bestFit="1" customWidth="1"/>
    <col min="9" max="9" width="9.3984375" bestFit="1" customWidth="1"/>
    <col min="10" max="10" width="23.86328125" bestFit="1" customWidth="1"/>
    <col min="11" max="17" width="1.73046875" customWidth="1"/>
    <col min="18" max="28" width="1.73046875" hidden="1" customWidth="1"/>
    <col min="29" max="29" width="5" bestFit="1" customWidth="1"/>
    <col min="30" max="30" width="7.73046875" customWidth="1"/>
    <col min="37" max="37" width="15.73046875" bestFit="1" customWidth="1"/>
  </cols>
  <sheetData>
    <row r="1" spans="1:37" s="73" customFormat="1" ht="23.25">
      <c r="A1" s="89" t="str">
        <f>'1.1 Cover'!A2</f>
        <v>Regulatory Reporting Pack</v>
      </c>
    </row>
    <row r="2" spans="1:37" s="73" customFormat="1" ht="23.25">
      <c r="A2" s="89" t="str">
        <f>'1.1 Cover'!A3</f>
        <v>Price base - 2018/19</v>
      </c>
    </row>
    <row r="3" spans="1:37" s="73" customFormat="1" ht="23.25">
      <c r="A3" s="89" t="str">
        <f>'1.1 Cover'!A4</f>
        <v>Regulatory Year: April 2021 - March 2022</v>
      </c>
    </row>
    <row r="4" spans="1:37" s="73" customFormat="1" ht="23.25">
      <c r="A4" s="89" t="s">
        <v>2860</v>
      </c>
    </row>
    <row r="5" spans="1:37" s="435" customFormat="1">
      <c r="AE5" s="1350" t="s">
        <v>2625</v>
      </c>
      <c r="AF5" s="1350"/>
      <c r="AG5" s="1350"/>
      <c r="AH5" s="1350"/>
      <c r="AI5" s="1350"/>
    </row>
    <row r="6" spans="1:37" s="435" customFormat="1">
      <c r="AE6" s="1347" t="s">
        <v>112</v>
      </c>
      <c r="AF6" s="1348"/>
      <c r="AG6" s="1348"/>
      <c r="AH6" s="1348"/>
      <c r="AI6" s="1349"/>
      <c r="AK6" s="435" t="s">
        <v>64</v>
      </c>
    </row>
    <row r="7" spans="1:37" s="67" customFormat="1">
      <c r="D7" s="87" t="s">
        <v>111</v>
      </c>
      <c r="E7" s="87" t="s">
        <v>68</v>
      </c>
      <c r="F7" s="87" t="s">
        <v>12</v>
      </c>
      <c r="G7" s="87" t="s">
        <v>3145</v>
      </c>
      <c r="H7" s="87" t="s">
        <v>110</v>
      </c>
      <c r="I7" s="87" t="s">
        <v>109</v>
      </c>
      <c r="J7" s="87" t="s">
        <v>108</v>
      </c>
      <c r="K7" s="87"/>
      <c r="L7" s="87"/>
      <c r="M7" s="87"/>
      <c r="N7" s="87"/>
      <c r="O7" s="87"/>
      <c r="P7" s="87"/>
      <c r="Q7" s="87"/>
      <c r="R7" s="86" t="s">
        <v>101</v>
      </c>
      <c r="S7" s="86" t="s">
        <v>100</v>
      </c>
      <c r="T7" s="86" t="s">
        <v>99</v>
      </c>
      <c r="U7" s="86" t="s">
        <v>98</v>
      </c>
      <c r="V7" s="86" t="s">
        <v>97</v>
      </c>
      <c r="W7" s="86" t="s">
        <v>96</v>
      </c>
      <c r="X7" s="86" t="s">
        <v>95</v>
      </c>
      <c r="Y7" s="86" t="s">
        <v>94</v>
      </c>
      <c r="Z7" s="86" t="s">
        <v>93</v>
      </c>
      <c r="AA7" s="86" t="s">
        <v>92</v>
      </c>
      <c r="AB7" s="86" t="s">
        <v>91</v>
      </c>
      <c r="AC7" s="67" t="s">
        <v>5</v>
      </c>
      <c r="AD7" s="435"/>
      <c r="AE7" s="84">
        <v>2022</v>
      </c>
      <c r="AF7" s="83">
        <v>2023</v>
      </c>
      <c r="AG7" s="83">
        <v>2024</v>
      </c>
      <c r="AH7" s="83">
        <v>2025</v>
      </c>
      <c r="AI7" s="82">
        <v>2026</v>
      </c>
      <c r="AJ7" s="435"/>
      <c r="AK7" s="67">
        <v>2022</v>
      </c>
    </row>
    <row r="8" spans="1:37" s="435" customFormat="1">
      <c r="R8" s="67"/>
      <c r="S8" s="67"/>
      <c r="T8" s="67"/>
      <c r="U8" s="67"/>
    </row>
    <row r="9" spans="1:37" s="1" customFormat="1" ht="17.649999999999999">
      <c r="A9" s="2" t="s">
        <v>2630</v>
      </c>
      <c r="B9" s="2"/>
    </row>
    <row r="10" spans="1:37" s="435" customFormat="1"/>
    <row r="11" spans="1:37" s="1" customFormat="1" ht="13.9">
      <c r="A11" s="66"/>
      <c r="B11" s="78" t="s">
        <v>3144</v>
      </c>
    </row>
    <row r="12" spans="1:37" s="435" customFormat="1"/>
    <row r="13" spans="1:37" s="435" customFormat="1">
      <c r="D13" s="435" t="s">
        <v>79</v>
      </c>
      <c r="E13" s="435" t="s">
        <v>79</v>
      </c>
      <c r="F13" s="435" t="s">
        <v>3146</v>
      </c>
      <c r="G13" s="435" t="s">
        <v>12</v>
      </c>
      <c r="H13" s="435" t="s">
        <v>276</v>
      </c>
      <c r="I13" s="435" t="s">
        <v>7</v>
      </c>
      <c r="AC13" s="435" t="s">
        <v>2</v>
      </c>
      <c r="AE13" s="93">
        <f>IF(AE$7&lt;=$AK$7,IF($J13="",SUMIF('3.1 TO_Totex'!$H$11:$H$82,$H13,'3.1 TO_Totex'!AE$11:AE$82),SUMIFS('3.1 TO_Totex'!AE$11:AE$82,'3.1 TO_Totex'!$H$11:$H$82,$H13,'3.1 TO_Totex'!$J$11:$J$82,$J13)),IF($J13="",SUMIF('3.5 Forecast_Totex'!$H$11:$H$37,$H13,'3.5 Forecast_Totex'!AE$11:AE$37),SUMIFS('3.5 Forecast_Totex'!AE$11:AE$37,'3.5 Forecast_Totex'!$H$11:$H$37,$H13,'3.5 Forecast_Totex'!$J$11:$J$37,$J13)))</f>
        <v>0</v>
      </c>
      <c r="AF13" s="93">
        <f>IF(AF$7&lt;=$AK$7,IF($J13="",SUMIF('3.1 TO_Totex'!$H$11:$H$82,$H13,'3.1 TO_Totex'!AF$11:AF$82),SUMIFS('3.1 TO_Totex'!AF$11:AF$82,'3.1 TO_Totex'!$H$11:$H$82,$H13,'3.1 TO_Totex'!$J$11:$J$82,$J13)),IF($J13="",SUMIF('3.5 Forecast_Totex'!$H$11:$H$37,$H13,'3.5 Forecast_Totex'!AF$11:AF$37),SUMIFS('3.5 Forecast_Totex'!AF$11:AF$37,'3.5 Forecast_Totex'!$H$11:$H$37,$H13,'3.5 Forecast_Totex'!$J$11:$J$37,$J13)))</f>
        <v>0</v>
      </c>
      <c r="AG13" s="93">
        <f>IF(AG$7&lt;=$AK$7,IF($J13="",SUMIF('3.1 TO_Totex'!$H$11:$H$82,$H13,'3.1 TO_Totex'!AG$11:AG$82),SUMIFS('3.1 TO_Totex'!AG$11:AG$82,'3.1 TO_Totex'!$H$11:$H$82,$H13,'3.1 TO_Totex'!$J$11:$J$82,$J13)),IF($J13="",SUMIF('3.5 Forecast_Totex'!$H$11:$H$37,$H13,'3.5 Forecast_Totex'!AG$11:AG$37),SUMIFS('3.5 Forecast_Totex'!AG$11:AG$37,'3.5 Forecast_Totex'!$H$11:$H$37,$H13,'3.5 Forecast_Totex'!$J$11:$J$37,$J13)))</f>
        <v>0</v>
      </c>
      <c r="AH13" s="93">
        <f>IF(AH$7&lt;=$AK$7,IF($J13="",SUMIF('3.1 TO_Totex'!$H$11:$H$82,$H13,'3.1 TO_Totex'!AH$11:AH$82),SUMIFS('3.1 TO_Totex'!AH$11:AH$82,'3.1 TO_Totex'!$H$11:$H$82,$H13,'3.1 TO_Totex'!$J$11:$J$82,$J13)),IF($J13="",SUMIF('3.5 Forecast_Totex'!$H$11:$H$37,$H13,'3.5 Forecast_Totex'!AH$11:AH$37),SUMIFS('3.5 Forecast_Totex'!AH$11:AH$37,'3.5 Forecast_Totex'!$H$11:$H$37,$H13,'3.5 Forecast_Totex'!$J$11:$J$37,$J13)))</f>
        <v>0</v>
      </c>
      <c r="AI13" s="93">
        <f>IF(AI$7&lt;=$AK$7,IF($J13="",SUMIF('3.1 TO_Totex'!$H$11:$H$82,$H13,'3.1 TO_Totex'!AI$11:AI$82),SUMIFS('3.1 TO_Totex'!AI$11:AI$82,'3.1 TO_Totex'!$H$11:$H$82,$H13,'3.1 TO_Totex'!$J$11:$J$82,$J13)),IF($J13="",SUMIF('3.5 Forecast_Totex'!$H$11:$H$37,$H13,'3.5 Forecast_Totex'!AI$11:AI$37),SUMIFS('3.5 Forecast_Totex'!AI$11:AI$37,'3.5 Forecast_Totex'!$H$11:$H$37,$H13,'3.5 Forecast_Totex'!$J$11:$J$37,$J13)))</f>
        <v>0</v>
      </c>
      <c r="AK13" s="435" t="s">
        <v>2871</v>
      </c>
    </row>
    <row r="14" spans="1:37" s="435" customFormat="1">
      <c r="D14" s="435" t="s">
        <v>79</v>
      </c>
      <c r="E14" s="435" t="s">
        <v>79</v>
      </c>
      <c r="F14" s="435" t="s">
        <v>3146</v>
      </c>
      <c r="G14" s="435" t="s">
        <v>12</v>
      </c>
      <c r="H14" s="435" t="s">
        <v>1759</v>
      </c>
      <c r="I14" s="435" t="s">
        <v>7</v>
      </c>
      <c r="J14" s="435" t="s">
        <v>1760</v>
      </c>
      <c r="AC14" s="435" t="s">
        <v>2</v>
      </c>
      <c r="AE14" s="93">
        <f>IF(AE$7&lt;=$AK$7,IF($J14="",SUMIF('3.1 TO_Totex'!$H$11:$H$82,$H14,'3.1 TO_Totex'!AE$11:AE$82),SUMIFS('3.1 TO_Totex'!AE$11:AE$82,'3.1 TO_Totex'!$H$11:$H$82,$H14,'3.1 TO_Totex'!$J$11:$J$82,$J14)),IF($J14="",SUMIF('3.5 Forecast_Totex'!$H$11:$H$37,$H14,'3.5 Forecast_Totex'!AE$11:AE$37),SUMIFS('3.5 Forecast_Totex'!AE$11:AE$37,'3.5 Forecast_Totex'!$H$11:$H$37,$H14,'3.5 Forecast_Totex'!$J$11:$J$37,$J14)))</f>
        <v>0</v>
      </c>
      <c r="AF14" s="93">
        <f>IF(AF$7&lt;=$AK$7,IF($J14="",SUMIF('3.1 TO_Totex'!$H$11:$H$82,$H14,'3.1 TO_Totex'!AF$11:AF$82),SUMIFS('3.1 TO_Totex'!AF$11:AF$82,'3.1 TO_Totex'!$H$11:$H$82,$H14,'3.1 TO_Totex'!$J$11:$J$82,$J14)),IF($J14="",SUMIF('3.5 Forecast_Totex'!$H$11:$H$37,$H14,'3.5 Forecast_Totex'!AF$11:AF$37),SUMIFS('3.5 Forecast_Totex'!AF$11:AF$37,'3.5 Forecast_Totex'!$H$11:$H$37,$H14,'3.5 Forecast_Totex'!$J$11:$J$37,$J14)))</f>
        <v>0</v>
      </c>
      <c r="AG14" s="93">
        <f>IF(AG$7&lt;=$AK$7,IF($J14="",SUMIF('3.1 TO_Totex'!$H$11:$H$82,$H14,'3.1 TO_Totex'!AG$11:AG$82),SUMIFS('3.1 TO_Totex'!AG$11:AG$82,'3.1 TO_Totex'!$H$11:$H$82,$H14,'3.1 TO_Totex'!$J$11:$J$82,$J14)),IF($J14="",SUMIF('3.5 Forecast_Totex'!$H$11:$H$37,$H14,'3.5 Forecast_Totex'!AG$11:AG$37),SUMIFS('3.5 Forecast_Totex'!AG$11:AG$37,'3.5 Forecast_Totex'!$H$11:$H$37,$H14,'3.5 Forecast_Totex'!$J$11:$J$37,$J14)))</f>
        <v>0</v>
      </c>
      <c r="AH14" s="93">
        <f>IF(AH$7&lt;=$AK$7,IF($J14="",SUMIF('3.1 TO_Totex'!$H$11:$H$82,$H14,'3.1 TO_Totex'!AH$11:AH$82),SUMIFS('3.1 TO_Totex'!AH$11:AH$82,'3.1 TO_Totex'!$H$11:$H$82,$H14,'3.1 TO_Totex'!$J$11:$J$82,$J14)),IF($J14="",SUMIF('3.5 Forecast_Totex'!$H$11:$H$37,$H14,'3.5 Forecast_Totex'!AH$11:AH$37),SUMIFS('3.5 Forecast_Totex'!AH$11:AH$37,'3.5 Forecast_Totex'!$H$11:$H$37,$H14,'3.5 Forecast_Totex'!$J$11:$J$37,$J14)))</f>
        <v>0</v>
      </c>
      <c r="AI14" s="93">
        <f>IF(AI$7&lt;=$AK$7,IF($J14="",SUMIF('3.1 TO_Totex'!$H$11:$H$82,$H14,'3.1 TO_Totex'!AI$11:AI$82),SUMIFS('3.1 TO_Totex'!AI$11:AI$82,'3.1 TO_Totex'!$H$11:$H$82,$H14,'3.1 TO_Totex'!$J$11:$J$82,$J14)),IF($J14="",SUMIF('3.5 Forecast_Totex'!$H$11:$H$37,$H14,'3.5 Forecast_Totex'!AI$11:AI$37),SUMIFS('3.5 Forecast_Totex'!AI$11:AI$37,'3.5 Forecast_Totex'!$H$11:$H$37,$H14,'3.5 Forecast_Totex'!$J$11:$J$37,$J14)))</f>
        <v>0</v>
      </c>
      <c r="AK14" s="435" t="s">
        <v>2871</v>
      </c>
    </row>
    <row r="15" spans="1:37" s="435" customFormat="1">
      <c r="D15" s="435" t="s">
        <v>79</v>
      </c>
      <c r="E15" s="435" t="s">
        <v>79</v>
      </c>
      <c r="F15" s="435" t="s">
        <v>3146</v>
      </c>
      <c r="G15" s="435" t="s">
        <v>12</v>
      </c>
      <c r="H15" s="435" t="s">
        <v>1759</v>
      </c>
      <c r="I15" s="435" t="s">
        <v>7</v>
      </c>
      <c r="J15" s="435" t="s">
        <v>299</v>
      </c>
      <c r="AC15" s="435" t="s">
        <v>2</v>
      </c>
      <c r="AE15" s="93">
        <f>IF(AE$7&lt;=$AK$7,IF($J15="",SUMIF('3.1 TO_Totex'!$H$11:$H$82,$H15,'3.1 TO_Totex'!AE$11:AE$82),SUMIFS('3.1 TO_Totex'!AE$11:AE$82,'3.1 TO_Totex'!$H$11:$H$82,$H15,'3.1 TO_Totex'!$J$11:$J$82,$J15)),IF($J15="",SUMIF('3.5 Forecast_Totex'!$H$11:$H$37,$H15,'3.5 Forecast_Totex'!AE$11:AE$37),SUMIFS('3.5 Forecast_Totex'!AE$11:AE$37,'3.5 Forecast_Totex'!$H$11:$H$37,$H15,'3.5 Forecast_Totex'!$J$11:$J$37,$J15)))</f>
        <v>0</v>
      </c>
      <c r="AF15" s="93">
        <f>IF(AF$7&lt;=$AK$7,IF($J15="",SUMIF('3.1 TO_Totex'!$H$11:$H$82,$H15,'3.1 TO_Totex'!AF$11:AF$82),SUMIFS('3.1 TO_Totex'!AF$11:AF$82,'3.1 TO_Totex'!$H$11:$H$82,$H15,'3.1 TO_Totex'!$J$11:$J$82,$J15)),IF($J15="",SUMIF('3.5 Forecast_Totex'!$H$11:$H$37,$H15,'3.5 Forecast_Totex'!AF$11:AF$37),SUMIFS('3.5 Forecast_Totex'!AF$11:AF$37,'3.5 Forecast_Totex'!$H$11:$H$37,$H15,'3.5 Forecast_Totex'!$J$11:$J$37,$J15)))</f>
        <v>0</v>
      </c>
      <c r="AG15" s="93">
        <f>IF(AG$7&lt;=$AK$7,IF($J15="",SUMIF('3.1 TO_Totex'!$H$11:$H$82,$H15,'3.1 TO_Totex'!AG$11:AG$82),SUMIFS('3.1 TO_Totex'!AG$11:AG$82,'3.1 TO_Totex'!$H$11:$H$82,$H15,'3.1 TO_Totex'!$J$11:$J$82,$J15)),IF($J15="",SUMIF('3.5 Forecast_Totex'!$H$11:$H$37,$H15,'3.5 Forecast_Totex'!AG$11:AG$37),SUMIFS('3.5 Forecast_Totex'!AG$11:AG$37,'3.5 Forecast_Totex'!$H$11:$H$37,$H15,'3.5 Forecast_Totex'!$J$11:$J$37,$J15)))</f>
        <v>0</v>
      </c>
      <c r="AH15" s="93">
        <f>IF(AH$7&lt;=$AK$7,IF($J15="",SUMIF('3.1 TO_Totex'!$H$11:$H$82,$H15,'3.1 TO_Totex'!AH$11:AH$82),SUMIFS('3.1 TO_Totex'!AH$11:AH$82,'3.1 TO_Totex'!$H$11:$H$82,$H15,'3.1 TO_Totex'!$J$11:$J$82,$J15)),IF($J15="",SUMIF('3.5 Forecast_Totex'!$H$11:$H$37,$H15,'3.5 Forecast_Totex'!AH$11:AH$37),SUMIFS('3.5 Forecast_Totex'!AH$11:AH$37,'3.5 Forecast_Totex'!$H$11:$H$37,$H15,'3.5 Forecast_Totex'!$J$11:$J$37,$J15)))</f>
        <v>0</v>
      </c>
      <c r="AI15" s="93">
        <f>IF(AI$7&lt;=$AK$7,IF($J15="",SUMIF('3.1 TO_Totex'!$H$11:$H$82,$H15,'3.1 TO_Totex'!AI$11:AI$82),SUMIFS('3.1 TO_Totex'!AI$11:AI$82,'3.1 TO_Totex'!$H$11:$H$82,$H15,'3.1 TO_Totex'!$J$11:$J$82,$J15)),IF($J15="",SUMIF('3.5 Forecast_Totex'!$H$11:$H$37,$H15,'3.5 Forecast_Totex'!AI$11:AI$37),SUMIFS('3.5 Forecast_Totex'!AI$11:AI$37,'3.5 Forecast_Totex'!$H$11:$H$37,$H15,'3.5 Forecast_Totex'!$J$11:$J$37,$J15)))</f>
        <v>0</v>
      </c>
      <c r="AK15" s="435" t="s">
        <v>2871</v>
      </c>
    </row>
    <row r="16" spans="1:37" s="435" customFormat="1">
      <c r="D16" s="435" t="s">
        <v>79</v>
      </c>
      <c r="E16" s="435" t="s">
        <v>79</v>
      </c>
      <c r="F16" s="435" t="s">
        <v>3146</v>
      </c>
      <c r="G16" s="435" t="s">
        <v>12</v>
      </c>
      <c r="H16" s="435" t="s">
        <v>1759</v>
      </c>
      <c r="I16" s="435" t="s">
        <v>7</v>
      </c>
      <c r="J16" s="435" t="s">
        <v>2646</v>
      </c>
      <c r="AC16" s="435" t="s">
        <v>2</v>
      </c>
      <c r="AE16" s="93">
        <f>IF(AE$7&lt;=$AK$7,IF($J16="",SUMIF('3.1 TO_Totex'!$H$11:$H$82,$H16,'3.1 TO_Totex'!AE$11:AE$82),SUMIFS('3.1 TO_Totex'!AE$11:AE$82,'3.1 TO_Totex'!$H$11:$H$82,$H16,'3.1 TO_Totex'!$J$11:$J$82,$J16)),IF($J16="",SUMIF('3.5 Forecast_Totex'!$H$11:$H$37,$H16,'3.5 Forecast_Totex'!AE$11:AE$37),SUMIFS('3.5 Forecast_Totex'!AE$11:AE$37,'3.5 Forecast_Totex'!$H$11:$H$37,$H16,'3.5 Forecast_Totex'!$J$11:$J$37,$J16)))</f>
        <v>0</v>
      </c>
      <c r="AF16" s="93">
        <f>IF(AF$7&lt;=$AK$7,IF($J16="",SUMIF('3.1 TO_Totex'!$H$11:$H$82,$H16,'3.1 TO_Totex'!AF$11:AF$82),SUMIFS('3.1 TO_Totex'!AF$11:AF$82,'3.1 TO_Totex'!$H$11:$H$82,$H16,'3.1 TO_Totex'!$J$11:$J$82,$J16)),IF($J16="",SUMIF('3.5 Forecast_Totex'!$H$11:$H$37,$H16,'3.5 Forecast_Totex'!AF$11:AF$37),SUMIFS('3.5 Forecast_Totex'!AF$11:AF$37,'3.5 Forecast_Totex'!$H$11:$H$37,$H16,'3.5 Forecast_Totex'!$J$11:$J$37,$J16)))</f>
        <v>0</v>
      </c>
      <c r="AG16" s="93">
        <f>IF(AG$7&lt;=$AK$7,IF($J16="",SUMIF('3.1 TO_Totex'!$H$11:$H$82,$H16,'3.1 TO_Totex'!AG$11:AG$82),SUMIFS('3.1 TO_Totex'!AG$11:AG$82,'3.1 TO_Totex'!$H$11:$H$82,$H16,'3.1 TO_Totex'!$J$11:$J$82,$J16)),IF($J16="",SUMIF('3.5 Forecast_Totex'!$H$11:$H$37,$H16,'3.5 Forecast_Totex'!AG$11:AG$37),SUMIFS('3.5 Forecast_Totex'!AG$11:AG$37,'3.5 Forecast_Totex'!$H$11:$H$37,$H16,'3.5 Forecast_Totex'!$J$11:$J$37,$J16)))</f>
        <v>0</v>
      </c>
      <c r="AH16" s="93">
        <f>IF(AH$7&lt;=$AK$7,IF($J16="",SUMIF('3.1 TO_Totex'!$H$11:$H$82,$H16,'3.1 TO_Totex'!AH$11:AH$82),SUMIFS('3.1 TO_Totex'!AH$11:AH$82,'3.1 TO_Totex'!$H$11:$H$82,$H16,'3.1 TO_Totex'!$J$11:$J$82,$J16)),IF($J16="",SUMIF('3.5 Forecast_Totex'!$H$11:$H$37,$H16,'3.5 Forecast_Totex'!AH$11:AH$37),SUMIFS('3.5 Forecast_Totex'!AH$11:AH$37,'3.5 Forecast_Totex'!$H$11:$H$37,$H16,'3.5 Forecast_Totex'!$J$11:$J$37,$J16)))</f>
        <v>0</v>
      </c>
      <c r="AI16" s="93">
        <f>IF(AI$7&lt;=$AK$7,IF($J16="",SUMIF('3.1 TO_Totex'!$H$11:$H$82,$H16,'3.1 TO_Totex'!AI$11:AI$82),SUMIFS('3.1 TO_Totex'!AI$11:AI$82,'3.1 TO_Totex'!$H$11:$H$82,$H16,'3.1 TO_Totex'!$J$11:$J$82,$J16)),IF($J16="",SUMIF('3.5 Forecast_Totex'!$H$11:$H$37,$H16,'3.5 Forecast_Totex'!AI$11:AI$37),SUMIFS('3.5 Forecast_Totex'!AI$11:AI$37,'3.5 Forecast_Totex'!$H$11:$H$37,$H16,'3.5 Forecast_Totex'!$J$11:$J$37,$J16)))</f>
        <v>0</v>
      </c>
      <c r="AK16" s="435" t="s">
        <v>2871</v>
      </c>
    </row>
    <row r="17" spans="1:37" s="435" customFormat="1">
      <c r="D17" s="435" t="s">
        <v>79</v>
      </c>
      <c r="E17" s="435" t="s">
        <v>79</v>
      </c>
      <c r="F17" s="435" t="s">
        <v>3146</v>
      </c>
      <c r="G17" s="435" t="s">
        <v>12</v>
      </c>
      <c r="H17" s="435" t="s">
        <v>1690</v>
      </c>
      <c r="I17" s="435" t="s">
        <v>7</v>
      </c>
      <c r="J17" s="435" t="s">
        <v>2653</v>
      </c>
      <c r="AC17" s="435" t="s">
        <v>2</v>
      </c>
      <c r="AE17" s="93">
        <f>IF(AE$7&lt;=$AK$7,IF($J17="",SUMIF('3.1 TO_Totex'!$H$11:$H$82,$H17,'3.1 TO_Totex'!AE$11:AE$82),SUMIFS('3.1 TO_Totex'!AE$11:AE$82,'3.1 TO_Totex'!$H$11:$H$82,$H17,'3.1 TO_Totex'!$J$11:$J$82,$J17)),IF($J17="",SUMIF('3.5 Forecast_Totex'!$H$11:$H$37,$H17,'3.5 Forecast_Totex'!AE$11:AE$37),SUMIFS('3.5 Forecast_Totex'!AE$11:AE$37,'3.5 Forecast_Totex'!$H$11:$H$37,$H17,'3.5 Forecast_Totex'!$J$11:$J$37,$J17)))</f>
        <v>0</v>
      </c>
      <c r="AF17" s="93">
        <f>IF(AF$7&lt;=$AK$7,IF($J17="",SUMIF('3.1 TO_Totex'!$H$11:$H$82,$H17,'3.1 TO_Totex'!AF$11:AF$82),SUMIFS('3.1 TO_Totex'!AF$11:AF$82,'3.1 TO_Totex'!$H$11:$H$82,$H17,'3.1 TO_Totex'!$J$11:$J$82,$J17)),IF($J17="",SUMIF('3.5 Forecast_Totex'!$H$11:$H$37,$H17,'3.5 Forecast_Totex'!AF$11:AF$37),SUMIFS('3.5 Forecast_Totex'!AF$11:AF$37,'3.5 Forecast_Totex'!$H$11:$H$37,$H17,'3.5 Forecast_Totex'!$J$11:$J$37,$J17)))</f>
        <v>0</v>
      </c>
      <c r="AG17" s="93">
        <f>IF(AG$7&lt;=$AK$7,IF($J17="",SUMIF('3.1 TO_Totex'!$H$11:$H$82,$H17,'3.1 TO_Totex'!AG$11:AG$82),SUMIFS('3.1 TO_Totex'!AG$11:AG$82,'3.1 TO_Totex'!$H$11:$H$82,$H17,'3.1 TO_Totex'!$J$11:$J$82,$J17)),IF($J17="",SUMIF('3.5 Forecast_Totex'!$H$11:$H$37,$H17,'3.5 Forecast_Totex'!AG$11:AG$37),SUMIFS('3.5 Forecast_Totex'!AG$11:AG$37,'3.5 Forecast_Totex'!$H$11:$H$37,$H17,'3.5 Forecast_Totex'!$J$11:$J$37,$J17)))</f>
        <v>0</v>
      </c>
      <c r="AH17" s="93">
        <f>IF(AH$7&lt;=$AK$7,IF($J17="",SUMIF('3.1 TO_Totex'!$H$11:$H$82,$H17,'3.1 TO_Totex'!AH$11:AH$82),SUMIFS('3.1 TO_Totex'!AH$11:AH$82,'3.1 TO_Totex'!$H$11:$H$82,$H17,'3.1 TO_Totex'!$J$11:$J$82,$J17)),IF($J17="",SUMIF('3.5 Forecast_Totex'!$H$11:$H$37,$H17,'3.5 Forecast_Totex'!AH$11:AH$37),SUMIFS('3.5 Forecast_Totex'!AH$11:AH$37,'3.5 Forecast_Totex'!$H$11:$H$37,$H17,'3.5 Forecast_Totex'!$J$11:$J$37,$J17)))</f>
        <v>0</v>
      </c>
      <c r="AI17" s="93">
        <f>IF(AI$7&lt;=$AK$7,IF($J17="",SUMIF('3.1 TO_Totex'!$H$11:$H$82,$H17,'3.1 TO_Totex'!AI$11:AI$82),SUMIFS('3.1 TO_Totex'!AI$11:AI$82,'3.1 TO_Totex'!$H$11:$H$82,$H17,'3.1 TO_Totex'!$J$11:$J$82,$J17)),IF($J17="",SUMIF('3.5 Forecast_Totex'!$H$11:$H$37,$H17,'3.5 Forecast_Totex'!AI$11:AI$37),SUMIFS('3.5 Forecast_Totex'!AI$11:AI$37,'3.5 Forecast_Totex'!$H$11:$H$37,$H17,'3.5 Forecast_Totex'!$J$11:$J$37,$J17)))</f>
        <v>0</v>
      </c>
      <c r="AK17" s="435" t="s">
        <v>2871</v>
      </c>
    </row>
    <row r="18" spans="1:37" s="435" customFormat="1">
      <c r="D18" s="435" t="s">
        <v>79</v>
      </c>
      <c r="E18" s="435" t="s">
        <v>79</v>
      </c>
      <c r="F18" s="435" t="s">
        <v>3146</v>
      </c>
      <c r="G18" s="435" t="s">
        <v>12</v>
      </c>
      <c r="H18" s="435" t="s">
        <v>1690</v>
      </c>
      <c r="I18" s="435" t="s">
        <v>7</v>
      </c>
      <c r="J18" s="435" t="s">
        <v>1086</v>
      </c>
      <c r="AC18" s="435" t="s">
        <v>2</v>
      </c>
      <c r="AE18" s="93">
        <f>IF(AE$7&lt;=$AK$7,IF($J18="",SUMIF('3.1 TO_Totex'!$H$11:$H$82,$H18,'3.1 TO_Totex'!AE$11:AE$82),SUMIFS('3.1 TO_Totex'!AE$11:AE$82,'3.1 TO_Totex'!$H$11:$H$82,$H18,'3.1 TO_Totex'!$J$11:$J$82,$J18)),IF($J18="",SUMIF('3.5 Forecast_Totex'!$H$11:$H$37,$H18,'3.5 Forecast_Totex'!AE$11:AE$37),SUMIFS('3.5 Forecast_Totex'!AE$11:AE$37,'3.5 Forecast_Totex'!$H$11:$H$37,$H18,'3.5 Forecast_Totex'!$J$11:$J$37,$J18)))</f>
        <v>0</v>
      </c>
      <c r="AF18" s="93">
        <f>IF(AF$7&lt;=$AK$7,IF($J18="",SUMIF('3.1 TO_Totex'!$H$11:$H$82,$H18,'3.1 TO_Totex'!AF$11:AF$82),SUMIFS('3.1 TO_Totex'!AF$11:AF$82,'3.1 TO_Totex'!$H$11:$H$82,$H18,'3.1 TO_Totex'!$J$11:$J$82,$J18)),IF($J18="",SUMIF('3.5 Forecast_Totex'!$H$11:$H$37,$H18,'3.5 Forecast_Totex'!AF$11:AF$37),SUMIFS('3.5 Forecast_Totex'!AF$11:AF$37,'3.5 Forecast_Totex'!$H$11:$H$37,$H18,'3.5 Forecast_Totex'!$J$11:$J$37,$J18)))</f>
        <v>0</v>
      </c>
      <c r="AG18" s="93">
        <f>IF(AG$7&lt;=$AK$7,IF($J18="",SUMIF('3.1 TO_Totex'!$H$11:$H$82,$H18,'3.1 TO_Totex'!AG$11:AG$82),SUMIFS('3.1 TO_Totex'!AG$11:AG$82,'3.1 TO_Totex'!$H$11:$H$82,$H18,'3.1 TO_Totex'!$J$11:$J$82,$J18)),IF($J18="",SUMIF('3.5 Forecast_Totex'!$H$11:$H$37,$H18,'3.5 Forecast_Totex'!AG$11:AG$37),SUMIFS('3.5 Forecast_Totex'!AG$11:AG$37,'3.5 Forecast_Totex'!$H$11:$H$37,$H18,'3.5 Forecast_Totex'!$J$11:$J$37,$J18)))</f>
        <v>0</v>
      </c>
      <c r="AH18" s="93">
        <f>IF(AH$7&lt;=$AK$7,IF($J18="",SUMIF('3.1 TO_Totex'!$H$11:$H$82,$H18,'3.1 TO_Totex'!AH$11:AH$82),SUMIFS('3.1 TO_Totex'!AH$11:AH$82,'3.1 TO_Totex'!$H$11:$H$82,$H18,'3.1 TO_Totex'!$J$11:$J$82,$J18)),IF($J18="",SUMIF('3.5 Forecast_Totex'!$H$11:$H$37,$H18,'3.5 Forecast_Totex'!AH$11:AH$37),SUMIFS('3.5 Forecast_Totex'!AH$11:AH$37,'3.5 Forecast_Totex'!$H$11:$H$37,$H18,'3.5 Forecast_Totex'!$J$11:$J$37,$J18)))</f>
        <v>0</v>
      </c>
      <c r="AI18" s="93">
        <f>IF(AI$7&lt;=$AK$7,IF($J18="",SUMIF('3.1 TO_Totex'!$H$11:$H$82,$H18,'3.1 TO_Totex'!AI$11:AI$82),SUMIFS('3.1 TO_Totex'!AI$11:AI$82,'3.1 TO_Totex'!$H$11:$H$82,$H18,'3.1 TO_Totex'!$J$11:$J$82,$J18)),IF($J18="",SUMIF('3.5 Forecast_Totex'!$H$11:$H$37,$H18,'3.5 Forecast_Totex'!AI$11:AI$37),SUMIFS('3.5 Forecast_Totex'!AI$11:AI$37,'3.5 Forecast_Totex'!$H$11:$H$37,$H18,'3.5 Forecast_Totex'!$J$11:$J$37,$J18)))</f>
        <v>0</v>
      </c>
      <c r="AK18" s="435" t="s">
        <v>2871</v>
      </c>
    </row>
    <row r="19" spans="1:37" s="435" customFormat="1">
      <c r="D19" s="435" t="s">
        <v>79</v>
      </c>
      <c r="E19" s="435" t="s">
        <v>79</v>
      </c>
      <c r="F19" s="435" t="s">
        <v>3146</v>
      </c>
      <c r="G19" s="435" t="s">
        <v>12</v>
      </c>
      <c r="H19" s="435" t="s">
        <v>1049</v>
      </c>
      <c r="I19" s="435" t="s">
        <v>1</v>
      </c>
      <c r="AC19" s="435" t="s">
        <v>2</v>
      </c>
      <c r="AE19" s="93">
        <f>IF(AE$7&lt;=$AK$7,IF($J19="",SUMIF('3.1 TO_Totex'!$H$11:$H$82,$H19,'3.1 TO_Totex'!AE$11:AE$82),SUMIFS('3.1 TO_Totex'!AE$11:AE$82,'3.1 TO_Totex'!$H$11:$H$82,$H19,'3.1 TO_Totex'!$J$11:$J$82,$J19)),IF($J19="",SUMIF('3.5 Forecast_Totex'!$H$11:$H$37,$H19,'3.5 Forecast_Totex'!AE$11:AE$37),SUMIFS('3.5 Forecast_Totex'!AE$11:AE$37,'3.5 Forecast_Totex'!$H$11:$H$37,$H19,'3.5 Forecast_Totex'!$J$11:$J$37,$J19)))</f>
        <v>0</v>
      </c>
      <c r="AF19" s="93">
        <f>IF(AF$7&lt;=$AK$7,IF($J19="",SUMIF('3.1 TO_Totex'!$H$11:$H$82,$H19,'3.1 TO_Totex'!AF$11:AF$82),SUMIFS('3.1 TO_Totex'!AF$11:AF$82,'3.1 TO_Totex'!$H$11:$H$82,$H19,'3.1 TO_Totex'!$J$11:$J$82,$J19)),IF($J19="",SUMIF('3.5 Forecast_Totex'!$H$11:$H$37,$H19,'3.5 Forecast_Totex'!AF$11:AF$37),SUMIFS('3.5 Forecast_Totex'!AF$11:AF$37,'3.5 Forecast_Totex'!$H$11:$H$37,$H19,'3.5 Forecast_Totex'!$J$11:$J$37,$J19)))</f>
        <v>0</v>
      </c>
      <c r="AG19" s="93">
        <f>IF(AG$7&lt;=$AK$7,IF($J19="",SUMIF('3.1 TO_Totex'!$H$11:$H$82,$H19,'3.1 TO_Totex'!AG$11:AG$82),SUMIFS('3.1 TO_Totex'!AG$11:AG$82,'3.1 TO_Totex'!$H$11:$H$82,$H19,'3.1 TO_Totex'!$J$11:$J$82,$J19)),IF($J19="",SUMIF('3.5 Forecast_Totex'!$H$11:$H$37,$H19,'3.5 Forecast_Totex'!AG$11:AG$37),SUMIFS('3.5 Forecast_Totex'!AG$11:AG$37,'3.5 Forecast_Totex'!$H$11:$H$37,$H19,'3.5 Forecast_Totex'!$J$11:$J$37,$J19)))</f>
        <v>0</v>
      </c>
      <c r="AH19" s="93">
        <f>IF(AH$7&lt;=$AK$7,IF($J19="",SUMIF('3.1 TO_Totex'!$H$11:$H$82,$H19,'3.1 TO_Totex'!AH$11:AH$82),SUMIFS('3.1 TO_Totex'!AH$11:AH$82,'3.1 TO_Totex'!$H$11:$H$82,$H19,'3.1 TO_Totex'!$J$11:$J$82,$J19)),IF($J19="",SUMIF('3.5 Forecast_Totex'!$H$11:$H$37,$H19,'3.5 Forecast_Totex'!AH$11:AH$37),SUMIFS('3.5 Forecast_Totex'!AH$11:AH$37,'3.5 Forecast_Totex'!$H$11:$H$37,$H19,'3.5 Forecast_Totex'!$J$11:$J$37,$J19)))</f>
        <v>0</v>
      </c>
      <c r="AI19" s="93">
        <f>IF(AI$7&lt;=$AK$7,IF($J19="",SUMIF('3.1 TO_Totex'!$H$11:$H$82,$H19,'3.1 TO_Totex'!AI$11:AI$82),SUMIFS('3.1 TO_Totex'!AI$11:AI$82,'3.1 TO_Totex'!$H$11:$H$82,$H19,'3.1 TO_Totex'!$J$11:$J$82,$J19)),IF($J19="",SUMIF('3.5 Forecast_Totex'!$H$11:$H$37,$H19,'3.5 Forecast_Totex'!AI$11:AI$37),SUMIFS('3.5 Forecast_Totex'!AI$11:AI$37,'3.5 Forecast_Totex'!$H$11:$H$37,$H19,'3.5 Forecast_Totex'!$J$11:$J$37,$J19)))</f>
        <v>0</v>
      </c>
      <c r="AK19" s="435" t="s">
        <v>2871</v>
      </c>
    </row>
    <row r="20" spans="1:37" s="435" customFormat="1">
      <c r="D20" s="435" t="s">
        <v>79</v>
      </c>
      <c r="E20" s="435" t="s">
        <v>79</v>
      </c>
      <c r="F20" s="435" t="s">
        <v>3146</v>
      </c>
      <c r="G20" s="435" t="s">
        <v>12</v>
      </c>
      <c r="H20" s="435" t="s">
        <v>1768</v>
      </c>
      <c r="I20" s="435" t="s">
        <v>1</v>
      </c>
      <c r="AC20" s="435" t="s">
        <v>2</v>
      </c>
      <c r="AE20" s="93">
        <f>IF(AE$7&lt;=$AK$7,IF($J20="",SUMIF('3.1 TO_Totex'!$H$11:$H$82,$H20,'3.1 TO_Totex'!AE$11:AE$82),SUMIFS('3.1 TO_Totex'!AE$11:AE$82,'3.1 TO_Totex'!$H$11:$H$82,$H20,'3.1 TO_Totex'!$J$11:$J$82,$J20)),IF($J20="",SUMIF('3.5 Forecast_Totex'!$H$11:$H$37,$H20,'3.5 Forecast_Totex'!AE$11:AE$37),SUMIFS('3.5 Forecast_Totex'!AE$11:AE$37,'3.5 Forecast_Totex'!$H$11:$H$37,$H20,'3.5 Forecast_Totex'!$J$11:$J$37,$J20)))</f>
        <v>0</v>
      </c>
      <c r="AF20" s="93">
        <f>IF(AF$7&lt;=$AK$7,IF($J20="",SUMIF('3.1 TO_Totex'!$H$11:$H$82,$H20,'3.1 TO_Totex'!AF$11:AF$82),SUMIFS('3.1 TO_Totex'!AF$11:AF$82,'3.1 TO_Totex'!$H$11:$H$82,$H20,'3.1 TO_Totex'!$J$11:$J$82,$J20)),IF($J20="",SUMIF('3.5 Forecast_Totex'!$H$11:$H$37,$H20,'3.5 Forecast_Totex'!AF$11:AF$37),SUMIFS('3.5 Forecast_Totex'!AF$11:AF$37,'3.5 Forecast_Totex'!$H$11:$H$37,$H20,'3.5 Forecast_Totex'!$J$11:$J$37,$J20)))</f>
        <v>0</v>
      </c>
      <c r="AG20" s="93">
        <f>IF(AG$7&lt;=$AK$7,IF($J20="",SUMIF('3.1 TO_Totex'!$H$11:$H$82,$H20,'3.1 TO_Totex'!AG$11:AG$82),SUMIFS('3.1 TO_Totex'!AG$11:AG$82,'3.1 TO_Totex'!$H$11:$H$82,$H20,'3.1 TO_Totex'!$J$11:$J$82,$J20)),IF($J20="",SUMIF('3.5 Forecast_Totex'!$H$11:$H$37,$H20,'3.5 Forecast_Totex'!AG$11:AG$37),SUMIFS('3.5 Forecast_Totex'!AG$11:AG$37,'3.5 Forecast_Totex'!$H$11:$H$37,$H20,'3.5 Forecast_Totex'!$J$11:$J$37,$J20)))</f>
        <v>0</v>
      </c>
      <c r="AH20" s="93">
        <f>IF(AH$7&lt;=$AK$7,IF($J20="",SUMIF('3.1 TO_Totex'!$H$11:$H$82,$H20,'3.1 TO_Totex'!AH$11:AH$82),SUMIFS('3.1 TO_Totex'!AH$11:AH$82,'3.1 TO_Totex'!$H$11:$H$82,$H20,'3.1 TO_Totex'!$J$11:$J$82,$J20)),IF($J20="",SUMIF('3.5 Forecast_Totex'!$H$11:$H$37,$H20,'3.5 Forecast_Totex'!AH$11:AH$37),SUMIFS('3.5 Forecast_Totex'!AH$11:AH$37,'3.5 Forecast_Totex'!$H$11:$H$37,$H20,'3.5 Forecast_Totex'!$J$11:$J$37,$J20)))</f>
        <v>0</v>
      </c>
      <c r="AI20" s="93">
        <f>IF(AI$7&lt;=$AK$7,IF($J20="",SUMIF('3.1 TO_Totex'!$H$11:$H$82,$H20,'3.1 TO_Totex'!AI$11:AI$82),SUMIFS('3.1 TO_Totex'!AI$11:AI$82,'3.1 TO_Totex'!$H$11:$H$82,$H20,'3.1 TO_Totex'!$J$11:$J$82,$J20)),IF($J20="",SUMIF('3.5 Forecast_Totex'!$H$11:$H$37,$H20,'3.5 Forecast_Totex'!AI$11:AI$37),SUMIFS('3.5 Forecast_Totex'!AI$11:AI$37,'3.5 Forecast_Totex'!$H$11:$H$37,$H20,'3.5 Forecast_Totex'!$J$11:$J$37,$J20)))</f>
        <v>0</v>
      </c>
      <c r="AK20" s="435" t="s">
        <v>2871</v>
      </c>
    </row>
    <row r="22" spans="1:37" s="1" customFormat="1" ht="13.9">
      <c r="A22" s="66"/>
      <c r="B22" s="78" t="s">
        <v>1756</v>
      </c>
    </row>
    <row r="23" spans="1:37" s="435" customFormat="1"/>
    <row r="24" spans="1:37" s="435" customFormat="1">
      <c r="D24" s="435" t="s">
        <v>79</v>
      </c>
      <c r="E24" s="435" t="s">
        <v>79</v>
      </c>
      <c r="F24" s="435" t="s">
        <v>3147</v>
      </c>
      <c r="G24" s="435" t="s">
        <v>12</v>
      </c>
      <c r="H24" s="435" t="s">
        <v>276</v>
      </c>
      <c r="I24" s="435" t="s">
        <v>7</v>
      </c>
      <c r="AC24" s="435" t="s">
        <v>2</v>
      </c>
      <c r="AE24" s="93">
        <f>IF($J24="",SUMIFS('3.3 Allowances'!AE$11:AE$83,'3.3 Allowances'!$H$11:$H$83,$H24),SUMIFS('3.3 Allowances'!AE$11:AE$83,'3.3 Allowances'!$H$11:$H$83,$H24,'3.3 Allowances'!$M$11:$M$83,$J24))</f>
        <v>0</v>
      </c>
      <c r="AF24" s="93">
        <f>IF($J24="",SUMIFS('3.3 Allowances'!AF$11:AF$83,'3.3 Allowances'!$H$11:$H$83,$H24),SUMIFS('3.3 Allowances'!AF$11:AF$83,'3.3 Allowances'!$H$11:$H$83,$H24,'3.3 Allowances'!$M$11:$M$83,$J24))</f>
        <v>0</v>
      </c>
      <c r="AG24" s="93">
        <f>IF($J24="",SUMIFS('3.3 Allowances'!AG$11:AG$83,'3.3 Allowances'!$H$11:$H$83,$H24),SUMIFS('3.3 Allowances'!AG$11:AG$83,'3.3 Allowances'!$H$11:$H$83,$H24,'3.3 Allowances'!$M$11:$M$83,$J24))</f>
        <v>0</v>
      </c>
      <c r="AH24" s="93">
        <f>IF($J24="",SUMIFS('3.3 Allowances'!AH$11:AH$83,'3.3 Allowances'!$H$11:$H$83,$H24),SUMIFS('3.3 Allowances'!AH$11:AH$83,'3.3 Allowances'!$H$11:$H$83,$H24,'3.3 Allowances'!$M$11:$M$83,$J24))</f>
        <v>0</v>
      </c>
      <c r="AI24" s="93">
        <f>IF($J24="",SUMIFS('3.3 Allowances'!AI$11:AI$83,'3.3 Allowances'!$H$11:$H$83,$H24),SUMIFS('3.3 Allowances'!AI$11:AI$83,'3.3 Allowances'!$H$11:$H$83,$H24,'3.3 Allowances'!$M$11:$M$83,$J24))</f>
        <v>0</v>
      </c>
      <c r="AK24" s="435" t="s">
        <v>2871</v>
      </c>
    </row>
    <row r="25" spans="1:37" s="435" customFormat="1">
      <c r="D25" s="435" t="s">
        <v>79</v>
      </c>
      <c r="E25" s="435" t="s">
        <v>79</v>
      </c>
      <c r="F25" s="435" t="s">
        <v>3147</v>
      </c>
      <c r="G25" s="435" t="s">
        <v>12</v>
      </c>
      <c r="H25" s="435" t="s">
        <v>1759</v>
      </c>
      <c r="I25" s="435" t="s">
        <v>7</v>
      </c>
      <c r="J25" s="435" t="s">
        <v>1760</v>
      </c>
      <c r="AC25" s="435" t="s">
        <v>2</v>
      </c>
      <c r="AE25" s="93">
        <f>IF($J25="",SUMIFS('3.3 Allowances'!AE$11:AE$83,'3.3 Allowances'!$H$11:$H$83,$H25),SUMIFS('3.3 Allowances'!AE$11:AE$83,'3.3 Allowances'!$H$11:$H$83,$H25,'3.3 Allowances'!$M$11:$M$83,$J25))</f>
        <v>0</v>
      </c>
      <c r="AF25" s="93">
        <f>IF($J25="",SUMIFS('3.3 Allowances'!AF$11:AF$83,'3.3 Allowances'!$H$11:$H$83,$H25),SUMIFS('3.3 Allowances'!AF$11:AF$83,'3.3 Allowances'!$H$11:$H$83,$H25,'3.3 Allowances'!$M$11:$M$83,$J25))</f>
        <v>0</v>
      </c>
      <c r="AG25" s="93">
        <f>IF($J25="",SUMIFS('3.3 Allowances'!AG$11:AG$83,'3.3 Allowances'!$H$11:$H$83,$H25),SUMIFS('3.3 Allowances'!AG$11:AG$83,'3.3 Allowances'!$H$11:$H$83,$H25,'3.3 Allowances'!$M$11:$M$83,$J25))</f>
        <v>0</v>
      </c>
      <c r="AH25" s="93">
        <f>IF($J25="",SUMIFS('3.3 Allowances'!AH$11:AH$83,'3.3 Allowances'!$H$11:$H$83,$H25),SUMIFS('3.3 Allowances'!AH$11:AH$83,'3.3 Allowances'!$H$11:$H$83,$H25,'3.3 Allowances'!$M$11:$M$83,$J25))</f>
        <v>0</v>
      </c>
      <c r="AI25" s="93">
        <f>IF($J25="",SUMIFS('3.3 Allowances'!AI$11:AI$83,'3.3 Allowances'!$H$11:$H$83,$H25),SUMIFS('3.3 Allowances'!AI$11:AI$83,'3.3 Allowances'!$H$11:$H$83,$H25,'3.3 Allowances'!$M$11:$M$83,$J25))</f>
        <v>0</v>
      </c>
      <c r="AK25" s="435" t="s">
        <v>2871</v>
      </c>
    </row>
    <row r="26" spans="1:37" s="435" customFormat="1">
      <c r="D26" s="435" t="s">
        <v>79</v>
      </c>
      <c r="E26" s="435" t="s">
        <v>79</v>
      </c>
      <c r="F26" s="435" t="s">
        <v>3147</v>
      </c>
      <c r="G26" s="435" t="s">
        <v>12</v>
      </c>
      <c r="H26" s="435" t="s">
        <v>1759</v>
      </c>
      <c r="I26" s="435" t="s">
        <v>7</v>
      </c>
      <c r="J26" s="435" t="s">
        <v>299</v>
      </c>
      <c r="AC26" s="435" t="s">
        <v>2</v>
      </c>
      <c r="AE26" s="93">
        <f>IF($J26="",SUMIFS('3.3 Allowances'!AE$11:AE$83,'3.3 Allowances'!$H$11:$H$83,$H26),SUMIFS('3.3 Allowances'!AE$11:AE$83,'3.3 Allowances'!$H$11:$H$83,$H26,'3.3 Allowances'!$M$11:$M$83,$J26))</f>
        <v>0</v>
      </c>
      <c r="AF26" s="93">
        <f>IF($J26="",SUMIFS('3.3 Allowances'!AF$11:AF$83,'3.3 Allowances'!$H$11:$H$83,$H26),SUMIFS('3.3 Allowances'!AF$11:AF$83,'3.3 Allowances'!$H$11:$H$83,$H26,'3.3 Allowances'!$M$11:$M$83,$J26))</f>
        <v>0</v>
      </c>
      <c r="AG26" s="93">
        <f>IF($J26="",SUMIFS('3.3 Allowances'!AG$11:AG$83,'3.3 Allowances'!$H$11:$H$83,$H26),SUMIFS('3.3 Allowances'!AG$11:AG$83,'3.3 Allowances'!$H$11:$H$83,$H26,'3.3 Allowances'!$M$11:$M$83,$J26))</f>
        <v>0</v>
      </c>
      <c r="AH26" s="93">
        <f>IF($J26="",SUMIFS('3.3 Allowances'!AH$11:AH$83,'3.3 Allowances'!$H$11:$H$83,$H26),SUMIFS('3.3 Allowances'!AH$11:AH$83,'3.3 Allowances'!$H$11:$H$83,$H26,'3.3 Allowances'!$M$11:$M$83,$J26))</f>
        <v>0</v>
      </c>
      <c r="AI26" s="93">
        <f>IF($J26="",SUMIFS('3.3 Allowances'!AI$11:AI$83,'3.3 Allowances'!$H$11:$H$83,$H26),SUMIFS('3.3 Allowances'!AI$11:AI$83,'3.3 Allowances'!$H$11:$H$83,$H26,'3.3 Allowances'!$M$11:$M$83,$J26))</f>
        <v>0</v>
      </c>
      <c r="AK26" s="435" t="s">
        <v>2871</v>
      </c>
    </row>
    <row r="27" spans="1:37" s="435" customFormat="1">
      <c r="D27" s="435" t="s">
        <v>79</v>
      </c>
      <c r="E27" s="435" t="s">
        <v>79</v>
      </c>
      <c r="F27" s="435" t="s">
        <v>3147</v>
      </c>
      <c r="G27" s="435" t="s">
        <v>12</v>
      </c>
      <c r="H27" s="435" t="s">
        <v>1759</v>
      </c>
      <c r="I27" s="435" t="s">
        <v>7</v>
      </c>
      <c r="J27" s="435" t="s">
        <v>2646</v>
      </c>
      <c r="AC27" s="435" t="s">
        <v>2</v>
      </c>
      <c r="AE27" s="93">
        <f>IF($J27="",SUMIFS('3.3 Allowances'!AE$11:AE$83,'3.3 Allowances'!$H$11:$H$83,$H27),SUMIFS('3.3 Allowances'!AE$11:AE$83,'3.3 Allowances'!$H$11:$H$83,$H27,'3.3 Allowances'!$M$11:$M$83,$J27))</f>
        <v>0</v>
      </c>
      <c r="AF27" s="93">
        <f>IF($J27="",SUMIFS('3.3 Allowances'!AF$11:AF$83,'3.3 Allowances'!$H$11:$H$83,$H27),SUMIFS('3.3 Allowances'!AF$11:AF$83,'3.3 Allowances'!$H$11:$H$83,$H27,'3.3 Allowances'!$M$11:$M$83,$J27))</f>
        <v>0</v>
      </c>
      <c r="AG27" s="93">
        <f>IF($J27="",SUMIFS('3.3 Allowances'!AG$11:AG$83,'3.3 Allowances'!$H$11:$H$83,$H27),SUMIFS('3.3 Allowances'!AG$11:AG$83,'3.3 Allowances'!$H$11:$H$83,$H27,'3.3 Allowances'!$M$11:$M$83,$J27))</f>
        <v>0</v>
      </c>
      <c r="AH27" s="93">
        <f>IF($J27="",SUMIFS('3.3 Allowances'!AH$11:AH$83,'3.3 Allowances'!$H$11:$H$83,$H27),SUMIFS('3.3 Allowances'!AH$11:AH$83,'3.3 Allowances'!$H$11:$H$83,$H27,'3.3 Allowances'!$M$11:$M$83,$J27))</f>
        <v>0</v>
      </c>
      <c r="AI27" s="93">
        <f>IF($J27="",SUMIFS('3.3 Allowances'!AI$11:AI$83,'3.3 Allowances'!$H$11:$H$83,$H27),SUMIFS('3.3 Allowances'!AI$11:AI$83,'3.3 Allowances'!$H$11:$H$83,$H27,'3.3 Allowances'!$M$11:$M$83,$J27))</f>
        <v>0</v>
      </c>
      <c r="AK27" s="435" t="s">
        <v>2871</v>
      </c>
    </row>
    <row r="28" spans="1:37" s="435" customFormat="1">
      <c r="D28" s="435" t="s">
        <v>79</v>
      </c>
      <c r="E28" s="435" t="s">
        <v>79</v>
      </c>
      <c r="F28" s="435" t="s">
        <v>3147</v>
      </c>
      <c r="G28" s="435" t="s">
        <v>12</v>
      </c>
      <c r="H28" s="435" t="s">
        <v>1690</v>
      </c>
      <c r="I28" s="435" t="s">
        <v>7</v>
      </c>
      <c r="J28" s="435" t="s">
        <v>2653</v>
      </c>
      <c r="AC28" s="435" t="s">
        <v>2</v>
      </c>
      <c r="AE28" s="93">
        <f>IF($J28="",SUMIFS('3.3 Allowances'!AE$11:AE$83,'3.3 Allowances'!$H$11:$H$83,$H28),SUMIFS('3.3 Allowances'!AE$11:AE$83,'3.3 Allowances'!$H$11:$H$83,$H28,'3.3 Allowances'!$M$11:$M$83,$J28))</f>
        <v>0</v>
      </c>
      <c r="AF28" s="93">
        <f>IF($J28="",SUMIFS('3.3 Allowances'!AF$11:AF$83,'3.3 Allowances'!$H$11:$H$83,$H28),SUMIFS('3.3 Allowances'!AF$11:AF$83,'3.3 Allowances'!$H$11:$H$83,$H28,'3.3 Allowances'!$M$11:$M$83,$J28))</f>
        <v>0</v>
      </c>
      <c r="AG28" s="93">
        <f>IF($J28="",SUMIFS('3.3 Allowances'!AG$11:AG$83,'3.3 Allowances'!$H$11:$H$83,$H28),SUMIFS('3.3 Allowances'!AG$11:AG$83,'3.3 Allowances'!$H$11:$H$83,$H28,'3.3 Allowances'!$M$11:$M$83,$J28))</f>
        <v>0</v>
      </c>
      <c r="AH28" s="93">
        <f>IF($J28="",SUMIFS('3.3 Allowances'!AH$11:AH$83,'3.3 Allowances'!$H$11:$H$83,$H28),SUMIFS('3.3 Allowances'!AH$11:AH$83,'3.3 Allowances'!$H$11:$H$83,$H28,'3.3 Allowances'!$M$11:$M$83,$J28))</f>
        <v>0</v>
      </c>
      <c r="AI28" s="93">
        <f>IF($J28="",SUMIFS('3.3 Allowances'!AI$11:AI$83,'3.3 Allowances'!$H$11:$H$83,$H28),SUMIFS('3.3 Allowances'!AI$11:AI$83,'3.3 Allowances'!$H$11:$H$83,$H28,'3.3 Allowances'!$M$11:$M$83,$J28))</f>
        <v>0</v>
      </c>
      <c r="AK28" s="435" t="s">
        <v>2871</v>
      </c>
    </row>
    <row r="29" spans="1:37" s="435" customFormat="1">
      <c r="D29" s="435" t="s">
        <v>79</v>
      </c>
      <c r="E29" s="435" t="s">
        <v>79</v>
      </c>
      <c r="F29" s="435" t="s">
        <v>3147</v>
      </c>
      <c r="G29" s="435" t="s">
        <v>12</v>
      </c>
      <c r="H29" s="435" t="s">
        <v>1690</v>
      </c>
      <c r="I29" s="435" t="s">
        <v>7</v>
      </c>
      <c r="J29" s="435" t="s">
        <v>1086</v>
      </c>
      <c r="AC29" s="435" t="s">
        <v>2</v>
      </c>
      <c r="AE29" s="93">
        <f>IF($J29="",SUMIFS('3.3 Allowances'!AE$11:AE$83,'3.3 Allowances'!$H$11:$H$83,$H29),SUMIFS('3.3 Allowances'!AE$11:AE$83,'3.3 Allowances'!$H$11:$H$83,$H29,'3.3 Allowances'!$M$11:$M$83,$J29))</f>
        <v>0</v>
      </c>
      <c r="AF29" s="93">
        <f>IF($J29="",SUMIFS('3.3 Allowances'!AF$11:AF$83,'3.3 Allowances'!$H$11:$H$83,$H29),SUMIFS('3.3 Allowances'!AF$11:AF$83,'3.3 Allowances'!$H$11:$H$83,$H29,'3.3 Allowances'!$M$11:$M$83,$J29))</f>
        <v>0</v>
      </c>
      <c r="AG29" s="93">
        <f>IF($J29="",SUMIFS('3.3 Allowances'!AG$11:AG$83,'3.3 Allowances'!$H$11:$H$83,$H29),SUMIFS('3.3 Allowances'!AG$11:AG$83,'3.3 Allowances'!$H$11:$H$83,$H29,'3.3 Allowances'!$M$11:$M$83,$J29))</f>
        <v>0</v>
      </c>
      <c r="AH29" s="93">
        <f>IF($J29="",SUMIFS('3.3 Allowances'!AH$11:AH$83,'3.3 Allowances'!$H$11:$H$83,$H29),SUMIFS('3.3 Allowances'!AH$11:AH$83,'3.3 Allowances'!$H$11:$H$83,$H29,'3.3 Allowances'!$M$11:$M$83,$J29))</f>
        <v>0</v>
      </c>
      <c r="AI29" s="93">
        <f>IF($J29="",SUMIFS('3.3 Allowances'!AI$11:AI$83,'3.3 Allowances'!$H$11:$H$83,$H29),SUMIFS('3.3 Allowances'!AI$11:AI$83,'3.3 Allowances'!$H$11:$H$83,$H29,'3.3 Allowances'!$M$11:$M$83,$J29))</f>
        <v>0</v>
      </c>
      <c r="AK29" s="435" t="s">
        <v>2871</v>
      </c>
    </row>
    <row r="30" spans="1:37" s="435" customFormat="1">
      <c r="D30" s="435" t="s">
        <v>79</v>
      </c>
      <c r="E30" s="435" t="s">
        <v>79</v>
      </c>
      <c r="F30" s="435" t="s">
        <v>3147</v>
      </c>
      <c r="G30" s="435" t="s">
        <v>12</v>
      </c>
      <c r="H30" s="435" t="s">
        <v>1049</v>
      </c>
      <c r="I30" s="435" t="s">
        <v>1</v>
      </c>
      <c r="AC30" s="435" t="s">
        <v>2</v>
      </c>
      <c r="AE30" s="93">
        <f>IF($J30="",SUMIFS('3.3 Allowances'!AE$11:AE$83,'3.3 Allowances'!$H$11:$H$83,$H30),SUMIFS('3.3 Allowances'!AE$11:AE$83,'3.3 Allowances'!$H$11:$H$83,$H30,'3.3 Allowances'!$M$11:$M$83,$J30))</f>
        <v>0</v>
      </c>
      <c r="AF30" s="93">
        <f>IF($J30="",SUMIFS('3.3 Allowances'!AF$11:AF$83,'3.3 Allowances'!$H$11:$H$83,$H30),SUMIFS('3.3 Allowances'!AF$11:AF$83,'3.3 Allowances'!$H$11:$H$83,$H30,'3.3 Allowances'!$M$11:$M$83,$J30))</f>
        <v>0</v>
      </c>
      <c r="AG30" s="93">
        <f>IF($J30="",SUMIFS('3.3 Allowances'!AG$11:AG$83,'3.3 Allowances'!$H$11:$H$83,$H30),SUMIFS('3.3 Allowances'!AG$11:AG$83,'3.3 Allowances'!$H$11:$H$83,$H30,'3.3 Allowances'!$M$11:$M$83,$J30))</f>
        <v>0</v>
      </c>
      <c r="AH30" s="93">
        <f>IF($J30="",SUMIFS('3.3 Allowances'!AH$11:AH$83,'3.3 Allowances'!$H$11:$H$83,$H30),SUMIFS('3.3 Allowances'!AH$11:AH$83,'3.3 Allowances'!$H$11:$H$83,$H30,'3.3 Allowances'!$M$11:$M$83,$J30))</f>
        <v>0</v>
      </c>
      <c r="AI30" s="93">
        <f>IF($J30="",SUMIFS('3.3 Allowances'!AI$11:AI$83,'3.3 Allowances'!$H$11:$H$83,$H30),SUMIFS('3.3 Allowances'!AI$11:AI$83,'3.3 Allowances'!$H$11:$H$83,$H30,'3.3 Allowances'!$M$11:$M$83,$J30))</f>
        <v>0</v>
      </c>
      <c r="AK30" s="435" t="s">
        <v>2871</v>
      </c>
    </row>
    <row r="31" spans="1:37" s="435" customFormat="1">
      <c r="D31" s="435" t="s">
        <v>79</v>
      </c>
      <c r="E31" s="435" t="s">
        <v>79</v>
      </c>
      <c r="F31" s="435" t="s">
        <v>3147</v>
      </c>
      <c r="G31" s="435" t="s">
        <v>12</v>
      </c>
      <c r="H31" s="435" t="s">
        <v>1768</v>
      </c>
      <c r="I31" s="435" t="s">
        <v>1</v>
      </c>
      <c r="AC31" s="435" t="s">
        <v>2</v>
      </c>
      <c r="AE31" s="93">
        <f>IF($J31="",SUMIFS('3.3 Allowances'!AE$11:AE$83,'3.3 Allowances'!$H$11:$H$83,$H31),SUMIFS('3.3 Allowances'!AE$11:AE$83,'3.3 Allowances'!$H$11:$H$83,$H31,'3.3 Allowances'!$M$11:$M$83,$J31))</f>
        <v>0</v>
      </c>
      <c r="AF31" s="93">
        <f>IF($J31="",SUMIFS('3.3 Allowances'!AF$11:AF$83,'3.3 Allowances'!$H$11:$H$83,$H31),SUMIFS('3.3 Allowances'!AF$11:AF$83,'3.3 Allowances'!$H$11:$H$83,$H31,'3.3 Allowances'!$M$11:$M$83,$J31))</f>
        <v>0</v>
      </c>
      <c r="AG31" s="93">
        <f>IF($J31="",SUMIFS('3.3 Allowances'!AG$11:AG$83,'3.3 Allowances'!$H$11:$H$83,$H31),SUMIFS('3.3 Allowances'!AG$11:AG$83,'3.3 Allowances'!$H$11:$H$83,$H31,'3.3 Allowances'!$M$11:$M$83,$J31))</f>
        <v>0</v>
      </c>
      <c r="AH31" s="93">
        <f>IF($J31="",SUMIFS('3.3 Allowances'!AH$11:AH$83,'3.3 Allowances'!$H$11:$H$83,$H31),SUMIFS('3.3 Allowances'!AH$11:AH$83,'3.3 Allowances'!$H$11:$H$83,$H31,'3.3 Allowances'!$M$11:$M$83,$J31))</f>
        <v>0</v>
      </c>
      <c r="AI31" s="93">
        <f>IF($J31="",SUMIFS('3.3 Allowances'!AI$11:AI$83,'3.3 Allowances'!$H$11:$H$83,$H31),SUMIFS('3.3 Allowances'!AI$11:AI$83,'3.3 Allowances'!$H$11:$H$83,$H31,'3.3 Allowances'!$M$11:$M$83,$J31))</f>
        <v>0</v>
      </c>
      <c r="AK31" s="435" t="s">
        <v>2871</v>
      </c>
    </row>
    <row r="32" spans="1:37" s="435" customFormat="1"/>
    <row r="33" spans="1:37" s="1" customFormat="1" ht="13.9">
      <c r="A33" s="66"/>
      <c r="B33" s="78" t="s">
        <v>2652</v>
      </c>
    </row>
    <row r="34" spans="1:37" s="435" customFormat="1"/>
    <row r="35" spans="1:37" s="435" customFormat="1">
      <c r="D35" s="435" t="s">
        <v>79</v>
      </c>
      <c r="E35" s="435" t="s">
        <v>79</v>
      </c>
      <c r="F35" s="435" t="s">
        <v>3148</v>
      </c>
      <c r="G35" s="435" t="s">
        <v>12</v>
      </c>
      <c r="H35" s="435" t="s">
        <v>276</v>
      </c>
      <c r="I35" s="435" t="s">
        <v>7</v>
      </c>
      <c r="AC35" s="435" t="s">
        <v>2</v>
      </c>
      <c r="AE35" s="93">
        <f>AE13-AE24</f>
        <v>0</v>
      </c>
      <c r="AF35" s="93">
        <f t="shared" ref="AF35:AI35" si="0">AF13-AF24</f>
        <v>0</v>
      </c>
      <c r="AG35" s="93">
        <f t="shared" si="0"/>
        <v>0</v>
      </c>
      <c r="AH35" s="93">
        <f t="shared" si="0"/>
        <v>0</v>
      </c>
      <c r="AI35" s="93">
        <f t="shared" si="0"/>
        <v>0</v>
      </c>
    </row>
    <row r="36" spans="1:37" s="435" customFormat="1">
      <c r="D36" s="435" t="s">
        <v>79</v>
      </c>
      <c r="E36" s="435" t="s">
        <v>79</v>
      </c>
      <c r="F36" s="435" t="s">
        <v>3148</v>
      </c>
      <c r="G36" s="435" t="s">
        <v>12</v>
      </c>
      <c r="H36" s="435" t="s">
        <v>1759</v>
      </c>
      <c r="I36" s="435" t="s">
        <v>7</v>
      </c>
      <c r="J36" s="435" t="s">
        <v>1760</v>
      </c>
      <c r="AC36" s="435" t="s">
        <v>2</v>
      </c>
      <c r="AE36" s="93">
        <f>AE14-AE25</f>
        <v>0</v>
      </c>
      <c r="AF36" s="93">
        <f t="shared" ref="AF36:AI36" si="1">AF14-AF25</f>
        <v>0</v>
      </c>
      <c r="AG36" s="93">
        <f t="shared" si="1"/>
        <v>0</v>
      </c>
      <c r="AH36" s="93">
        <f t="shared" si="1"/>
        <v>0</v>
      </c>
      <c r="AI36" s="93">
        <f t="shared" si="1"/>
        <v>0</v>
      </c>
    </row>
    <row r="37" spans="1:37" s="435" customFormat="1">
      <c r="D37" s="435" t="s">
        <v>79</v>
      </c>
      <c r="E37" s="435" t="s">
        <v>79</v>
      </c>
      <c r="F37" s="435" t="s">
        <v>3148</v>
      </c>
      <c r="G37" s="435" t="s">
        <v>12</v>
      </c>
      <c r="H37" s="435" t="s">
        <v>1759</v>
      </c>
      <c r="I37" s="435" t="s">
        <v>7</v>
      </c>
      <c r="J37" s="435" t="s">
        <v>299</v>
      </c>
      <c r="AC37" s="435" t="s">
        <v>2</v>
      </c>
      <c r="AE37" s="93">
        <f t="shared" ref="AE37:AI37" si="2">AE15-AE26</f>
        <v>0</v>
      </c>
      <c r="AF37" s="93">
        <f t="shared" si="2"/>
        <v>0</v>
      </c>
      <c r="AG37" s="93">
        <f t="shared" si="2"/>
        <v>0</v>
      </c>
      <c r="AH37" s="93">
        <f t="shared" si="2"/>
        <v>0</v>
      </c>
      <c r="AI37" s="93">
        <f t="shared" si="2"/>
        <v>0</v>
      </c>
    </row>
    <row r="38" spans="1:37" s="435" customFormat="1">
      <c r="D38" s="435" t="s">
        <v>79</v>
      </c>
      <c r="E38" s="435" t="s">
        <v>79</v>
      </c>
      <c r="F38" s="435" t="s">
        <v>3148</v>
      </c>
      <c r="G38" s="435" t="s">
        <v>12</v>
      </c>
      <c r="H38" s="435" t="s">
        <v>1759</v>
      </c>
      <c r="I38" s="435" t="s">
        <v>7</v>
      </c>
      <c r="J38" s="435" t="s">
        <v>2646</v>
      </c>
      <c r="AC38" s="435" t="s">
        <v>2</v>
      </c>
      <c r="AE38" s="93">
        <f t="shared" ref="AE38:AI38" si="3">AE16-AE27</f>
        <v>0</v>
      </c>
      <c r="AF38" s="93">
        <f t="shared" si="3"/>
        <v>0</v>
      </c>
      <c r="AG38" s="93">
        <f t="shared" si="3"/>
        <v>0</v>
      </c>
      <c r="AH38" s="93">
        <f t="shared" si="3"/>
        <v>0</v>
      </c>
      <c r="AI38" s="93">
        <f t="shared" si="3"/>
        <v>0</v>
      </c>
    </row>
    <row r="39" spans="1:37" s="435" customFormat="1">
      <c r="D39" s="435" t="s">
        <v>79</v>
      </c>
      <c r="E39" s="435" t="s">
        <v>79</v>
      </c>
      <c r="F39" s="435" t="s">
        <v>3148</v>
      </c>
      <c r="G39" s="435" t="s">
        <v>12</v>
      </c>
      <c r="H39" s="435" t="s">
        <v>1690</v>
      </c>
      <c r="I39" s="435" t="s">
        <v>7</v>
      </c>
      <c r="J39" s="435" t="s">
        <v>2653</v>
      </c>
      <c r="AC39" s="435" t="s">
        <v>2</v>
      </c>
      <c r="AE39" s="93">
        <f t="shared" ref="AE39:AI39" si="4">AE17-AE28</f>
        <v>0</v>
      </c>
      <c r="AF39" s="93">
        <f t="shared" si="4"/>
        <v>0</v>
      </c>
      <c r="AG39" s="93">
        <f t="shared" si="4"/>
        <v>0</v>
      </c>
      <c r="AH39" s="93">
        <f t="shared" si="4"/>
        <v>0</v>
      </c>
      <c r="AI39" s="93">
        <f t="shared" si="4"/>
        <v>0</v>
      </c>
    </row>
    <row r="40" spans="1:37" s="435" customFormat="1">
      <c r="D40" s="435" t="s">
        <v>79</v>
      </c>
      <c r="E40" s="435" t="s">
        <v>79</v>
      </c>
      <c r="F40" s="435" t="s">
        <v>3148</v>
      </c>
      <c r="G40" s="435" t="s">
        <v>12</v>
      </c>
      <c r="H40" s="435" t="s">
        <v>1690</v>
      </c>
      <c r="I40" s="435" t="s">
        <v>7</v>
      </c>
      <c r="J40" s="435" t="s">
        <v>1086</v>
      </c>
      <c r="AC40" s="435" t="s">
        <v>2</v>
      </c>
      <c r="AE40" s="93">
        <f t="shared" ref="AE40:AI40" si="5">AE18-AE29</f>
        <v>0</v>
      </c>
      <c r="AF40" s="93">
        <f t="shared" si="5"/>
        <v>0</v>
      </c>
      <c r="AG40" s="93">
        <f t="shared" si="5"/>
        <v>0</v>
      </c>
      <c r="AH40" s="93">
        <f t="shared" si="5"/>
        <v>0</v>
      </c>
      <c r="AI40" s="93">
        <f t="shared" si="5"/>
        <v>0</v>
      </c>
    </row>
    <row r="41" spans="1:37" s="435" customFormat="1">
      <c r="D41" s="435" t="s">
        <v>79</v>
      </c>
      <c r="E41" s="435" t="s">
        <v>79</v>
      </c>
      <c r="F41" s="435" t="s">
        <v>3148</v>
      </c>
      <c r="G41" s="435" t="s">
        <v>12</v>
      </c>
      <c r="H41" s="435" t="s">
        <v>1049</v>
      </c>
      <c r="I41" s="435" t="s">
        <v>1</v>
      </c>
      <c r="AC41" s="435" t="s">
        <v>2</v>
      </c>
      <c r="AE41" s="93">
        <f t="shared" ref="AE41:AI41" si="6">AE19-AE30</f>
        <v>0</v>
      </c>
      <c r="AF41" s="93">
        <f t="shared" si="6"/>
        <v>0</v>
      </c>
      <c r="AG41" s="93">
        <f t="shared" si="6"/>
        <v>0</v>
      </c>
      <c r="AH41" s="93">
        <f t="shared" si="6"/>
        <v>0</v>
      </c>
      <c r="AI41" s="93">
        <f t="shared" si="6"/>
        <v>0</v>
      </c>
    </row>
    <row r="42" spans="1:37" s="435" customFormat="1">
      <c r="D42" s="435" t="s">
        <v>79</v>
      </c>
      <c r="E42" s="435" t="s">
        <v>79</v>
      </c>
      <c r="F42" s="435" t="s">
        <v>3148</v>
      </c>
      <c r="G42" s="435" t="s">
        <v>12</v>
      </c>
      <c r="H42" s="435" t="s">
        <v>1768</v>
      </c>
      <c r="I42" s="435" t="s">
        <v>1</v>
      </c>
      <c r="AC42" s="435" t="s">
        <v>2</v>
      </c>
      <c r="AE42" s="93">
        <f>AE20-AE31</f>
        <v>0</v>
      </c>
      <c r="AF42" s="93">
        <f t="shared" ref="AF42:AI42" si="7">AF20-AF31</f>
        <v>0</v>
      </c>
      <c r="AG42" s="93">
        <f t="shared" si="7"/>
        <v>0</v>
      </c>
      <c r="AH42" s="93">
        <f t="shared" si="7"/>
        <v>0</v>
      </c>
      <c r="AI42" s="93">
        <f t="shared" si="7"/>
        <v>0</v>
      </c>
    </row>
    <row r="43" spans="1:37" s="435" customFormat="1"/>
    <row r="44" spans="1:37" s="1" customFormat="1" ht="17.649999999999999">
      <c r="A44" s="2" t="s">
        <v>1753</v>
      </c>
      <c r="B44" s="2"/>
    </row>
    <row r="45" spans="1:37" s="435" customFormat="1"/>
    <row r="46" spans="1:37" s="1" customFormat="1" ht="13.9">
      <c r="A46" s="66"/>
      <c r="B46" s="78" t="s">
        <v>3144</v>
      </c>
    </row>
    <row r="47" spans="1:37" s="435" customFormat="1"/>
    <row r="48" spans="1:37" s="435" customFormat="1">
      <c r="D48" s="435" t="s">
        <v>185</v>
      </c>
      <c r="E48" s="435" t="s">
        <v>185</v>
      </c>
      <c r="F48" s="435" t="s">
        <v>3146</v>
      </c>
      <c r="G48" s="435" t="s">
        <v>12</v>
      </c>
      <c r="H48" s="435" t="s">
        <v>1772</v>
      </c>
      <c r="I48" s="435" t="s">
        <v>7</v>
      </c>
      <c r="AC48" s="435" t="s">
        <v>2</v>
      </c>
      <c r="AE48" s="93">
        <f>IF(AE$7&lt;=$AK$7,SUMIF('3.2 SO_Totex'!$H$11:$H$25,$H48,'3.2 SO_Totex'!AE$11:AE$25),SUMIF('3.5 Forecast_Totex'!$H$40:$H$53,$H48,'3.5 Forecast_Totex'!AE$40:AE$53))</f>
        <v>0</v>
      </c>
      <c r="AF48" s="93">
        <f>IF(AF$7&lt;=$AK$7,SUMIF('3.2 SO_Totex'!$H$11:$H$25,$H48,'3.2 SO_Totex'!AF$11:AF$25),SUMIF('3.5 Forecast_Totex'!$H$40:$H$53,$H48,'3.5 Forecast_Totex'!AF$40:AF$53))</f>
        <v>0</v>
      </c>
      <c r="AG48" s="93">
        <f>IF(AG$7&lt;=$AK$7,SUMIF('3.2 SO_Totex'!$H$11:$H$25,$H48,'3.2 SO_Totex'!AG$11:AG$25),SUMIF('3.5 Forecast_Totex'!$H$40:$H$53,$H48,'3.5 Forecast_Totex'!AG$40:AG$53))</f>
        <v>0</v>
      </c>
      <c r="AH48" s="93">
        <f>IF(AH$7&lt;=$AK$7,SUMIF('3.2 SO_Totex'!$H$11:$H$25,$H48,'3.2 SO_Totex'!AH$11:AH$25),SUMIF('3.5 Forecast_Totex'!$H$40:$H$53,$H48,'3.5 Forecast_Totex'!AH$40:AH$53))</f>
        <v>0</v>
      </c>
      <c r="AI48" s="93">
        <f>IF(AI$7&lt;=$AK$7,SUMIF('3.2 SO_Totex'!$H$11:$H$25,$H48,'3.2 SO_Totex'!AI$11:AI$25),SUMIF('3.5 Forecast_Totex'!$H$40:$H$53,$H48,'3.5 Forecast_Totex'!AI$40:AI$53))</f>
        <v>0</v>
      </c>
      <c r="AK48" s="435" t="s">
        <v>2871</v>
      </c>
    </row>
    <row r="49" spans="1:37" s="435" customFormat="1">
      <c r="D49" s="435" t="s">
        <v>185</v>
      </c>
      <c r="E49" s="435" t="s">
        <v>185</v>
      </c>
      <c r="F49" s="435" t="s">
        <v>3146</v>
      </c>
      <c r="G49" s="435" t="s">
        <v>12</v>
      </c>
      <c r="H49" s="435" t="s">
        <v>1690</v>
      </c>
      <c r="I49" s="435" t="s">
        <v>7</v>
      </c>
      <c r="AC49" s="435" t="s">
        <v>2</v>
      </c>
      <c r="AE49" s="93">
        <f>IF(AE$7&lt;=$AK$7,SUMIF('3.2 SO_Totex'!$H$11:$H$25,$H49,'3.2 SO_Totex'!AE$11:AE$25),SUMIF('3.5 Forecast_Totex'!$H$40:$H$53,$H49,'3.5 Forecast_Totex'!AE$40:AE$53))</f>
        <v>0</v>
      </c>
      <c r="AF49" s="93">
        <f>IF(AF$7&lt;=$AK$7,SUMIF('3.2 SO_Totex'!$H$11:$H$25,$H49,'3.2 SO_Totex'!AF$11:AF$25),SUMIF('3.5 Forecast_Totex'!$H$40:$H$53,$H49,'3.5 Forecast_Totex'!AF$40:AF$53))</f>
        <v>0</v>
      </c>
      <c r="AG49" s="93">
        <f>IF(AG$7&lt;=$AK$7,SUMIF('3.2 SO_Totex'!$H$11:$H$25,$H49,'3.2 SO_Totex'!AG$11:AG$25),SUMIF('3.5 Forecast_Totex'!$H$40:$H$53,$H49,'3.5 Forecast_Totex'!AG$40:AG$53))</f>
        <v>0</v>
      </c>
      <c r="AH49" s="93">
        <f>IF(AH$7&lt;=$AK$7,SUMIF('3.2 SO_Totex'!$H$11:$H$25,$H49,'3.2 SO_Totex'!AH$11:AH$25),SUMIF('3.5 Forecast_Totex'!$H$40:$H$53,$H49,'3.5 Forecast_Totex'!AH$40:AH$53))</f>
        <v>0</v>
      </c>
      <c r="AI49" s="93">
        <f>IF(AI$7&lt;=$AK$7,SUMIF('3.2 SO_Totex'!$H$11:$H$25,$H49,'3.2 SO_Totex'!AI$11:AI$25),SUMIF('3.5 Forecast_Totex'!$H$40:$H$53,$H49,'3.5 Forecast_Totex'!AI$40:AI$53))</f>
        <v>0</v>
      </c>
      <c r="AK49" s="435" t="s">
        <v>2871</v>
      </c>
    </row>
    <row r="50" spans="1:37" s="435" customFormat="1">
      <c r="D50" s="435" t="s">
        <v>185</v>
      </c>
      <c r="E50" s="435" t="s">
        <v>185</v>
      </c>
      <c r="F50" s="435" t="s">
        <v>3146</v>
      </c>
      <c r="G50" s="435" t="s">
        <v>12</v>
      </c>
      <c r="H50" s="435" t="s">
        <v>1049</v>
      </c>
      <c r="I50" s="435" t="s">
        <v>1</v>
      </c>
      <c r="AC50" s="435" t="s">
        <v>2</v>
      </c>
      <c r="AE50" s="93">
        <f>IF(AE$7&lt;=$AK$7,SUMIF('3.2 SO_Totex'!$H$11:$H$25,$H50,'3.2 SO_Totex'!AE$11:AE$25),SUMIF('3.5 Forecast_Totex'!$H$40:$H$53,$H50,'3.5 Forecast_Totex'!AE$40:AE$53))</f>
        <v>0</v>
      </c>
      <c r="AF50" s="93">
        <f>IF(AF$7&lt;=$AK$7,SUMIF('3.2 SO_Totex'!$H$11:$H$25,$H50,'3.2 SO_Totex'!AF$11:AF$25),SUMIF('3.5 Forecast_Totex'!$H$40:$H$53,$H50,'3.5 Forecast_Totex'!AF$40:AF$53))</f>
        <v>0</v>
      </c>
      <c r="AG50" s="93">
        <f>IF(AG$7&lt;=$AK$7,SUMIF('3.2 SO_Totex'!$H$11:$H$25,$H50,'3.2 SO_Totex'!AG$11:AG$25),SUMIF('3.5 Forecast_Totex'!$H$40:$H$53,$H50,'3.5 Forecast_Totex'!AG$40:AG$53))</f>
        <v>0</v>
      </c>
      <c r="AH50" s="93">
        <f>IF(AH$7&lt;=$AK$7,SUMIF('3.2 SO_Totex'!$H$11:$H$25,$H50,'3.2 SO_Totex'!AH$11:AH$25),SUMIF('3.5 Forecast_Totex'!$H$40:$H$53,$H50,'3.5 Forecast_Totex'!AH$40:AH$53))</f>
        <v>0</v>
      </c>
      <c r="AI50" s="93">
        <f>IF(AI$7&lt;=$AK$7,SUMIF('3.2 SO_Totex'!$H$11:$H$25,$H50,'3.2 SO_Totex'!AI$11:AI$25),SUMIF('3.5 Forecast_Totex'!$H$40:$H$53,$H50,'3.5 Forecast_Totex'!AI$40:AI$53))</f>
        <v>0</v>
      </c>
      <c r="AK50" s="435" t="s">
        <v>2871</v>
      </c>
    </row>
    <row r="51" spans="1:37">
      <c r="D51" s="435" t="s">
        <v>185</v>
      </c>
      <c r="E51" s="435" t="s">
        <v>185</v>
      </c>
      <c r="F51" s="435" t="s">
        <v>3146</v>
      </c>
      <c r="G51" s="435" t="s">
        <v>12</v>
      </c>
      <c r="H51" s="435" t="s">
        <v>209</v>
      </c>
      <c r="I51" t="s">
        <v>1</v>
      </c>
      <c r="AC51" s="435" t="s">
        <v>2</v>
      </c>
      <c r="AE51" s="93">
        <f>IF(AE$7&lt;=$AK$7,SUMIF('3.2 SO_Totex'!$H$11:$H$25,$H51,'3.2 SO_Totex'!AE$11:AE$25),SUMIF('3.5 Forecast_Totex'!$H$40:$H$53,$H51,'3.5 Forecast_Totex'!AE$40:AE$53))</f>
        <v>0</v>
      </c>
      <c r="AF51" s="93">
        <f>IF(AF$7&lt;=$AK$7,SUMIF('3.2 SO_Totex'!$H$11:$H$25,$H51,'3.2 SO_Totex'!AF$11:AF$25),SUMIF('3.5 Forecast_Totex'!$H$40:$H$53,$H51,'3.5 Forecast_Totex'!AF$40:AF$53))</f>
        <v>0</v>
      </c>
      <c r="AG51" s="93">
        <f>IF(AG$7&lt;=$AK$7,SUMIF('3.2 SO_Totex'!$H$11:$H$25,$H51,'3.2 SO_Totex'!AG$11:AG$25),SUMIF('3.5 Forecast_Totex'!$H$40:$H$53,$H51,'3.5 Forecast_Totex'!AG$40:AG$53))</f>
        <v>0</v>
      </c>
      <c r="AH51" s="93">
        <f>IF(AH$7&lt;=$AK$7,SUMIF('3.2 SO_Totex'!$H$11:$H$25,$H51,'3.2 SO_Totex'!AH$11:AH$25),SUMIF('3.5 Forecast_Totex'!$H$40:$H$53,$H51,'3.5 Forecast_Totex'!AH$40:AH$53))</f>
        <v>0</v>
      </c>
      <c r="AI51" s="93">
        <f>IF(AI$7&lt;=$AK$7,SUMIF('3.2 SO_Totex'!$H$11:$H$25,$H51,'3.2 SO_Totex'!AI$11:AI$25),SUMIF('3.5 Forecast_Totex'!$H$40:$H$53,$H51,'3.5 Forecast_Totex'!AI$40:AI$53))</f>
        <v>0</v>
      </c>
      <c r="AK51" s="435" t="s">
        <v>2871</v>
      </c>
    </row>
    <row r="53" spans="1:37" s="1" customFormat="1" ht="13.9">
      <c r="A53" s="66"/>
      <c r="B53" s="78" t="s">
        <v>1756</v>
      </c>
    </row>
    <row r="54" spans="1:37" s="435" customFormat="1"/>
    <row r="55" spans="1:37" s="435" customFormat="1">
      <c r="D55" s="435" t="s">
        <v>185</v>
      </c>
      <c r="E55" s="435" t="s">
        <v>185</v>
      </c>
      <c r="F55" s="435" t="s">
        <v>3147</v>
      </c>
      <c r="G55" s="435" t="s">
        <v>12</v>
      </c>
      <c r="H55" s="435" t="s">
        <v>1772</v>
      </c>
      <c r="I55" s="435" t="s">
        <v>7</v>
      </c>
      <c r="AC55" s="435" t="s">
        <v>2</v>
      </c>
      <c r="AE55" s="93">
        <f>SUMIF('3.3 Allowances'!$H$85:$H$99,$H55,'3.3 Allowances'!AE$85:AE$99)</f>
        <v>0</v>
      </c>
      <c r="AF55" s="93">
        <f>SUMIF('3.3 Allowances'!$H$85:$H$99,$H55,'3.3 Allowances'!AF$85:AF$99)</f>
        <v>0</v>
      </c>
      <c r="AG55" s="93">
        <f>SUMIF('3.3 Allowances'!$H$85:$H$99,$H55,'3.3 Allowances'!AG$85:AG$99)</f>
        <v>0</v>
      </c>
      <c r="AH55" s="93">
        <f>SUMIF('3.3 Allowances'!$H$85:$H$99,$H55,'3.3 Allowances'!AH$85:AH$99)</f>
        <v>0</v>
      </c>
      <c r="AI55" s="93">
        <f>SUMIF('3.3 Allowances'!$H$85:$H$99,$H55,'3.3 Allowances'!AI$85:AI$99)</f>
        <v>0</v>
      </c>
      <c r="AK55" s="435" t="s">
        <v>2871</v>
      </c>
    </row>
    <row r="56" spans="1:37" s="435" customFormat="1">
      <c r="D56" s="435" t="s">
        <v>185</v>
      </c>
      <c r="E56" s="435" t="s">
        <v>185</v>
      </c>
      <c r="F56" s="435" t="s">
        <v>3147</v>
      </c>
      <c r="G56" s="435" t="s">
        <v>12</v>
      </c>
      <c r="H56" s="435" t="s">
        <v>1690</v>
      </c>
      <c r="I56" s="435" t="s">
        <v>7</v>
      </c>
      <c r="AC56" s="435" t="s">
        <v>2</v>
      </c>
      <c r="AE56" s="93">
        <f>SUMIF('3.3 Allowances'!$H$85:$H$99,$H56,'3.3 Allowances'!AE$85:AE$99)</f>
        <v>0</v>
      </c>
      <c r="AF56" s="93">
        <f>SUMIF('3.3 Allowances'!$H$85:$H$99,$H56,'3.3 Allowances'!AF$85:AF$99)</f>
        <v>0</v>
      </c>
      <c r="AG56" s="93">
        <f>SUMIF('3.3 Allowances'!$H$85:$H$99,$H56,'3.3 Allowances'!AG$85:AG$99)</f>
        <v>0</v>
      </c>
      <c r="AH56" s="93">
        <f>SUMIF('3.3 Allowances'!$H$85:$H$99,$H56,'3.3 Allowances'!AH$85:AH$99)</f>
        <v>0</v>
      </c>
      <c r="AI56" s="93">
        <f>SUMIF('3.3 Allowances'!$H$85:$H$99,$H56,'3.3 Allowances'!AI$85:AI$99)</f>
        <v>0</v>
      </c>
      <c r="AK56" s="435" t="s">
        <v>2871</v>
      </c>
    </row>
    <row r="57" spans="1:37" s="435" customFormat="1">
      <c r="D57" s="435" t="s">
        <v>185</v>
      </c>
      <c r="E57" s="435" t="s">
        <v>185</v>
      </c>
      <c r="F57" s="435" t="s">
        <v>3147</v>
      </c>
      <c r="G57" s="435" t="s">
        <v>12</v>
      </c>
      <c r="H57" s="435" t="s">
        <v>1049</v>
      </c>
      <c r="I57" s="435" t="s">
        <v>1</v>
      </c>
      <c r="AC57" s="435" t="s">
        <v>2</v>
      </c>
      <c r="AE57" s="93">
        <f>SUMIF('3.3 Allowances'!$H$85:$H$99,$H57,'3.3 Allowances'!AE$85:AE$99)</f>
        <v>0</v>
      </c>
      <c r="AF57" s="93">
        <f>SUMIF('3.3 Allowances'!$H$85:$H$99,$H57,'3.3 Allowances'!AF$85:AF$99)</f>
        <v>0</v>
      </c>
      <c r="AG57" s="93">
        <f>SUMIF('3.3 Allowances'!$H$85:$H$99,$H57,'3.3 Allowances'!AG$85:AG$99)</f>
        <v>0</v>
      </c>
      <c r="AH57" s="93">
        <f>SUMIF('3.3 Allowances'!$H$85:$H$99,$H57,'3.3 Allowances'!AH$85:AH$99)</f>
        <v>0</v>
      </c>
      <c r="AI57" s="93">
        <f>SUMIF('3.3 Allowances'!$H$85:$H$99,$H57,'3.3 Allowances'!AI$85:AI$99)</f>
        <v>0</v>
      </c>
      <c r="AK57" s="435" t="s">
        <v>2871</v>
      </c>
    </row>
    <row r="58" spans="1:37" s="435" customFormat="1">
      <c r="D58" s="435" t="s">
        <v>185</v>
      </c>
      <c r="E58" s="435" t="s">
        <v>185</v>
      </c>
      <c r="F58" s="435" t="s">
        <v>3147</v>
      </c>
      <c r="G58" s="435" t="s">
        <v>12</v>
      </c>
      <c r="H58" s="435" t="s">
        <v>209</v>
      </c>
      <c r="I58" s="435" t="s">
        <v>1</v>
      </c>
      <c r="AC58" s="435" t="s">
        <v>2</v>
      </c>
      <c r="AE58" s="93">
        <f>SUMIF('3.3 Allowances'!$H$85:$H$99,$H58,'3.3 Allowances'!AE$85:AE$99)</f>
        <v>0</v>
      </c>
      <c r="AF58" s="93">
        <f>SUMIF('3.3 Allowances'!$H$85:$H$99,$H58,'3.3 Allowances'!AF$85:AF$99)</f>
        <v>0</v>
      </c>
      <c r="AG58" s="93">
        <f>SUMIF('3.3 Allowances'!$H$85:$H$99,$H58,'3.3 Allowances'!AG$85:AG$99)</f>
        <v>0</v>
      </c>
      <c r="AH58" s="93">
        <f>SUMIF('3.3 Allowances'!$H$85:$H$99,$H58,'3.3 Allowances'!AH$85:AH$99)</f>
        <v>0</v>
      </c>
      <c r="AI58" s="93">
        <f>SUMIF('3.3 Allowances'!$H$85:$H$99,$H58,'3.3 Allowances'!AI$85:AI$99)</f>
        <v>0</v>
      </c>
      <c r="AK58" s="435" t="s">
        <v>2871</v>
      </c>
    </row>
    <row r="59" spans="1:37" s="435" customFormat="1"/>
    <row r="60" spans="1:37" s="1" customFormat="1" ht="13.9">
      <c r="A60" s="66"/>
      <c r="B60" s="78" t="s">
        <v>2652</v>
      </c>
    </row>
    <row r="61" spans="1:37" s="435" customFormat="1"/>
    <row r="62" spans="1:37" s="435" customFormat="1">
      <c r="D62" s="435" t="s">
        <v>185</v>
      </c>
      <c r="E62" s="435" t="s">
        <v>185</v>
      </c>
      <c r="F62" s="435" t="s">
        <v>3148</v>
      </c>
      <c r="G62" s="435" t="s">
        <v>12</v>
      </c>
      <c r="H62" s="435" t="s">
        <v>1772</v>
      </c>
      <c r="I62" s="435" t="s">
        <v>7</v>
      </c>
      <c r="AC62" s="435" t="s">
        <v>2</v>
      </c>
      <c r="AE62" s="93">
        <f>AE48-AE55</f>
        <v>0</v>
      </c>
      <c r="AF62" s="93">
        <f t="shared" ref="AF62:AI62" si="8">AF48-AF55</f>
        <v>0</v>
      </c>
      <c r="AG62" s="93">
        <f t="shared" si="8"/>
        <v>0</v>
      </c>
      <c r="AH62" s="93">
        <f t="shared" si="8"/>
        <v>0</v>
      </c>
      <c r="AI62" s="93">
        <f t="shared" si="8"/>
        <v>0</v>
      </c>
    </row>
    <row r="63" spans="1:37" s="435" customFormat="1">
      <c r="D63" s="435" t="s">
        <v>185</v>
      </c>
      <c r="E63" s="435" t="s">
        <v>185</v>
      </c>
      <c r="F63" s="435" t="s">
        <v>3148</v>
      </c>
      <c r="G63" s="435" t="s">
        <v>12</v>
      </c>
      <c r="H63" s="435" t="s">
        <v>1690</v>
      </c>
      <c r="I63" s="435" t="s">
        <v>7</v>
      </c>
      <c r="AC63" s="435" t="s">
        <v>2</v>
      </c>
      <c r="AE63" s="93">
        <f t="shared" ref="AE63:AI63" si="9">AE49-AE56</f>
        <v>0</v>
      </c>
      <c r="AF63" s="93">
        <f t="shared" si="9"/>
        <v>0</v>
      </c>
      <c r="AG63" s="93">
        <f t="shared" si="9"/>
        <v>0</v>
      </c>
      <c r="AH63" s="93">
        <f t="shared" si="9"/>
        <v>0</v>
      </c>
      <c r="AI63" s="93">
        <f t="shared" si="9"/>
        <v>0</v>
      </c>
    </row>
    <row r="64" spans="1:37" s="435" customFormat="1">
      <c r="D64" s="435" t="s">
        <v>185</v>
      </c>
      <c r="E64" s="435" t="s">
        <v>185</v>
      </c>
      <c r="F64" s="435" t="s">
        <v>3148</v>
      </c>
      <c r="G64" s="435" t="s">
        <v>12</v>
      </c>
      <c r="H64" s="435" t="s">
        <v>1049</v>
      </c>
      <c r="I64" s="435" t="s">
        <v>1</v>
      </c>
      <c r="AC64" s="435" t="s">
        <v>2</v>
      </c>
      <c r="AE64" s="93">
        <f t="shared" ref="AE64:AI64" si="10">AE50-AE57</f>
        <v>0</v>
      </c>
      <c r="AF64" s="93">
        <f t="shared" si="10"/>
        <v>0</v>
      </c>
      <c r="AG64" s="93">
        <f t="shared" si="10"/>
        <v>0</v>
      </c>
      <c r="AH64" s="93">
        <f t="shared" si="10"/>
        <v>0</v>
      </c>
      <c r="AI64" s="93">
        <f t="shared" si="10"/>
        <v>0</v>
      </c>
    </row>
    <row r="65" spans="1:35" s="435" customFormat="1">
      <c r="D65" s="435" t="s">
        <v>185</v>
      </c>
      <c r="E65" s="435" t="s">
        <v>185</v>
      </c>
      <c r="F65" s="435" t="s">
        <v>3148</v>
      </c>
      <c r="G65" s="435" t="s">
        <v>12</v>
      </c>
      <c r="H65" s="435" t="s">
        <v>209</v>
      </c>
      <c r="I65" s="435" t="s">
        <v>1</v>
      </c>
      <c r="AC65" s="435" t="s">
        <v>2</v>
      </c>
      <c r="AE65" s="93">
        <f t="shared" ref="AE65:AI65" si="11">AE51-AE58</f>
        <v>0</v>
      </c>
      <c r="AF65" s="93">
        <f t="shared" si="11"/>
        <v>0</v>
      </c>
      <c r="AG65" s="93">
        <f t="shared" si="11"/>
        <v>0</v>
      </c>
      <c r="AH65" s="93">
        <f t="shared" si="11"/>
        <v>0</v>
      </c>
      <c r="AI65" s="93">
        <f t="shared" si="11"/>
        <v>0</v>
      </c>
    </row>
    <row r="66" spans="1:35" s="435" customFormat="1"/>
    <row r="67" spans="1:35" s="73" customFormat="1" ht="18">
      <c r="A67" s="74" t="s">
        <v>76</v>
      </c>
    </row>
  </sheetData>
  <mergeCells count="2">
    <mergeCell ref="AE5:AI5"/>
    <mergeCell ref="AE6:AI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K54"/>
  <sheetViews>
    <sheetView zoomScale="70" zoomScaleNormal="70" workbookViewId="0"/>
  </sheetViews>
  <sheetFormatPr defaultColWidth="9.1328125" defaultRowHeight="14.25"/>
  <cols>
    <col min="1" max="3" width="1.73046875" style="435" customWidth="1"/>
    <col min="4" max="4" width="8.1328125" style="435" bestFit="1" customWidth="1"/>
    <col min="5" max="5" width="5" style="435" bestFit="1" customWidth="1"/>
    <col min="6" max="6" width="9.3984375" style="435" bestFit="1" customWidth="1"/>
    <col min="7" max="7" width="5" style="435" customWidth="1"/>
    <col min="8" max="8" width="25.73046875" style="435" bestFit="1" customWidth="1"/>
    <col min="9" max="9" width="9.3984375" style="435" bestFit="1" customWidth="1"/>
    <col min="10" max="10" width="43" style="435" customWidth="1"/>
    <col min="11" max="11" width="22" style="435" bestFit="1" customWidth="1"/>
    <col min="12" max="12" width="24.265625" style="435" bestFit="1" customWidth="1"/>
    <col min="13" max="13" width="9.1328125" style="435"/>
    <col min="14" max="14" width="6" style="435" customWidth="1"/>
    <col min="15" max="15" width="14.86328125" style="435" bestFit="1" customWidth="1"/>
    <col min="16" max="17" width="1.73046875" style="435" customWidth="1"/>
    <col min="18" max="28" width="1.73046875" style="435" hidden="1" customWidth="1"/>
    <col min="29" max="29" width="5" style="435" bestFit="1" customWidth="1"/>
    <col min="30" max="30" width="7.73046875" style="435" customWidth="1"/>
    <col min="31" max="36" width="9.1328125" style="435"/>
    <col min="37" max="37" width="15.73046875" style="435" customWidth="1"/>
    <col min="38" max="16384" width="9.1328125" style="435"/>
  </cols>
  <sheetData>
    <row r="1" spans="1:37" s="73" customFormat="1" ht="23.25">
      <c r="A1" s="89" t="str">
        <f>'1.1 Cover'!A2</f>
        <v>Regulatory Reporting Pack</v>
      </c>
    </row>
    <row r="2" spans="1:37" s="73" customFormat="1" ht="23.25">
      <c r="A2" s="89" t="str">
        <f>'1.1 Cover'!A3</f>
        <v>Price base - 2018/19</v>
      </c>
    </row>
    <row r="3" spans="1:37" s="73" customFormat="1" ht="23.25">
      <c r="A3" s="89" t="str">
        <f>'1.1 Cover'!A4</f>
        <v>Regulatory Year: April 2021 - March 2022</v>
      </c>
    </row>
    <row r="4" spans="1:37" s="73" customFormat="1" ht="23.25">
      <c r="A4" s="89" t="s">
        <v>2861</v>
      </c>
    </row>
    <row r="5" spans="1:37">
      <c r="AE5" s="1350" t="s">
        <v>2625</v>
      </c>
      <c r="AF5" s="1350"/>
      <c r="AG5" s="1350"/>
      <c r="AH5" s="1350"/>
      <c r="AI5" s="1350"/>
    </row>
    <row r="6" spans="1:37">
      <c r="AE6" s="1347" t="s">
        <v>112</v>
      </c>
      <c r="AF6" s="1348"/>
      <c r="AG6" s="1348"/>
      <c r="AH6" s="1348"/>
      <c r="AI6" s="1349"/>
      <c r="AK6" s="435" t="s">
        <v>64</v>
      </c>
    </row>
    <row r="7" spans="1:37" s="67" customFormat="1">
      <c r="D7" s="87" t="s">
        <v>111</v>
      </c>
      <c r="E7" s="87" t="s">
        <v>68</v>
      </c>
      <c r="F7" s="87" t="s">
        <v>12</v>
      </c>
      <c r="G7" s="87" t="s">
        <v>3145</v>
      </c>
      <c r="H7" s="87" t="s">
        <v>110</v>
      </c>
      <c r="I7" s="87" t="s">
        <v>109</v>
      </c>
      <c r="J7" s="87" t="s">
        <v>108</v>
      </c>
      <c r="K7" s="87" t="s">
        <v>107</v>
      </c>
      <c r="L7" s="87" t="s">
        <v>106</v>
      </c>
      <c r="M7" s="87" t="s">
        <v>105</v>
      </c>
      <c r="N7" s="87"/>
      <c r="O7" s="87"/>
      <c r="P7" s="87"/>
      <c r="Q7" s="87"/>
      <c r="R7" s="86" t="s">
        <v>101</v>
      </c>
      <c r="S7" s="86" t="s">
        <v>100</v>
      </c>
      <c r="T7" s="86" t="s">
        <v>99</v>
      </c>
      <c r="U7" s="86" t="s">
        <v>98</v>
      </c>
      <c r="V7" s="86" t="s">
        <v>97</v>
      </c>
      <c r="W7" s="86" t="s">
        <v>96</v>
      </c>
      <c r="X7" s="86" t="s">
        <v>95</v>
      </c>
      <c r="Y7" s="86" t="s">
        <v>94</v>
      </c>
      <c r="Z7" s="86" t="s">
        <v>93</v>
      </c>
      <c r="AA7" s="86" t="s">
        <v>92</v>
      </c>
      <c r="AB7" s="86" t="s">
        <v>91</v>
      </c>
      <c r="AC7" s="67" t="s">
        <v>5</v>
      </c>
      <c r="AD7" s="435"/>
      <c r="AE7" s="84">
        <v>2022</v>
      </c>
      <c r="AF7" s="83">
        <v>2023</v>
      </c>
      <c r="AG7" s="83">
        <v>2024</v>
      </c>
      <c r="AH7" s="83">
        <v>2025</v>
      </c>
      <c r="AI7" s="82">
        <v>2026</v>
      </c>
      <c r="AJ7" s="435"/>
      <c r="AK7" s="67">
        <f>'1.5 Universal Data'!C8</f>
        <v>2022</v>
      </c>
    </row>
    <row r="8" spans="1:37">
      <c r="R8" s="67"/>
      <c r="S8" s="67"/>
      <c r="T8" s="67"/>
      <c r="U8" s="67"/>
    </row>
    <row r="9" spans="1:37" s="1" customFormat="1" ht="17.649999999999999">
      <c r="A9" s="2" t="s">
        <v>2630</v>
      </c>
      <c r="B9" s="2"/>
    </row>
    <row r="11" spans="1:37" s="1" customFormat="1" ht="13.9">
      <c r="A11" s="66"/>
      <c r="B11" s="78" t="s">
        <v>2736</v>
      </c>
    </row>
    <row r="13" spans="1:37">
      <c r="D13" s="435" t="s">
        <v>79</v>
      </c>
      <c r="E13" s="435" t="s">
        <v>79</v>
      </c>
      <c r="F13" s="435" t="s">
        <v>1811</v>
      </c>
      <c r="G13" s="435" t="s">
        <v>2735</v>
      </c>
      <c r="H13" s="435" t="s">
        <v>276</v>
      </c>
      <c r="I13" s="435" t="s">
        <v>7</v>
      </c>
      <c r="AC13" s="435" t="s">
        <v>2</v>
      </c>
      <c r="AE13" s="687"/>
      <c r="AF13" s="687"/>
      <c r="AG13" s="687"/>
      <c r="AH13" s="687"/>
      <c r="AI13" s="687"/>
    </row>
    <row r="14" spans="1:37">
      <c r="D14" s="435" t="s">
        <v>79</v>
      </c>
      <c r="E14" s="435" t="s">
        <v>79</v>
      </c>
      <c r="F14" s="435" t="s">
        <v>1811</v>
      </c>
      <c r="G14" s="435" t="s">
        <v>2735</v>
      </c>
      <c r="H14" s="435" t="s">
        <v>1759</v>
      </c>
      <c r="I14" s="435" t="s">
        <v>7</v>
      </c>
      <c r="J14" s="435" t="s">
        <v>1760</v>
      </c>
      <c r="AC14" s="435" t="s">
        <v>2</v>
      </c>
      <c r="AE14" s="1323" t="str">
        <f>IF(AE7&lt;=$AK$7,"",SUM('6.1_Capex_summary'!AE41:AE49))</f>
        <v/>
      </c>
      <c r="AF14" s="1323">
        <f>IF(AF7&lt;=$AK$7,"",SUM('6.1_Capex_summary'!AF41:AF49))</f>
        <v>0</v>
      </c>
      <c r="AG14" s="1323">
        <f>IF(AG7&lt;=$AK$7,"",SUM('6.1_Capex_summary'!AG41:AG49))</f>
        <v>0</v>
      </c>
      <c r="AH14" s="1323">
        <f>IF(AH7&lt;=$AK$7,"",SUM('6.1_Capex_summary'!AH41:AH49))</f>
        <v>0</v>
      </c>
      <c r="AI14" s="1323">
        <f>IF(AI7&lt;=$AK$7,"",SUM('6.1_Capex_summary'!AI41:AI49))</f>
        <v>0</v>
      </c>
      <c r="AJ14" s="436"/>
    </row>
    <row r="15" spans="1:37">
      <c r="D15" s="435" t="s">
        <v>79</v>
      </c>
      <c r="E15" s="435" t="s">
        <v>79</v>
      </c>
      <c r="F15" s="435" t="s">
        <v>1811</v>
      </c>
      <c r="G15" s="435" t="s">
        <v>2735</v>
      </c>
      <c r="H15" s="435" t="s">
        <v>1759</v>
      </c>
      <c r="I15" s="435" t="s">
        <v>7</v>
      </c>
      <c r="J15" s="435" t="s">
        <v>299</v>
      </c>
      <c r="AC15" s="435" t="s">
        <v>2</v>
      </c>
      <c r="AE15" s="687"/>
      <c r="AF15" s="687"/>
      <c r="AG15" s="687"/>
      <c r="AH15" s="687"/>
      <c r="AI15" s="687"/>
    </row>
    <row r="16" spans="1:37">
      <c r="D16" s="435" t="s">
        <v>79</v>
      </c>
      <c r="E16" s="435" t="s">
        <v>79</v>
      </c>
      <c r="F16" s="435" t="s">
        <v>1811</v>
      </c>
      <c r="G16" s="435" t="s">
        <v>2735</v>
      </c>
      <c r="H16" s="435" t="s">
        <v>1759</v>
      </c>
      <c r="I16" s="435" t="s">
        <v>7</v>
      </c>
      <c r="J16" s="435" t="s">
        <v>2646</v>
      </c>
      <c r="AC16" s="435" t="s">
        <v>2</v>
      </c>
      <c r="AE16" s="687"/>
      <c r="AF16" s="687"/>
      <c r="AG16" s="687"/>
      <c r="AH16" s="687"/>
      <c r="AI16" s="687"/>
    </row>
    <row r="17" spans="1:35">
      <c r="D17" s="435" t="s">
        <v>79</v>
      </c>
      <c r="E17" s="435" t="s">
        <v>79</v>
      </c>
      <c r="F17" s="435" t="s">
        <v>1811</v>
      </c>
      <c r="G17" s="435" t="s">
        <v>2735</v>
      </c>
      <c r="H17" s="435" t="s">
        <v>1690</v>
      </c>
      <c r="I17" s="435" t="s">
        <v>7</v>
      </c>
      <c r="J17" s="435" t="s">
        <v>2653</v>
      </c>
      <c r="AC17" s="435" t="s">
        <v>2</v>
      </c>
      <c r="AE17" s="687"/>
      <c r="AF17" s="687"/>
      <c r="AG17" s="687"/>
      <c r="AH17" s="687"/>
      <c r="AI17" s="687"/>
    </row>
    <row r="18" spans="1:35">
      <c r="D18" s="435" t="s">
        <v>79</v>
      </c>
      <c r="E18" s="435" t="s">
        <v>79</v>
      </c>
      <c r="F18" s="435" t="s">
        <v>1811</v>
      </c>
      <c r="G18" s="435" t="s">
        <v>2735</v>
      </c>
      <c r="H18" s="435" t="s">
        <v>1690</v>
      </c>
      <c r="I18" s="435" t="s">
        <v>7</v>
      </c>
      <c r="J18" s="435" t="s">
        <v>1086</v>
      </c>
      <c r="AC18" s="435" t="s">
        <v>2</v>
      </c>
      <c r="AE18" s="687"/>
      <c r="AF18" s="687"/>
      <c r="AG18" s="687"/>
      <c r="AH18" s="687"/>
      <c r="AI18" s="687"/>
    </row>
    <row r="19" spans="1:35">
      <c r="D19" s="435" t="s">
        <v>79</v>
      </c>
      <c r="E19" s="435" t="s">
        <v>79</v>
      </c>
      <c r="F19" s="435" t="s">
        <v>1811</v>
      </c>
      <c r="G19" s="435" t="s">
        <v>2735</v>
      </c>
      <c r="H19" s="435" t="s">
        <v>1049</v>
      </c>
      <c r="I19" s="435" t="s">
        <v>1</v>
      </c>
      <c r="J19" s="435" t="s">
        <v>1774</v>
      </c>
      <c r="AC19" s="435" t="s">
        <v>2</v>
      </c>
      <c r="AE19" s="687"/>
      <c r="AF19" s="687"/>
      <c r="AG19" s="687"/>
      <c r="AH19" s="687"/>
      <c r="AI19" s="687"/>
    </row>
    <row r="20" spans="1:35">
      <c r="D20" s="435" t="s">
        <v>79</v>
      </c>
      <c r="E20" s="435" t="s">
        <v>79</v>
      </c>
      <c r="F20" s="435" t="s">
        <v>1811</v>
      </c>
      <c r="G20" s="435" t="s">
        <v>2735</v>
      </c>
      <c r="H20" s="435" t="s">
        <v>1049</v>
      </c>
      <c r="I20" s="435" t="s">
        <v>1</v>
      </c>
      <c r="J20" s="435" t="s">
        <v>2733</v>
      </c>
      <c r="AC20" s="435" t="s">
        <v>2</v>
      </c>
      <c r="AE20" s="687"/>
      <c r="AF20" s="687"/>
      <c r="AG20" s="687"/>
      <c r="AH20" s="687"/>
      <c r="AI20" s="687"/>
    </row>
    <row r="21" spans="1:35">
      <c r="D21" s="435" t="s">
        <v>79</v>
      </c>
      <c r="E21" s="435" t="s">
        <v>79</v>
      </c>
      <c r="F21" s="435" t="s">
        <v>1811</v>
      </c>
      <c r="G21" s="435" t="s">
        <v>2735</v>
      </c>
      <c r="H21" s="435" t="s">
        <v>1049</v>
      </c>
      <c r="I21" s="435" t="s">
        <v>1</v>
      </c>
      <c r="J21" s="435" t="s">
        <v>3142</v>
      </c>
      <c r="AC21" s="435" t="s">
        <v>2</v>
      </c>
      <c r="AE21" s="687"/>
      <c r="AF21" s="687"/>
      <c r="AG21" s="687"/>
      <c r="AH21" s="687"/>
      <c r="AI21" s="687"/>
    </row>
    <row r="22" spans="1:35">
      <c r="D22" s="435" t="s">
        <v>79</v>
      </c>
      <c r="E22" s="435" t="s">
        <v>79</v>
      </c>
      <c r="F22" s="435" t="s">
        <v>1811</v>
      </c>
      <c r="G22" s="435" t="s">
        <v>2735</v>
      </c>
      <c r="H22" s="435" t="s">
        <v>1768</v>
      </c>
      <c r="I22" s="435" t="s">
        <v>1</v>
      </c>
      <c r="J22" s="435" t="s">
        <v>2734</v>
      </c>
      <c r="AC22" s="435" t="s">
        <v>2</v>
      </c>
      <c r="AE22" s="687"/>
      <c r="AF22" s="687"/>
      <c r="AG22" s="687"/>
      <c r="AH22" s="687"/>
      <c r="AI22" s="687"/>
    </row>
    <row r="23" spans="1:35">
      <c r="D23" s="435" t="s">
        <v>79</v>
      </c>
      <c r="E23" s="435" t="s">
        <v>79</v>
      </c>
      <c r="F23" s="435" t="s">
        <v>1811</v>
      </c>
      <c r="G23" s="435" t="s">
        <v>2735</v>
      </c>
      <c r="H23" s="435" t="s">
        <v>1768</v>
      </c>
      <c r="I23" s="435" t="s">
        <v>1</v>
      </c>
      <c r="J23" s="435" t="s">
        <v>144</v>
      </c>
      <c r="AC23" s="435" t="s">
        <v>2</v>
      </c>
      <c r="AE23" s="687"/>
      <c r="AF23" s="687"/>
      <c r="AG23" s="687"/>
      <c r="AH23" s="687"/>
      <c r="AI23" s="687"/>
    </row>
    <row r="24" spans="1:35">
      <c r="D24" s="435" t="s">
        <v>79</v>
      </c>
      <c r="E24" s="435" t="s">
        <v>79</v>
      </c>
      <c r="F24" s="435" t="s">
        <v>1811</v>
      </c>
      <c r="G24" s="435" t="s">
        <v>2735</v>
      </c>
      <c r="H24" s="435" t="s">
        <v>1768</v>
      </c>
      <c r="I24" s="435" t="s">
        <v>1</v>
      </c>
      <c r="J24" s="435" t="s">
        <v>2701</v>
      </c>
      <c r="AC24" s="435" t="s">
        <v>2</v>
      </c>
      <c r="AE24" s="687"/>
      <c r="AF24" s="687"/>
      <c r="AG24" s="687"/>
      <c r="AH24" s="687"/>
      <c r="AI24" s="687"/>
    </row>
    <row r="25" spans="1:35">
      <c r="D25" s="435" t="s">
        <v>79</v>
      </c>
      <c r="E25" s="435" t="s">
        <v>79</v>
      </c>
      <c r="F25" s="435" t="s">
        <v>1811</v>
      </c>
      <c r="G25" s="435" t="s">
        <v>2735</v>
      </c>
      <c r="H25" s="435" t="s">
        <v>1768</v>
      </c>
      <c r="I25" s="435" t="s">
        <v>1</v>
      </c>
      <c r="J25" s="435" t="s">
        <v>3141</v>
      </c>
      <c r="AC25" s="435" t="s">
        <v>2</v>
      </c>
      <c r="AE25" s="687"/>
      <c r="AF25" s="687"/>
      <c r="AG25" s="687"/>
      <c r="AH25" s="687"/>
      <c r="AI25" s="687"/>
    </row>
    <row r="27" spans="1:35" s="1" customFormat="1" ht="13.9">
      <c r="A27" s="66"/>
      <c r="B27" s="78" t="s">
        <v>2737</v>
      </c>
    </row>
    <row r="29" spans="1:35">
      <c r="D29" s="435" t="s">
        <v>79</v>
      </c>
      <c r="E29" s="435" t="s">
        <v>79</v>
      </c>
      <c r="F29" s="435" t="s">
        <v>1811</v>
      </c>
      <c r="G29" s="435" t="s">
        <v>2735</v>
      </c>
      <c r="H29" s="435" t="s">
        <v>276</v>
      </c>
      <c r="I29" s="435" t="s">
        <v>7</v>
      </c>
      <c r="AC29" s="435" t="s">
        <v>2</v>
      </c>
      <c r="AE29" s="81"/>
      <c r="AF29" s="687"/>
      <c r="AG29" s="687"/>
      <c r="AH29" s="687"/>
      <c r="AI29" s="687"/>
    </row>
    <row r="30" spans="1:35">
      <c r="D30" s="435" t="s">
        <v>79</v>
      </c>
      <c r="E30" s="435" t="s">
        <v>79</v>
      </c>
      <c r="F30" s="435" t="s">
        <v>1811</v>
      </c>
      <c r="G30" s="435" t="s">
        <v>2735</v>
      </c>
      <c r="H30" s="435" t="s">
        <v>1759</v>
      </c>
      <c r="I30" s="435" t="s">
        <v>7</v>
      </c>
      <c r="J30" s="435" t="s">
        <v>1760</v>
      </c>
      <c r="AC30" s="435" t="s">
        <v>2</v>
      </c>
      <c r="AE30" s="81"/>
      <c r="AF30" s="687"/>
      <c r="AG30" s="687"/>
      <c r="AH30" s="687"/>
      <c r="AI30" s="687"/>
    </row>
    <row r="31" spans="1:35">
      <c r="D31" s="435" t="s">
        <v>79</v>
      </c>
      <c r="E31" s="435" t="s">
        <v>79</v>
      </c>
      <c r="F31" s="435" t="s">
        <v>1811</v>
      </c>
      <c r="G31" s="435" t="s">
        <v>2735</v>
      </c>
      <c r="H31" s="435" t="s">
        <v>1759</v>
      </c>
      <c r="I31" s="435" t="s">
        <v>7</v>
      </c>
      <c r="J31" s="435" t="s">
        <v>299</v>
      </c>
      <c r="AC31" s="435" t="s">
        <v>2</v>
      </c>
      <c r="AE31" s="81"/>
      <c r="AF31" s="687"/>
      <c r="AG31" s="687"/>
      <c r="AH31" s="687"/>
      <c r="AI31" s="687"/>
    </row>
    <row r="32" spans="1:35">
      <c r="D32" s="435" t="s">
        <v>79</v>
      </c>
      <c r="E32" s="435" t="s">
        <v>79</v>
      </c>
      <c r="F32" s="435" t="s">
        <v>1811</v>
      </c>
      <c r="G32" s="435" t="s">
        <v>2735</v>
      </c>
      <c r="H32" s="435" t="s">
        <v>1759</v>
      </c>
      <c r="I32" s="435" t="s">
        <v>7</v>
      </c>
      <c r="J32" s="435" t="s">
        <v>2646</v>
      </c>
      <c r="AC32" s="435" t="s">
        <v>2</v>
      </c>
      <c r="AE32" s="81"/>
      <c r="AF32" s="687"/>
      <c r="AG32" s="687"/>
      <c r="AH32" s="687"/>
      <c r="AI32" s="687"/>
    </row>
    <row r="33" spans="1:35">
      <c r="D33" s="435" t="s">
        <v>79</v>
      </c>
      <c r="E33" s="435" t="s">
        <v>79</v>
      </c>
      <c r="F33" s="435" t="s">
        <v>1811</v>
      </c>
      <c r="G33" s="435" t="s">
        <v>2735</v>
      </c>
      <c r="H33" s="435" t="s">
        <v>1690</v>
      </c>
      <c r="I33" s="435" t="s">
        <v>7</v>
      </c>
      <c r="J33" s="435" t="s">
        <v>2653</v>
      </c>
      <c r="AC33" s="435" t="s">
        <v>2</v>
      </c>
      <c r="AE33" s="81"/>
      <c r="AF33" s="687"/>
      <c r="AG33" s="687"/>
      <c r="AH33" s="687"/>
      <c r="AI33" s="687"/>
    </row>
    <row r="34" spans="1:35">
      <c r="D34" s="435" t="s">
        <v>79</v>
      </c>
      <c r="E34" s="435" t="s">
        <v>79</v>
      </c>
      <c r="F34" s="435" t="s">
        <v>1811</v>
      </c>
      <c r="G34" s="435" t="s">
        <v>2735</v>
      </c>
      <c r="H34" s="435" t="s">
        <v>1690</v>
      </c>
      <c r="I34" s="435" t="s">
        <v>7</v>
      </c>
      <c r="J34" s="435" t="s">
        <v>1086</v>
      </c>
      <c r="AC34" s="435" t="s">
        <v>2</v>
      </c>
      <c r="AE34" s="81"/>
      <c r="AF34" s="687"/>
      <c r="AG34" s="687"/>
      <c r="AH34" s="687"/>
      <c r="AI34" s="687"/>
    </row>
    <row r="35" spans="1:35">
      <c r="D35" s="435" t="s">
        <v>79</v>
      </c>
      <c r="E35" s="435" t="s">
        <v>79</v>
      </c>
      <c r="F35" s="435" t="s">
        <v>1811</v>
      </c>
      <c r="G35" s="435" t="s">
        <v>2735</v>
      </c>
      <c r="H35" s="435" t="s">
        <v>1049</v>
      </c>
      <c r="I35" s="435" t="s">
        <v>1</v>
      </c>
      <c r="J35" s="435" t="s">
        <v>2733</v>
      </c>
      <c r="AC35" s="435" t="s">
        <v>2</v>
      </c>
      <c r="AE35" s="81"/>
      <c r="AF35" s="687"/>
      <c r="AG35" s="687"/>
      <c r="AH35" s="687"/>
      <c r="AI35" s="687"/>
    </row>
    <row r="36" spans="1:35">
      <c r="D36" s="435" t="s">
        <v>79</v>
      </c>
      <c r="E36" s="435" t="s">
        <v>79</v>
      </c>
      <c r="F36" s="435" t="s">
        <v>1811</v>
      </c>
      <c r="G36" s="435" t="s">
        <v>2735</v>
      </c>
      <c r="H36" s="435" t="s">
        <v>1768</v>
      </c>
      <c r="I36" s="435" t="s">
        <v>1</v>
      </c>
      <c r="J36" s="435" t="s">
        <v>3141</v>
      </c>
      <c r="AC36" s="435" t="s">
        <v>2</v>
      </c>
      <c r="AE36" s="81"/>
      <c r="AF36" s="687"/>
      <c r="AG36" s="687"/>
      <c r="AH36" s="687"/>
      <c r="AI36" s="687"/>
    </row>
    <row r="38" spans="1:35" s="1" customFormat="1" ht="17.649999999999999">
      <c r="A38" s="2" t="s">
        <v>1753</v>
      </c>
      <c r="B38" s="2"/>
    </row>
    <row r="40" spans="1:35" s="1" customFormat="1" ht="13.9">
      <c r="A40" s="66"/>
      <c r="B40" s="78" t="s">
        <v>2736</v>
      </c>
    </row>
    <row r="42" spans="1:35">
      <c r="D42" s="435" t="s">
        <v>185</v>
      </c>
      <c r="E42" s="435" t="s">
        <v>185</v>
      </c>
      <c r="F42" s="435" t="s">
        <v>1811</v>
      </c>
      <c r="G42" s="435" t="s">
        <v>2735</v>
      </c>
      <c r="H42" s="435" t="s">
        <v>1772</v>
      </c>
      <c r="I42" s="435" t="s">
        <v>7</v>
      </c>
      <c r="J42" s="435" t="s">
        <v>2653</v>
      </c>
      <c r="AC42" s="435" t="s">
        <v>2</v>
      </c>
      <c r="AE42" s="81"/>
      <c r="AF42" s="687"/>
      <c r="AG42" s="687"/>
      <c r="AH42" s="687"/>
      <c r="AI42" s="687"/>
    </row>
    <row r="43" spans="1:35">
      <c r="D43" s="435" t="s">
        <v>185</v>
      </c>
      <c r="E43" s="435" t="s">
        <v>185</v>
      </c>
      <c r="F43" s="435" t="s">
        <v>1811</v>
      </c>
      <c r="G43" s="435" t="s">
        <v>2735</v>
      </c>
      <c r="H43" s="435" t="s">
        <v>1690</v>
      </c>
      <c r="I43" s="435" t="s">
        <v>7</v>
      </c>
      <c r="AC43" s="435" t="s">
        <v>2</v>
      </c>
      <c r="AE43" s="81"/>
      <c r="AF43" s="687"/>
      <c r="AG43" s="687"/>
      <c r="AH43" s="687"/>
      <c r="AI43" s="687"/>
    </row>
    <row r="44" spans="1:35">
      <c r="D44" s="435" t="s">
        <v>185</v>
      </c>
      <c r="E44" s="435" t="s">
        <v>185</v>
      </c>
      <c r="F44" s="435" t="s">
        <v>1811</v>
      </c>
      <c r="G44" s="435" t="s">
        <v>2735</v>
      </c>
      <c r="H44" s="435" t="s">
        <v>1049</v>
      </c>
      <c r="I44" s="435" t="s">
        <v>1</v>
      </c>
      <c r="J44" s="435" t="s">
        <v>1774</v>
      </c>
      <c r="AC44" s="435" t="s">
        <v>2</v>
      </c>
      <c r="AE44" s="81"/>
      <c r="AF44" s="687"/>
      <c r="AG44" s="687"/>
      <c r="AH44" s="687"/>
      <c r="AI44" s="687"/>
    </row>
    <row r="45" spans="1:35">
      <c r="D45" s="435" t="s">
        <v>185</v>
      </c>
      <c r="E45" s="435" t="s">
        <v>185</v>
      </c>
      <c r="F45" s="435" t="s">
        <v>1811</v>
      </c>
      <c r="G45" s="435" t="s">
        <v>2735</v>
      </c>
      <c r="H45" s="435" t="s">
        <v>1049</v>
      </c>
      <c r="I45" s="435" t="s">
        <v>1</v>
      </c>
      <c r="J45" s="435" t="s">
        <v>2733</v>
      </c>
      <c r="AC45" s="435" t="s">
        <v>2</v>
      </c>
      <c r="AE45" s="81"/>
      <c r="AF45" s="687"/>
      <c r="AG45" s="687"/>
      <c r="AH45" s="687"/>
      <c r="AI45" s="687"/>
    </row>
    <row r="46" spans="1:35">
      <c r="D46" s="435" t="s">
        <v>185</v>
      </c>
      <c r="E46" s="435" t="s">
        <v>185</v>
      </c>
      <c r="F46" s="435" t="s">
        <v>1811</v>
      </c>
      <c r="G46" s="435" t="s">
        <v>2735</v>
      </c>
      <c r="H46" s="435" t="s">
        <v>1049</v>
      </c>
      <c r="I46" s="435" t="s">
        <v>1</v>
      </c>
      <c r="J46" s="435" t="s">
        <v>3143</v>
      </c>
      <c r="AC46" s="435" t="s">
        <v>2</v>
      </c>
      <c r="AE46" s="81"/>
      <c r="AF46" s="687"/>
      <c r="AG46" s="687"/>
      <c r="AH46" s="687"/>
      <c r="AI46" s="687"/>
    </row>
    <row r="47" spans="1:35">
      <c r="D47" s="435" t="s">
        <v>185</v>
      </c>
      <c r="E47" s="435" t="s">
        <v>185</v>
      </c>
      <c r="F47" s="435" t="s">
        <v>1811</v>
      </c>
      <c r="G47" s="435" t="s">
        <v>2735</v>
      </c>
      <c r="H47" s="435" t="s">
        <v>209</v>
      </c>
      <c r="I47" s="435" t="s">
        <v>1</v>
      </c>
      <c r="J47" s="435" t="s">
        <v>11</v>
      </c>
      <c r="AC47" s="435" t="s">
        <v>2</v>
      </c>
      <c r="AE47" s="81"/>
      <c r="AF47" s="687"/>
      <c r="AG47" s="687"/>
      <c r="AH47" s="687"/>
      <c r="AI47" s="687"/>
    </row>
    <row r="49" spans="1:35" s="1" customFormat="1" ht="13.9">
      <c r="A49" s="66"/>
      <c r="B49" s="78" t="s">
        <v>2737</v>
      </c>
    </row>
    <row r="51" spans="1:35">
      <c r="D51" s="435" t="s">
        <v>185</v>
      </c>
      <c r="E51" s="435" t="s">
        <v>185</v>
      </c>
      <c r="F51" s="435" t="s">
        <v>1811</v>
      </c>
      <c r="G51" s="435" t="s">
        <v>2735</v>
      </c>
      <c r="H51" s="435" t="s">
        <v>1772</v>
      </c>
      <c r="I51" s="435" t="s">
        <v>7</v>
      </c>
      <c r="J51" s="435" t="s">
        <v>2653</v>
      </c>
      <c r="AC51" s="435" t="s">
        <v>2</v>
      </c>
      <c r="AE51" s="81"/>
      <c r="AF51" s="687"/>
      <c r="AG51" s="687"/>
      <c r="AH51" s="687"/>
      <c r="AI51" s="687"/>
    </row>
    <row r="52" spans="1:35">
      <c r="D52" s="435" t="s">
        <v>185</v>
      </c>
      <c r="E52" s="435" t="s">
        <v>185</v>
      </c>
      <c r="F52" s="435" t="s">
        <v>1811</v>
      </c>
      <c r="G52" s="435" t="s">
        <v>2735</v>
      </c>
      <c r="H52" s="435" t="s">
        <v>1690</v>
      </c>
      <c r="I52" s="435" t="s">
        <v>7</v>
      </c>
      <c r="AC52" s="435" t="s">
        <v>2</v>
      </c>
      <c r="AE52" s="81"/>
      <c r="AF52" s="687"/>
      <c r="AG52" s="687"/>
      <c r="AH52" s="687"/>
      <c r="AI52" s="687"/>
    </row>
    <row r="54" spans="1:35" s="73" customFormat="1" ht="18">
      <c r="A54" s="74" t="s">
        <v>76</v>
      </c>
    </row>
  </sheetData>
  <mergeCells count="2">
    <mergeCell ref="AE5:AI5"/>
    <mergeCell ref="AE6:AI6"/>
  </mergeCells>
  <conditionalFormatting sqref="AE29:AE36 AE42:AE47 AE51:AE52 AE13:AE25">
    <cfRule type="expression" dxfId="4" priority="5">
      <formula>$AE$7&lt;=$AK$7</formula>
    </cfRule>
  </conditionalFormatting>
  <conditionalFormatting sqref="AF29:AF36 AF42:AF47 AF51:AF52 AF13:AF25">
    <cfRule type="expression" dxfId="3" priority="4">
      <formula>$AF$7&lt;=$AK$7</formula>
    </cfRule>
  </conditionalFormatting>
  <conditionalFormatting sqref="AG29:AG36 AG42:AG47 AG51:AG52 AG13:AG25">
    <cfRule type="expression" dxfId="2" priority="3">
      <formula>$AG$7&lt;=$AK$7</formula>
    </cfRule>
  </conditionalFormatting>
  <conditionalFormatting sqref="AH29:AH36 AH42:AH47 AH51:AH52 AH13:AH25">
    <cfRule type="expression" dxfId="1" priority="2">
      <formula>$AH$7&lt;=$AK$7</formula>
    </cfRule>
  </conditionalFormatting>
  <conditionalFormatting sqref="AI29:AI36 AI42:AI47 AI51:AI52 AI13:AI25">
    <cfRule type="expression" dxfId="0" priority="1">
      <formula>$AI$7&lt;=$AK$7</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3"/>
  <sheetViews>
    <sheetView showGridLines="0" zoomScale="90" zoomScaleNormal="90" workbookViewId="0">
      <pane ySplit="5" topLeftCell="A6" activePane="bottomLeft" state="frozen"/>
      <selection activeCell="F30" sqref="F30"/>
      <selection pane="bottomLeft"/>
    </sheetView>
  </sheetViews>
  <sheetFormatPr defaultColWidth="10.1328125" defaultRowHeight="12.4"/>
  <cols>
    <col min="1" max="1" width="10.1328125" style="939" customWidth="1"/>
    <col min="2" max="2" width="60.73046875" style="939" customWidth="1"/>
    <col min="3" max="3" width="12.73046875" style="939" customWidth="1"/>
    <col min="4" max="4" width="20.1328125" style="939" customWidth="1"/>
    <col min="5" max="5" width="13.59765625" style="939" customWidth="1"/>
    <col min="6" max="7" width="10.1328125" style="939"/>
    <col min="8" max="12" width="11.86328125" style="939" customWidth="1"/>
    <col min="13" max="16384" width="10.1328125" style="939"/>
  </cols>
  <sheetData>
    <row r="1" spans="1:14" s="934" customFormat="1" ht="14.65">
      <c r="A1" s="930" t="s">
        <v>1418</v>
      </c>
      <c r="B1" s="931"/>
      <c r="C1" s="931"/>
      <c r="D1" s="931"/>
      <c r="E1" s="932"/>
      <c r="F1" s="932"/>
      <c r="G1" s="932"/>
      <c r="H1" s="932"/>
      <c r="I1" s="932"/>
      <c r="J1" s="932"/>
      <c r="K1" s="930"/>
      <c r="L1" s="930"/>
      <c r="M1" s="933"/>
      <c r="N1" s="933"/>
    </row>
    <row r="2" spans="1:14" s="934" customFormat="1" ht="14.65">
      <c r="A2" s="930" t="str">
        <f>'1.1 Cover'!A3</f>
        <v>Price base - 2018/19</v>
      </c>
      <c r="B2" s="935"/>
      <c r="C2" s="935"/>
      <c r="D2" s="935"/>
      <c r="E2" s="930"/>
      <c r="F2" s="930"/>
      <c r="G2" s="930"/>
      <c r="H2" s="930"/>
      <c r="I2" s="930"/>
      <c r="J2" s="930"/>
      <c r="K2" s="930"/>
      <c r="L2" s="930"/>
      <c r="M2" s="933"/>
      <c r="N2" s="933"/>
    </row>
    <row r="3" spans="1:14" s="934" customFormat="1" ht="30" customHeight="1">
      <c r="A3" s="935" t="s">
        <v>1894</v>
      </c>
      <c r="B3" s="935"/>
      <c r="C3" s="935"/>
      <c r="D3" s="935"/>
      <c r="E3" s="935"/>
      <c r="F3" s="930"/>
      <c r="G3" s="930"/>
      <c r="H3" s="930"/>
      <c r="I3" s="930"/>
      <c r="J3" s="930"/>
      <c r="K3" s="930"/>
      <c r="L3" s="930"/>
      <c r="M3" s="933"/>
      <c r="N3" s="933"/>
    </row>
    <row r="4" spans="1:14" s="936" customFormat="1"/>
    <row r="5" spans="1:14" s="936" customFormat="1" ht="13.5">
      <c r="H5" s="937" t="s">
        <v>1420</v>
      </c>
      <c r="I5" s="937" t="s">
        <v>1421</v>
      </c>
      <c r="J5" s="937" t="s">
        <v>1422</v>
      </c>
      <c r="K5" s="937" t="s">
        <v>1423</v>
      </c>
      <c r="L5" s="937" t="s">
        <v>1424</v>
      </c>
    </row>
    <row r="6" spans="1:14" s="936" customFormat="1" ht="13.5">
      <c r="H6" s="938"/>
      <c r="I6" s="938"/>
      <c r="J6" s="938"/>
      <c r="K6" s="938"/>
      <c r="L6" s="938"/>
    </row>
    <row r="7" spans="1:14" s="936" customFormat="1" ht="13.5">
      <c r="A7" s="690" t="s">
        <v>1895</v>
      </c>
      <c r="B7" s="691"/>
      <c r="C7" s="691"/>
      <c r="D7" s="691"/>
      <c r="E7" s="691"/>
      <c r="F7" s="691"/>
      <c r="G7" s="691"/>
      <c r="H7" s="691"/>
      <c r="I7" s="691"/>
      <c r="J7" s="691"/>
      <c r="K7" s="691"/>
      <c r="L7" s="691"/>
    </row>
    <row r="9" spans="1:14" ht="15.4">
      <c r="B9" s="940" t="s">
        <v>1425</v>
      </c>
      <c r="C9" s="940" t="s">
        <v>1427</v>
      </c>
      <c r="D9" s="941" t="s">
        <v>1428</v>
      </c>
      <c r="E9" s="942" t="s">
        <v>1896</v>
      </c>
      <c r="F9" s="943" t="s">
        <v>104</v>
      </c>
      <c r="H9" s="944">
        <f>'4.3 TO PCDs'!J11</f>
        <v>70.556934412542631</v>
      </c>
      <c r="I9" s="944">
        <f>'4.3 TO PCDs'!K11</f>
        <v>93.600010951421822</v>
      </c>
      <c r="J9" s="944">
        <f>'4.3 TO PCDs'!L11</f>
        <v>79.776008397428896</v>
      </c>
      <c r="K9" s="944">
        <f>'4.3 TO PCDs'!M11</f>
        <v>49.846759348011666</v>
      </c>
      <c r="L9" s="944">
        <f>'4.3 TO PCDs'!N11</f>
        <v>60.647809617431683</v>
      </c>
    </row>
    <row r="10" spans="1:14" ht="15.4">
      <c r="B10" s="940" t="s">
        <v>1438</v>
      </c>
      <c r="C10" s="940" t="s">
        <v>1439</v>
      </c>
      <c r="D10" s="941" t="s">
        <v>1428</v>
      </c>
      <c r="E10" s="942" t="s">
        <v>1897</v>
      </c>
      <c r="F10" s="945" t="s">
        <v>104</v>
      </c>
      <c r="H10" s="944">
        <f>'4.3 TO PCDs'!J29</f>
        <v>9.5980010803474709</v>
      </c>
      <c r="I10" s="944">
        <f>'4.3 TO PCDs'!K29</f>
        <v>14.901237294179282</v>
      </c>
      <c r="J10" s="944">
        <f>'4.3 TO PCDs'!L29</f>
        <v>1.0257589332958597</v>
      </c>
      <c r="K10" s="944">
        <f>'4.3 TO PCDs'!M29</f>
        <v>0</v>
      </c>
      <c r="L10" s="944">
        <f>'4.3 TO PCDs'!N29</f>
        <v>0</v>
      </c>
    </row>
    <row r="11" spans="1:14" ht="15.4">
      <c r="B11" s="940" t="s">
        <v>1443</v>
      </c>
      <c r="C11" s="940" t="s">
        <v>1444</v>
      </c>
      <c r="D11" s="941" t="s">
        <v>1428</v>
      </c>
      <c r="E11" s="942" t="s">
        <v>1898</v>
      </c>
      <c r="F11" s="945" t="s">
        <v>104</v>
      </c>
      <c r="H11" s="944">
        <f>'4.3 TO PCDs'!J41</f>
        <v>7.1260238418300279</v>
      </c>
      <c r="I11" s="944">
        <f>'4.3 TO PCDs'!K41</f>
        <v>3.373682904271154</v>
      </c>
      <c r="J11" s="944">
        <f>'4.3 TO PCDs'!L41</f>
        <v>0</v>
      </c>
      <c r="K11" s="944">
        <f>'4.3 TO PCDs'!M41</f>
        <v>0</v>
      </c>
      <c r="L11" s="944">
        <f>'4.3 TO PCDs'!N41</f>
        <v>0</v>
      </c>
    </row>
    <row r="12" spans="1:14" ht="15.4">
      <c r="B12" s="940" t="s">
        <v>1448</v>
      </c>
      <c r="C12" s="940" t="s">
        <v>1449</v>
      </c>
      <c r="D12" s="941" t="s">
        <v>1428</v>
      </c>
      <c r="E12" s="942" t="s">
        <v>1899</v>
      </c>
      <c r="F12" s="945" t="s">
        <v>104</v>
      </c>
      <c r="H12" s="944">
        <f>'4.3 TO PCDs'!J53</f>
        <v>1.1608360565476097</v>
      </c>
      <c r="I12" s="944">
        <f>'4.3 TO PCDs'!K53</f>
        <v>0</v>
      </c>
      <c r="J12" s="944">
        <f>'4.3 TO PCDs'!L53</f>
        <v>0</v>
      </c>
      <c r="K12" s="944">
        <f>'4.3 TO PCDs'!M53</f>
        <v>0</v>
      </c>
      <c r="L12" s="944">
        <f>'4.3 TO PCDs'!N53</f>
        <v>0</v>
      </c>
    </row>
    <row r="13" spans="1:14" ht="15.4">
      <c r="B13" s="940" t="s">
        <v>1453</v>
      </c>
      <c r="C13" s="940" t="s">
        <v>1454</v>
      </c>
      <c r="D13" s="941" t="s">
        <v>1428</v>
      </c>
      <c r="E13" s="942" t="s">
        <v>1900</v>
      </c>
      <c r="F13" s="945" t="s">
        <v>104</v>
      </c>
      <c r="H13" s="944">
        <f>'4.3 TO PCDs'!J65</f>
        <v>7.4572879522201427</v>
      </c>
      <c r="I13" s="944">
        <f>'4.3 TO PCDs'!K65</f>
        <v>9.8607254755791303</v>
      </c>
      <c r="J13" s="944">
        <f>'4.3 TO PCDs'!L65</f>
        <v>11.920313506946851</v>
      </c>
      <c r="K13" s="944">
        <f>'4.3 TO PCDs'!M65</f>
        <v>7.7169522615819179</v>
      </c>
      <c r="L13" s="944">
        <f>'4.3 TO PCDs'!N65</f>
        <v>9.4350243388455457</v>
      </c>
    </row>
    <row r="14" spans="1:14" ht="15.4">
      <c r="B14" s="940" t="s">
        <v>1446</v>
      </c>
      <c r="C14" s="940" t="s">
        <v>1447</v>
      </c>
      <c r="D14" s="941" t="s">
        <v>1428</v>
      </c>
      <c r="E14" s="942" t="s">
        <v>1901</v>
      </c>
      <c r="F14" s="945" t="s">
        <v>104</v>
      </c>
      <c r="H14" s="944">
        <f>'4.3 TO PCDs'!J47</f>
        <v>8.3822001755056519</v>
      </c>
      <c r="I14" s="944">
        <f>'4.3 TO PCDs'!K47</f>
        <v>34.512774359354644</v>
      </c>
      <c r="J14" s="944">
        <f>'4.3 TO PCDs'!L47</f>
        <v>59.500470100496784</v>
      </c>
      <c r="K14" s="944">
        <f>'4.3 TO PCDs'!M47</f>
        <v>20.474768891513815</v>
      </c>
      <c r="L14" s="944">
        <f>'4.3 TO PCDs'!N47</f>
        <v>1.006283648583417</v>
      </c>
    </row>
    <row r="15" spans="1:14" ht="15.4">
      <c r="B15" s="940" t="s">
        <v>1455</v>
      </c>
      <c r="C15" s="940" t="s">
        <v>1456</v>
      </c>
      <c r="D15" s="941" t="s">
        <v>1428</v>
      </c>
      <c r="E15" s="942" t="s">
        <v>1902</v>
      </c>
      <c r="F15" s="945" t="s">
        <v>104</v>
      </c>
      <c r="H15" s="944">
        <f>'4.3 TO PCDs'!J71</f>
        <v>3.5809826021106526</v>
      </c>
      <c r="I15" s="944">
        <f>'4.3 TO PCDs'!K71</f>
        <v>22.378095325061317</v>
      </c>
      <c r="J15" s="944">
        <f>'4.3 TO PCDs'!L71</f>
        <v>21.286803132998141</v>
      </c>
      <c r="K15" s="944">
        <f>'4.3 TO PCDs'!M71</f>
        <v>13.135867253351169</v>
      </c>
      <c r="L15" s="944">
        <f>'4.3 TO PCDs'!N71</f>
        <v>17.134269515484011</v>
      </c>
    </row>
    <row r="16" spans="1:14" ht="15.4">
      <c r="B16" s="940" t="s">
        <v>1450</v>
      </c>
      <c r="C16" s="940" t="s">
        <v>1451</v>
      </c>
      <c r="D16" s="941" t="s">
        <v>1428</v>
      </c>
      <c r="E16" s="942" t="s">
        <v>1903</v>
      </c>
      <c r="F16" s="945" t="s">
        <v>104</v>
      </c>
      <c r="H16" s="944">
        <f>'4.3 TO PCDs'!J59</f>
        <v>0</v>
      </c>
      <c r="I16" s="944">
        <f>'4.3 TO PCDs'!K59</f>
        <v>0</v>
      </c>
      <c r="J16" s="944">
        <f>'4.3 TO PCDs'!L59</f>
        <v>0</v>
      </c>
      <c r="K16" s="944">
        <f>'4.3 TO PCDs'!M59</f>
        <v>0</v>
      </c>
      <c r="L16" s="944">
        <f>'4.3 TO PCDs'!N59</f>
        <v>0</v>
      </c>
    </row>
    <row r="17" spans="2:12" ht="24.75">
      <c r="B17" s="940" t="s">
        <v>1904</v>
      </c>
      <c r="C17" s="940" t="s">
        <v>1432</v>
      </c>
      <c r="D17" s="941" t="s">
        <v>1428</v>
      </c>
      <c r="E17" s="942" t="s">
        <v>1905</v>
      </c>
      <c r="F17" s="945" t="s">
        <v>104</v>
      </c>
      <c r="H17" s="944">
        <f>'4.3 TO PCDs'!J17</f>
        <v>41.296175834066005</v>
      </c>
      <c r="I17" s="944">
        <f>'4.3 TO PCDs'!K17</f>
        <v>88.130230209126793</v>
      </c>
      <c r="J17" s="944">
        <f>'4.3 TO PCDs'!L17</f>
        <v>92.76179849029505</v>
      </c>
      <c r="K17" s="944">
        <f>'4.3 TO PCDs'!M17</f>
        <v>0</v>
      </c>
      <c r="L17" s="944">
        <f>'4.3 TO PCDs'!N17</f>
        <v>0</v>
      </c>
    </row>
    <row r="18" spans="2:12" ht="15.4">
      <c r="B18" s="940" t="s">
        <v>1437</v>
      </c>
      <c r="C18" s="940" t="s">
        <v>1436</v>
      </c>
      <c r="D18" s="941" t="s">
        <v>1428</v>
      </c>
      <c r="E18" s="942" t="s">
        <v>1906</v>
      </c>
      <c r="F18" s="945" t="s">
        <v>104</v>
      </c>
      <c r="H18" s="944">
        <f>'4.3 TO PCDs'!J23</f>
        <v>4.4619255058621405</v>
      </c>
      <c r="I18" s="944">
        <f>'4.3 TO PCDs'!K23</f>
        <v>4.0336790035632992</v>
      </c>
      <c r="J18" s="944">
        <f>'4.3 TO PCDs'!L23</f>
        <v>3.5696218516262466</v>
      </c>
      <c r="K18" s="944">
        <f>'4.3 TO PCDs'!M23</f>
        <v>0</v>
      </c>
      <c r="L18" s="944">
        <f>'4.3 TO PCDs'!N23</f>
        <v>0</v>
      </c>
    </row>
    <row r="19" spans="2:12" ht="24.75">
      <c r="B19" s="940" t="s">
        <v>1907</v>
      </c>
      <c r="C19" s="940" t="s">
        <v>1441</v>
      </c>
      <c r="D19" s="941" t="s">
        <v>1428</v>
      </c>
      <c r="E19" s="942" t="s">
        <v>1908</v>
      </c>
      <c r="F19" s="945" t="s">
        <v>104</v>
      </c>
      <c r="H19" s="944">
        <f>'4.3 TO PCDs'!J35</f>
        <v>1.66</v>
      </c>
      <c r="I19" s="944">
        <f>'4.3 TO PCDs'!K35</f>
        <v>1.66</v>
      </c>
      <c r="J19" s="944">
        <f>'4.3 TO PCDs'!L35</f>
        <v>1.66</v>
      </c>
      <c r="K19" s="944">
        <f>'4.3 TO PCDs'!M35</f>
        <v>1.66</v>
      </c>
      <c r="L19" s="944">
        <f>'4.3 TO PCDs'!N35</f>
        <v>1.66</v>
      </c>
    </row>
    <row r="20" spans="2:12">
      <c r="B20" s="940" t="s">
        <v>1909</v>
      </c>
      <c r="C20" s="940"/>
      <c r="D20" s="941" t="s">
        <v>1428</v>
      </c>
      <c r="E20" s="942"/>
      <c r="F20" s="945" t="s">
        <v>104</v>
      </c>
      <c r="H20" s="946" t="s">
        <v>1535</v>
      </c>
      <c r="I20" s="946" t="s">
        <v>1535</v>
      </c>
      <c r="J20" s="946" t="s">
        <v>1535</v>
      </c>
      <c r="K20" s="946" t="s">
        <v>1535</v>
      </c>
      <c r="L20" s="946" t="s">
        <v>1535</v>
      </c>
    </row>
    <row r="21" spans="2:12">
      <c r="B21" s="940" t="s">
        <v>1910</v>
      </c>
      <c r="C21" s="940"/>
      <c r="D21" s="941" t="s">
        <v>1428</v>
      </c>
      <c r="E21" s="942"/>
      <c r="F21" s="945" t="s">
        <v>104</v>
      </c>
      <c r="H21" s="946" t="s">
        <v>1535</v>
      </c>
      <c r="I21" s="946" t="s">
        <v>1535</v>
      </c>
      <c r="J21" s="946" t="s">
        <v>1535</v>
      </c>
      <c r="K21" s="946" t="s">
        <v>1535</v>
      </c>
      <c r="L21" s="946" t="s">
        <v>1535</v>
      </c>
    </row>
    <row r="22" spans="2:12">
      <c r="B22" s="940" t="s">
        <v>1911</v>
      </c>
      <c r="C22" s="940"/>
      <c r="D22" s="941" t="s">
        <v>1428</v>
      </c>
      <c r="E22" s="942"/>
      <c r="F22" s="945" t="s">
        <v>104</v>
      </c>
      <c r="H22" s="946" t="s">
        <v>1535</v>
      </c>
      <c r="I22" s="946" t="s">
        <v>1535</v>
      </c>
      <c r="J22" s="946" t="s">
        <v>1535</v>
      </c>
      <c r="K22" s="946" t="s">
        <v>1535</v>
      </c>
      <c r="L22" s="946" t="s">
        <v>1535</v>
      </c>
    </row>
    <row r="23" spans="2:12" ht="15.4">
      <c r="B23" s="940" t="s">
        <v>1912</v>
      </c>
      <c r="C23" s="940" t="s">
        <v>1427</v>
      </c>
      <c r="D23" s="941" t="s">
        <v>1428</v>
      </c>
      <c r="E23" s="942" t="s">
        <v>1913</v>
      </c>
      <c r="F23" s="945" t="s">
        <v>1914</v>
      </c>
      <c r="H23" s="944">
        <f>'4.5 TO Re-openers'!H11</f>
        <v>0</v>
      </c>
      <c r="I23" s="944">
        <f>'4.5 TO Re-openers'!I11</f>
        <v>0</v>
      </c>
      <c r="J23" s="944">
        <f>'4.5 TO Re-openers'!J11</f>
        <v>0</v>
      </c>
      <c r="K23" s="944">
        <f>'4.5 TO Re-openers'!K11</f>
        <v>0</v>
      </c>
      <c r="L23" s="944">
        <f>'4.5 TO Re-openers'!L11</f>
        <v>0</v>
      </c>
    </row>
    <row r="24" spans="2:12" ht="15.4">
      <c r="B24" s="940" t="s">
        <v>1488</v>
      </c>
      <c r="C24" s="940" t="s">
        <v>1489</v>
      </c>
      <c r="D24" s="941" t="s">
        <v>1428</v>
      </c>
      <c r="E24" s="942" t="s">
        <v>1915</v>
      </c>
      <c r="F24" s="945" t="s">
        <v>1914</v>
      </c>
      <c r="H24" s="944">
        <f>'4.5 TO Re-openers'!H41</f>
        <v>0</v>
      </c>
      <c r="I24" s="944">
        <f>'4.5 TO Re-openers'!I41</f>
        <v>0</v>
      </c>
      <c r="J24" s="944">
        <f>'4.5 TO Re-openers'!J41</f>
        <v>0</v>
      </c>
      <c r="K24" s="944">
        <f>'4.5 TO Re-openers'!K41</f>
        <v>0</v>
      </c>
      <c r="L24" s="944">
        <f>'4.5 TO Re-openers'!L41</f>
        <v>0</v>
      </c>
    </row>
    <row r="25" spans="2:12" ht="15.4">
      <c r="B25" s="940" t="s">
        <v>1916</v>
      </c>
      <c r="C25" s="940" t="s">
        <v>1917</v>
      </c>
      <c r="D25" s="941" t="s">
        <v>1428</v>
      </c>
      <c r="E25" s="942" t="s">
        <v>1918</v>
      </c>
      <c r="F25" s="945" t="s">
        <v>1914</v>
      </c>
      <c r="H25" s="944">
        <f>'4.5 TO Re-openers'!H45</f>
        <v>0</v>
      </c>
      <c r="I25" s="944">
        <f>'4.5 TO Re-openers'!I45</f>
        <v>0</v>
      </c>
      <c r="J25" s="944">
        <f>'4.5 TO Re-openers'!J45</f>
        <v>0</v>
      </c>
      <c r="K25" s="944">
        <f>'4.5 TO Re-openers'!K45</f>
        <v>0</v>
      </c>
      <c r="L25" s="944">
        <f>'4.5 TO Re-openers'!L45</f>
        <v>0</v>
      </c>
    </row>
    <row r="26" spans="2:12" ht="15.4">
      <c r="B26" s="940" t="s">
        <v>1919</v>
      </c>
      <c r="C26" s="940" t="s">
        <v>1920</v>
      </c>
      <c r="D26" s="941" t="s">
        <v>1428</v>
      </c>
      <c r="E26" s="942" t="s">
        <v>1921</v>
      </c>
      <c r="F26" s="945" t="s">
        <v>1914</v>
      </c>
      <c r="H26" s="944">
        <f>'4.5 TO Re-openers'!H36</f>
        <v>0</v>
      </c>
      <c r="I26" s="944">
        <f>'4.5 TO Re-openers'!I36</f>
        <v>0</v>
      </c>
      <c r="J26" s="944">
        <f>'4.5 TO Re-openers'!J36</f>
        <v>0</v>
      </c>
      <c r="K26" s="944">
        <f>'4.5 TO Re-openers'!K36</f>
        <v>0</v>
      </c>
      <c r="L26" s="944">
        <f>'4.5 TO Re-openers'!L36</f>
        <v>0</v>
      </c>
    </row>
    <row r="27" spans="2:12" ht="15.4">
      <c r="B27" s="940" t="s">
        <v>1922</v>
      </c>
      <c r="C27" s="940" t="s">
        <v>1923</v>
      </c>
      <c r="D27" s="941" t="s">
        <v>1428</v>
      </c>
      <c r="E27" s="942" t="s">
        <v>1924</v>
      </c>
      <c r="F27" s="945" t="s">
        <v>1914</v>
      </c>
      <c r="H27" s="944">
        <f>'4.5 TO Re-openers'!H78</f>
        <v>0</v>
      </c>
      <c r="I27" s="944">
        <f>'4.5 TO Re-openers'!I78</f>
        <v>0</v>
      </c>
      <c r="J27" s="944">
        <f>'4.5 TO Re-openers'!J78</f>
        <v>0</v>
      </c>
      <c r="K27" s="944">
        <f>'4.5 TO Re-openers'!K78</f>
        <v>0</v>
      </c>
      <c r="L27" s="944">
        <f>'4.5 TO Re-openers'!L78</f>
        <v>0</v>
      </c>
    </row>
    <row r="28" spans="2:12" ht="15.4">
      <c r="B28" s="940" t="s">
        <v>1476</v>
      </c>
      <c r="C28" s="940" t="s">
        <v>1454</v>
      </c>
      <c r="D28" s="941" t="s">
        <v>1428</v>
      </c>
      <c r="E28" s="942" t="s">
        <v>1925</v>
      </c>
      <c r="F28" s="945" t="s">
        <v>1914</v>
      </c>
      <c r="H28" s="944">
        <f>'4.5 TO Re-openers'!H85</f>
        <v>0</v>
      </c>
      <c r="I28" s="944">
        <f>'4.5 TO Re-openers'!I85</f>
        <v>0</v>
      </c>
      <c r="J28" s="944">
        <f>'4.5 TO Re-openers'!J85</f>
        <v>0</v>
      </c>
      <c r="K28" s="944">
        <f>'4.5 TO Re-openers'!K85</f>
        <v>0</v>
      </c>
      <c r="L28" s="944">
        <f>'4.5 TO Re-openers'!L85</f>
        <v>0</v>
      </c>
    </row>
    <row r="29" spans="2:12" ht="15.4">
      <c r="B29" s="940" t="s">
        <v>1926</v>
      </c>
      <c r="C29" s="940" t="s">
        <v>1927</v>
      </c>
      <c r="D29" s="941" t="s">
        <v>1428</v>
      </c>
      <c r="E29" s="942" t="s">
        <v>1928</v>
      </c>
      <c r="F29" s="945" t="s">
        <v>1914</v>
      </c>
      <c r="H29" s="944">
        <f>'4.5 TO Re-openers'!H90</f>
        <v>0</v>
      </c>
      <c r="I29" s="944">
        <f>'4.5 TO Re-openers'!I90</f>
        <v>0</v>
      </c>
      <c r="J29" s="944">
        <f>'4.5 TO Re-openers'!J90</f>
        <v>0</v>
      </c>
      <c r="K29" s="944">
        <f>'4.5 TO Re-openers'!K90</f>
        <v>0</v>
      </c>
      <c r="L29" s="944">
        <f>'4.5 TO Re-openers'!L90</f>
        <v>0</v>
      </c>
    </row>
    <row r="30" spans="2:12" ht="24.75">
      <c r="B30" s="940" t="s">
        <v>1929</v>
      </c>
      <c r="C30" s="940" t="s">
        <v>1930</v>
      </c>
      <c r="D30" s="941" t="s">
        <v>1428</v>
      </c>
      <c r="E30" s="942" t="s">
        <v>1931</v>
      </c>
      <c r="F30" s="945" t="s">
        <v>1914</v>
      </c>
      <c r="H30" s="944">
        <f>'4.5 TO Re-openers'!H50</f>
        <v>0</v>
      </c>
      <c r="I30" s="944">
        <f>'4.5 TO Re-openers'!I50</f>
        <v>0</v>
      </c>
      <c r="J30" s="944">
        <f>'4.5 TO Re-openers'!J50</f>
        <v>0</v>
      </c>
      <c r="K30" s="944">
        <f>'4.5 TO Re-openers'!K50</f>
        <v>0</v>
      </c>
      <c r="L30" s="944">
        <f>'4.5 TO Re-openers'!L50</f>
        <v>0</v>
      </c>
    </row>
    <row r="31" spans="2:12" ht="15.4">
      <c r="B31" s="940" t="s">
        <v>1470</v>
      </c>
      <c r="C31" s="941" t="s">
        <v>1444</v>
      </c>
      <c r="D31" s="941" t="s">
        <v>1428</v>
      </c>
      <c r="E31" s="942" t="s">
        <v>1932</v>
      </c>
      <c r="F31" s="945" t="s">
        <v>1914</v>
      </c>
      <c r="H31" s="944">
        <f>'4.5 TO Re-openers'!H56</f>
        <v>0</v>
      </c>
      <c r="I31" s="944">
        <f>'4.5 TO Re-openers'!I56</f>
        <v>0</v>
      </c>
      <c r="J31" s="944">
        <f>'4.5 TO Re-openers'!J56</f>
        <v>0</v>
      </c>
      <c r="K31" s="944">
        <f>'4.5 TO Re-openers'!K56</f>
        <v>0</v>
      </c>
      <c r="L31" s="944">
        <f>'4.5 TO Re-openers'!L56</f>
        <v>0</v>
      </c>
    </row>
    <row r="32" spans="2:12" ht="15.4">
      <c r="B32" s="940" t="s">
        <v>1467</v>
      </c>
      <c r="C32" s="941" t="s">
        <v>1439</v>
      </c>
      <c r="D32" s="941" t="s">
        <v>1428</v>
      </c>
      <c r="E32" s="942" t="s">
        <v>1933</v>
      </c>
      <c r="F32" s="945" t="s">
        <v>1914</v>
      </c>
      <c r="H32" s="944">
        <f>'4.5 TO Re-openers'!H30</f>
        <v>0</v>
      </c>
      <c r="I32" s="944">
        <f>'4.5 TO Re-openers'!I30</f>
        <v>0</v>
      </c>
      <c r="J32" s="944">
        <f>'4.5 TO Re-openers'!J30</f>
        <v>0</v>
      </c>
      <c r="K32" s="944">
        <f>'4.5 TO Re-openers'!K30</f>
        <v>0</v>
      </c>
      <c r="L32" s="944">
        <f>'4.5 TO Re-openers'!L30</f>
        <v>0</v>
      </c>
    </row>
    <row r="33" spans="1:12" ht="15.4">
      <c r="B33" s="940" t="s">
        <v>1472</v>
      </c>
      <c r="C33" s="941" t="s">
        <v>1447</v>
      </c>
      <c r="D33" s="941" t="s">
        <v>1428</v>
      </c>
      <c r="E33" s="942" t="s">
        <v>1934</v>
      </c>
      <c r="F33" s="945" t="s">
        <v>1914</v>
      </c>
      <c r="H33" s="944">
        <f>'4.5 TO Re-openers'!H62</f>
        <v>0</v>
      </c>
      <c r="I33" s="944">
        <f>'4.5 TO Re-openers'!I62</f>
        <v>0</v>
      </c>
      <c r="J33" s="944">
        <f>'4.5 TO Re-openers'!J62</f>
        <v>0</v>
      </c>
      <c r="K33" s="944">
        <f>'4.5 TO Re-openers'!K62</f>
        <v>0</v>
      </c>
      <c r="L33" s="944">
        <f>'4.5 TO Re-openers'!L62</f>
        <v>0</v>
      </c>
    </row>
    <row r="34" spans="1:12" ht="15.4">
      <c r="B34" s="940" t="s">
        <v>1462</v>
      </c>
      <c r="C34" s="941" t="s">
        <v>1432</v>
      </c>
      <c r="D34" s="941" t="s">
        <v>1428</v>
      </c>
      <c r="E34" s="942" t="s">
        <v>1480</v>
      </c>
      <c r="F34" s="945" t="s">
        <v>1914</v>
      </c>
      <c r="H34" s="944">
        <f>'4.5 TO Re-openers'!H18</f>
        <v>0</v>
      </c>
      <c r="I34" s="944">
        <f>'4.5 TO Re-openers'!I18</f>
        <v>0</v>
      </c>
      <c r="J34" s="944">
        <f>'4.5 TO Re-openers'!J18</f>
        <v>0</v>
      </c>
      <c r="K34" s="944">
        <f>'4.5 TO Re-openers'!K18</f>
        <v>0</v>
      </c>
      <c r="L34" s="944">
        <f>'4.5 TO Re-openers'!L18</f>
        <v>0</v>
      </c>
    </row>
    <row r="35" spans="1:12" ht="15.4">
      <c r="B35" s="940" t="s">
        <v>1465</v>
      </c>
      <c r="C35" s="941" t="s">
        <v>1436</v>
      </c>
      <c r="D35" s="941" t="s">
        <v>1428</v>
      </c>
      <c r="E35" s="942" t="s">
        <v>1935</v>
      </c>
      <c r="F35" s="945" t="s">
        <v>1914</v>
      </c>
      <c r="H35" s="944">
        <f>'4.5 TO Re-openers'!H24</f>
        <v>0</v>
      </c>
      <c r="I35" s="944">
        <f>'4.5 TO Re-openers'!I24</f>
        <v>0</v>
      </c>
      <c r="J35" s="944">
        <f>'4.5 TO Re-openers'!J24</f>
        <v>0</v>
      </c>
      <c r="K35" s="944">
        <f>'4.5 TO Re-openers'!K24</f>
        <v>0</v>
      </c>
      <c r="L35" s="944">
        <f>'4.5 TO Re-openers'!L24</f>
        <v>0</v>
      </c>
    </row>
    <row r="36" spans="1:12" ht="15.4">
      <c r="B36" s="940" t="s">
        <v>1936</v>
      </c>
      <c r="C36" s="941" t="s">
        <v>1449</v>
      </c>
      <c r="D36" s="941" t="s">
        <v>1428</v>
      </c>
      <c r="E36" s="942" t="s">
        <v>1937</v>
      </c>
      <c r="F36" s="945" t="s">
        <v>1914</v>
      </c>
      <c r="H36" s="944">
        <f>'4.5 TO Re-openers'!H68</f>
        <v>0</v>
      </c>
      <c r="I36" s="944">
        <f>'4.5 TO Re-openers'!I68</f>
        <v>0</v>
      </c>
      <c r="J36" s="944">
        <f>'4.5 TO Re-openers'!J68</f>
        <v>0</v>
      </c>
      <c r="K36" s="944">
        <f>'4.5 TO Re-openers'!K68</f>
        <v>0</v>
      </c>
      <c r="L36" s="944">
        <f>'4.5 TO Re-openers'!L68</f>
        <v>0</v>
      </c>
    </row>
    <row r="37" spans="1:12" ht="15.4">
      <c r="B37" s="940" t="s">
        <v>1938</v>
      </c>
      <c r="C37" s="941" t="s">
        <v>1451</v>
      </c>
      <c r="D37" s="941" t="s">
        <v>1428</v>
      </c>
      <c r="E37" s="942" t="s">
        <v>1939</v>
      </c>
      <c r="F37" s="945" t="s">
        <v>1914</v>
      </c>
      <c r="H37" s="944">
        <f>'4.5 TO Re-openers'!H74</f>
        <v>0</v>
      </c>
      <c r="I37" s="944">
        <f>'4.5 TO Re-openers'!I74</f>
        <v>0</v>
      </c>
      <c r="J37" s="944">
        <f>'4.5 TO Re-openers'!J74</f>
        <v>0</v>
      </c>
      <c r="K37" s="944">
        <f>'4.5 TO Re-openers'!K74</f>
        <v>0</v>
      </c>
      <c r="L37" s="944">
        <f>'4.5 TO Re-openers'!L74</f>
        <v>0</v>
      </c>
    </row>
    <row r="38" spans="1:12" ht="15.4">
      <c r="B38" s="940" t="s">
        <v>1940</v>
      </c>
      <c r="C38" s="941" t="s">
        <v>1484</v>
      </c>
      <c r="D38" s="941" t="s">
        <v>1428</v>
      </c>
      <c r="E38" s="942" t="s">
        <v>1941</v>
      </c>
      <c r="F38" s="945" t="s">
        <v>1914</v>
      </c>
      <c r="H38" s="944">
        <f>'4.9 Opex Escalator'!G16</f>
        <v>0</v>
      </c>
      <c r="I38" s="944">
        <f>'4.9 Opex Escalator'!H16</f>
        <v>0</v>
      </c>
      <c r="J38" s="944">
        <f>'4.9 Opex Escalator'!I16</f>
        <v>0</v>
      </c>
      <c r="K38" s="944">
        <f>'4.9 Opex Escalator'!J16</f>
        <v>0</v>
      </c>
      <c r="L38" s="944">
        <f>'4.9 Opex Escalator'!K16</f>
        <v>0</v>
      </c>
    </row>
    <row r="39" spans="1:12">
      <c r="B39" s="940" t="s">
        <v>1942</v>
      </c>
      <c r="C39" s="941"/>
      <c r="D39" s="941" t="s">
        <v>1428</v>
      </c>
      <c r="E39" s="942"/>
      <c r="F39" s="945" t="s">
        <v>1914</v>
      </c>
      <c r="H39" s="946" t="s">
        <v>1535</v>
      </c>
      <c r="I39" s="946" t="s">
        <v>1535</v>
      </c>
      <c r="J39" s="946" t="s">
        <v>1535</v>
      </c>
      <c r="K39" s="946" t="s">
        <v>1535</v>
      </c>
      <c r="L39" s="946" t="s">
        <v>1535</v>
      </c>
    </row>
    <row r="40" spans="1:12">
      <c r="B40" s="940" t="s">
        <v>1943</v>
      </c>
      <c r="C40" s="941"/>
      <c r="D40" s="941" t="s">
        <v>1428</v>
      </c>
      <c r="E40" s="942"/>
      <c r="F40" s="945" t="s">
        <v>1914</v>
      </c>
      <c r="H40" s="946" t="s">
        <v>1535</v>
      </c>
      <c r="I40" s="946" t="s">
        <v>1535</v>
      </c>
      <c r="J40" s="946" t="s">
        <v>1535</v>
      </c>
      <c r="K40" s="946" t="s">
        <v>1535</v>
      </c>
      <c r="L40" s="946" t="s">
        <v>1535</v>
      </c>
    </row>
    <row r="41" spans="1:12">
      <c r="B41" s="940" t="s">
        <v>1944</v>
      </c>
      <c r="C41" s="941"/>
      <c r="D41" s="941" t="s">
        <v>1428</v>
      </c>
      <c r="E41" s="942"/>
      <c r="F41" s="947" t="s">
        <v>1914</v>
      </c>
      <c r="H41" s="946" t="s">
        <v>1535</v>
      </c>
      <c r="I41" s="946" t="s">
        <v>1535</v>
      </c>
      <c r="J41" s="946" t="s">
        <v>1535</v>
      </c>
      <c r="K41" s="946" t="s">
        <v>1535</v>
      </c>
      <c r="L41" s="946" t="s">
        <v>1535</v>
      </c>
    </row>
    <row r="43" spans="1:12" ht="13.5">
      <c r="A43" s="690" t="s">
        <v>231</v>
      </c>
      <c r="B43" s="691"/>
      <c r="C43" s="691"/>
      <c r="D43" s="691"/>
      <c r="E43" s="691"/>
      <c r="F43" s="691"/>
      <c r="G43" s="691"/>
      <c r="H43" s="691"/>
      <c r="I43" s="691"/>
      <c r="J43" s="691"/>
      <c r="K43" s="691"/>
      <c r="L43" s="691"/>
    </row>
    <row r="45" spans="1:12" ht="13.5">
      <c r="B45" s="948" t="s">
        <v>223</v>
      </c>
      <c r="H45" s="949"/>
      <c r="I45" s="949"/>
      <c r="J45" s="949"/>
      <c r="K45" s="949"/>
      <c r="L45" s="949"/>
    </row>
    <row r="46" spans="1:12">
      <c r="B46" s="942" t="s">
        <v>224</v>
      </c>
      <c r="D46" s="942" t="s">
        <v>1428</v>
      </c>
      <c r="E46" s="942" t="s">
        <v>232</v>
      </c>
      <c r="H46" s="944" cm="1">
        <f t="array" ref="H46:L46">TOALC</f>
        <v>0</v>
      </c>
      <c r="I46" s="944">
        <v>0</v>
      </c>
      <c r="J46" s="944">
        <v>0</v>
      </c>
      <c r="K46" s="944">
        <v>0</v>
      </c>
      <c r="L46" s="944">
        <v>0</v>
      </c>
    </row>
    <row r="47" spans="1:12">
      <c r="B47" s="942" t="s">
        <v>225</v>
      </c>
      <c r="D47" s="942" t="s">
        <v>1428</v>
      </c>
      <c r="E47" s="942" t="s">
        <v>233</v>
      </c>
      <c r="H47" s="944" cm="1">
        <f t="array" ref="H47:L47">TOARC</f>
        <v>0</v>
      </c>
      <c r="I47" s="944">
        <v>0</v>
      </c>
      <c r="J47" s="944">
        <v>0</v>
      </c>
      <c r="K47" s="944">
        <v>0</v>
      </c>
      <c r="L47" s="944">
        <v>0</v>
      </c>
    </row>
    <row r="48" spans="1:12">
      <c r="B48" s="942" t="s">
        <v>226</v>
      </c>
      <c r="D48" s="942" t="s">
        <v>1428</v>
      </c>
      <c r="E48" s="942" t="s">
        <v>234</v>
      </c>
      <c r="H48" s="944" cm="1">
        <f t="array" ref="H48:L48">TOAOC</f>
        <v>0</v>
      </c>
      <c r="I48" s="944">
        <v>0</v>
      </c>
      <c r="J48" s="944">
        <v>0</v>
      </c>
      <c r="K48" s="944">
        <v>0</v>
      </c>
      <c r="L48" s="944">
        <v>0</v>
      </c>
    </row>
    <row r="49" spans="1:12">
      <c r="B49" s="942" t="s">
        <v>227</v>
      </c>
      <c r="D49" s="942" t="s">
        <v>1428</v>
      </c>
      <c r="E49" s="942" t="s">
        <v>235</v>
      </c>
      <c r="H49" s="944" cm="1">
        <f t="array" ref="H49:L49">TOACO</f>
        <v>0</v>
      </c>
      <c r="I49" s="944">
        <v>0</v>
      </c>
      <c r="J49" s="944">
        <v>0</v>
      </c>
      <c r="K49" s="944">
        <v>0</v>
      </c>
      <c r="L49" s="944">
        <v>0</v>
      </c>
    </row>
    <row r="50" spans="1:12">
      <c r="B50" s="942" t="s">
        <v>228</v>
      </c>
      <c r="D50" s="942" t="s">
        <v>1428</v>
      </c>
      <c r="E50" s="942" t="s">
        <v>236</v>
      </c>
      <c r="H50" s="944" cm="1">
        <f t="array" ref="H50:L50">TOAIO</f>
        <v>0</v>
      </c>
      <c r="I50" s="944">
        <v>0</v>
      </c>
      <c r="J50" s="944">
        <v>0</v>
      </c>
      <c r="K50" s="944">
        <v>0</v>
      </c>
      <c r="L50" s="944">
        <v>0</v>
      </c>
    </row>
    <row r="51" spans="1:12">
      <c r="B51" s="942" t="s">
        <v>229</v>
      </c>
      <c r="D51" s="942" t="s">
        <v>1428</v>
      </c>
      <c r="E51" s="942" t="s">
        <v>237</v>
      </c>
      <c r="H51" s="944" cm="1">
        <f t="array" ref="H51:L51">TOANC</f>
        <v>0</v>
      </c>
      <c r="I51" s="944">
        <v>0</v>
      </c>
      <c r="J51" s="944">
        <v>0</v>
      </c>
      <c r="K51" s="944">
        <v>0</v>
      </c>
      <c r="L51" s="944">
        <v>0</v>
      </c>
    </row>
    <row r="52" spans="1:12">
      <c r="B52" s="942"/>
      <c r="D52" s="942"/>
      <c r="E52" s="942"/>
    </row>
    <row r="53" spans="1:12">
      <c r="B53" s="948" t="s">
        <v>230</v>
      </c>
      <c r="D53" s="942"/>
      <c r="E53" s="942"/>
    </row>
    <row r="54" spans="1:12">
      <c r="B54" s="942" t="s">
        <v>224</v>
      </c>
      <c r="D54" s="942" t="s">
        <v>1428</v>
      </c>
      <c r="E54" s="942" t="s">
        <v>238</v>
      </c>
      <c r="H54" s="944" cm="1">
        <f t="array" ref="H54:L54">TOALCU</f>
        <v>0</v>
      </c>
      <c r="I54" s="944">
        <v>0</v>
      </c>
      <c r="J54" s="944">
        <v>0</v>
      </c>
      <c r="K54" s="944">
        <v>0</v>
      </c>
      <c r="L54" s="944">
        <v>0</v>
      </c>
    </row>
    <row r="55" spans="1:12">
      <c r="B55" s="942" t="s">
        <v>225</v>
      </c>
      <c r="D55" s="942" t="s">
        <v>1428</v>
      </c>
      <c r="E55" s="942" t="s">
        <v>239</v>
      </c>
      <c r="H55" s="944" cm="1">
        <f t="array" ref="H55:L55">TOARCU</f>
        <v>0</v>
      </c>
      <c r="I55" s="944">
        <v>0</v>
      </c>
      <c r="J55" s="944">
        <v>0</v>
      </c>
      <c r="K55" s="944">
        <v>0</v>
      </c>
      <c r="L55" s="944">
        <v>0</v>
      </c>
    </row>
    <row r="56" spans="1:12">
      <c r="B56" s="942" t="s">
        <v>226</v>
      </c>
      <c r="D56" s="942" t="s">
        <v>1428</v>
      </c>
      <c r="E56" s="942" t="s">
        <v>240</v>
      </c>
      <c r="H56" s="944" cm="1">
        <f t="array" ref="H56:L56">TOAOCU</f>
        <v>0</v>
      </c>
      <c r="I56" s="944">
        <v>0</v>
      </c>
      <c r="J56" s="944">
        <v>0</v>
      </c>
      <c r="K56" s="944">
        <v>0</v>
      </c>
      <c r="L56" s="944">
        <v>0</v>
      </c>
    </row>
    <row r="57" spans="1:12">
      <c r="B57" s="942" t="s">
        <v>227</v>
      </c>
      <c r="D57" s="942" t="s">
        <v>1428</v>
      </c>
      <c r="E57" s="942" t="s">
        <v>241</v>
      </c>
      <c r="H57" s="944" cm="1">
        <f t="array" ref="H57:L57">TOACOU</f>
        <v>0</v>
      </c>
      <c r="I57" s="944">
        <v>0</v>
      </c>
      <c r="J57" s="944">
        <v>0</v>
      </c>
      <c r="K57" s="944">
        <v>0</v>
      </c>
      <c r="L57" s="944">
        <v>0</v>
      </c>
    </row>
    <row r="58" spans="1:12">
      <c r="B58" s="942" t="s">
        <v>228</v>
      </c>
      <c r="D58" s="942" t="s">
        <v>1428</v>
      </c>
      <c r="E58" s="942" t="s">
        <v>242</v>
      </c>
      <c r="H58" s="944" cm="1">
        <f t="array" ref="H58:L58">TOAIOU</f>
        <v>0</v>
      </c>
      <c r="I58" s="944">
        <v>0</v>
      </c>
      <c r="J58" s="944">
        <v>0</v>
      </c>
      <c r="K58" s="944">
        <v>0</v>
      </c>
      <c r="L58" s="944">
        <v>0</v>
      </c>
    </row>
    <row r="59" spans="1:12">
      <c r="B59" s="942" t="s">
        <v>229</v>
      </c>
      <c r="D59" s="942" t="s">
        <v>1428</v>
      </c>
      <c r="E59" s="942" t="s">
        <v>243</v>
      </c>
      <c r="H59" s="944" cm="1">
        <f t="array" ref="H59:L59">TOANCU</f>
        <v>0</v>
      </c>
      <c r="I59" s="944">
        <v>0</v>
      </c>
      <c r="J59" s="944">
        <v>0</v>
      </c>
      <c r="K59" s="944">
        <v>0</v>
      </c>
      <c r="L59" s="944">
        <v>0</v>
      </c>
    </row>
    <row r="61" spans="1:12" s="936" customFormat="1" ht="13.5">
      <c r="A61" s="690" t="s">
        <v>1945</v>
      </c>
      <c r="B61" s="691"/>
      <c r="C61" s="691"/>
      <c r="D61" s="691"/>
      <c r="E61" s="691"/>
      <c r="F61" s="691"/>
      <c r="G61" s="691"/>
      <c r="H61" s="691"/>
      <c r="I61" s="691"/>
      <c r="J61" s="691"/>
      <c r="K61" s="691"/>
      <c r="L61" s="691"/>
    </row>
    <row r="64" spans="1:12" ht="15.4">
      <c r="B64" s="941" t="s">
        <v>1492</v>
      </c>
      <c r="C64" s="941" t="s">
        <v>1493</v>
      </c>
      <c r="D64" s="942" t="s">
        <v>1428</v>
      </c>
      <c r="E64" s="941" t="s">
        <v>1946</v>
      </c>
      <c r="F64" s="950"/>
      <c r="H64" s="951">
        <f>'4.7 TO PT'!H9*VLOOKUP(H$5,'1.5 Universal Data'!$C$28:$F$39,4,FALSE)</f>
        <v>0</v>
      </c>
      <c r="I64" s="951">
        <f>'4.7 TO PT'!I9*VLOOKUP(I$5,'1.5 Universal Data'!$C$28:$F$39,4,FALSE)</f>
        <v>0</v>
      </c>
      <c r="J64" s="951">
        <f>'4.7 TO PT'!J9*VLOOKUP(J$5,'1.5 Universal Data'!$C$28:$F$39,4,FALSE)</f>
        <v>0</v>
      </c>
      <c r="K64" s="951">
        <f>'4.7 TO PT'!K9*VLOOKUP(K$5,'1.5 Universal Data'!$C$28:$F$39,4,FALSE)</f>
        <v>0</v>
      </c>
      <c r="L64" s="951">
        <f>'4.7 TO PT'!L9*VLOOKUP(L$5,'1.5 Universal Data'!$C$28:$F$39,4,FALSE)</f>
        <v>0</v>
      </c>
    </row>
    <row r="65" spans="1:12" ht="15.4">
      <c r="B65" s="941" t="s">
        <v>1494</v>
      </c>
      <c r="C65" s="941" t="s">
        <v>1493</v>
      </c>
      <c r="D65" s="942" t="s">
        <v>1428</v>
      </c>
      <c r="E65" s="941" t="s">
        <v>1947</v>
      </c>
      <c r="F65" s="950"/>
      <c r="H65" s="951">
        <f>'4.7 TO PT'!H10*VLOOKUP(H$5,'1.5 Universal Data'!$C$28:$F$39,4,FALSE)</f>
        <v>0</v>
      </c>
      <c r="I65" s="951">
        <f>'4.7 TO PT'!I10*VLOOKUP(I$5,'1.5 Universal Data'!$C$28:$F$39,4,FALSE)</f>
        <v>0</v>
      </c>
      <c r="J65" s="951">
        <f>'4.7 TO PT'!J10*VLOOKUP(J$5,'1.5 Universal Data'!$C$28:$F$39,4,FALSE)</f>
        <v>0</v>
      </c>
      <c r="K65" s="951">
        <f>'4.7 TO PT'!K10*VLOOKUP(K$5,'1.5 Universal Data'!$C$28:$F$39,4,FALSE)</f>
        <v>0</v>
      </c>
      <c r="L65" s="951">
        <f>'4.7 TO PT'!L10*VLOOKUP(L$5,'1.5 Universal Data'!$C$28:$F$39,4,FALSE)</f>
        <v>0</v>
      </c>
    </row>
    <row r="66" spans="1:12" ht="15.4">
      <c r="B66" s="942" t="s">
        <v>1495</v>
      </c>
      <c r="C66" s="941" t="s">
        <v>1493</v>
      </c>
      <c r="D66" s="952" t="s">
        <v>1428</v>
      </c>
      <c r="E66" s="942" t="s">
        <v>1948</v>
      </c>
      <c r="F66" s="950"/>
      <c r="H66" s="951">
        <f>'4.7 TO PT'!H11*VLOOKUP(H$5,'1.5 Universal Data'!$C$28:$F$39,4,FALSE)</f>
        <v>0</v>
      </c>
      <c r="I66" s="951">
        <f>'4.7 TO PT'!I11*VLOOKUP(I$5,'1.5 Universal Data'!$C$28:$F$39,4,FALSE)</f>
        <v>0</v>
      </c>
      <c r="J66" s="951">
        <f>'4.7 TO PT'!J11*VLOOKUP(J$5,'1.5 Universal Data'!$C$28:$F$39,4,FALSE)</f>
        <v>0</v>
      </c>
      <c r="K66" s="951">
        <f>'4.7 TO PT'!K11*VLOOKUP(K$5,'1.5 Universal Data'!$C$28:$F$39,4,FALSE)</f>
        <v>0</v>
      </c>
      <c r="L66" s="951">
        <f>'4.7 TO PT'!L11*VLOOKUP(L$5,'1.5 Universal Data'!$C$28:$F$39,4,FALSE)</f>
        <v>0</v>
      </c>
    </row>
    <row r="67" spans="1:12" ht="15.4">
      <c r="B67" s="942" t="s">
        <v>1496</v>
      </c>
      <c r="C67" s="941" t="s">
        <v>1493</v>
      </c>
      <c r="D67" s="942" t="s">
        <v>1428</v>
      </c>
      <c r="E67" s="942" t="s">
        <v>1949</v>
      </c>
      <c r="F67" s="950"/>
      <c r="H67" s="944">
        <f>'4.7 TO PT'!H12</f>
        <v>0</v>
      </c>
      <c r="I67" s="944">
        <f>'4.7 TO PT'!I12</f>
        <v>0</v>
      </c>
      <c r="J67" s="944">
        <f>'4.7 TO PT'!J12</f>
        <v>0</v>
      </c>
      <c r="K67" s="944">
        <f>'4.7 TO PT'!K12</f>
        <v>0</v>
      </c>
      <c r="L67" s="944">
        <f>'4.7 TO PT'!L12</f>
        <v>0</v>
      </c>
    </row>
    <row r="68" spans="1:12" ht="15.4">
      <c r="B68" s="942" t="s">
        <v>1497</v>
      </c>
      <c r="C68" s="941" t="s">
        <v>1493</v>
      </c>
      <c r="D68" s="942" t="s">
        <v>1428</v>
      </c>
      <c r="E68" s="942" t="s">
        <v>1950</v>
      </c>
      <c r="F68" s="950"/>
      <c r="H68" s="951">
        <f>'4.7 TO PT'!H13*VLOOKUP(H$5,'1.5 Universal Data'!$C$28:$F$39,4,FALSE)</f>
        <v>0</v>
      </c>
      <c r="I68" s="951">
        <v>0</v>
      </c>
      <c r="J68" s="951">
        <v>0</v>
      </c>
      <c r="K68" s="951">
        <v>0</v>
      </c>
      <c r="L68" s="951">
        <v>0</v>
      </c>
    </row>
    <row r="69" spans="1:12" ht="15.4">
      <c r="B69" s="942" t="s">
        <v>1498</v>
      </c>
      <c r="C69" s="941" t="s">
        <v>1493</v>
      </c>
      <c r="D69" s="942" t="s">
        <v>1428</v>
      </c>
      <c r="E69" s="942" t="s">
        <v>1951</v>
      </c>
      <c r="F69" s="950"/>
      <c r="H69" s="951">
        <f>'4.7 TO PT'!H14*VLOOKUP(H$5,'1.5 Universal Data'!$C$28:$F$39,4,FALSE)</f>
        <v>0</v>
      </c>
      <c r="I69" s="951">
        <v>0</v>
      </c>
      <c r="J69" s="951">
        <v>0</v>
      </c>
      <c r="K69" s="951">
        <v>0</v>
      </c>
      <c r="L69" s="951">
        <v>0</v>
      </c>
    </row>
    <row r="70" spans="1:12" ht="15.4">
      <c r="B70" s="942" t="s">
        <v>1499</v>
      </c>
      <c r="C70" s="941" t="s">
        <v>1500</v>
      </c>
      <c r="D70" s="942" t="s">
        <v>1428</v>
      </c>
      <c r="E70" s="942" t="s">
        <v>1952</v>
      </c>
      <c r="F70" s="950"/>
      <c r="H70" s="944">
        <f>'4.7 TO PT'!H15</f>
        <v>6.5662095682106445</v>
      </c>
      <c r="I70" s="944">
        <f>'4.7 TO PT'!I15</f>
        <v>6.3651571684263457</v>
      </c>
      <c r="J70" s="944">
        <f>'4.7 TO PT'!J15</f>
        <v>6.2766211162093901</v>
      </c>
      <c r="K70" s="944">
        <f>'4.7 TO PT'!K15</f>
        <v>6.3356670516854097</v>
      </c>
      <c r="L70" s="944">
        <f>'4.7 TO PT'!L15</f>
        <v>6.2120807552946236</v>
      </c>
    </row>
    <row r="71" spans="1:12" ht="15.4">
      <c r="B71" s="941" t="s">
        <v>1501</v>
      </c>
      <c r="C71" s="941" t="s">
        <v>1493</v>
      </c>
      <c r="D71" s="942" t="s">
        <v>1428</v>
      </c>
      <c r="E71" s="941" t="s">
        <v>1953</v>
      </c>
      <c r="F71" s="950"/>
      <c r="H71" s="944">
        <f>'4.7 TO PT'!H16</f>
        <v>4.05</v>
      </c>
      <c r="I71" s="944">
        <f>'4.7 TO PT'!I16</f>
        <v>4.05</v>
      </c>
      <c r="J71" s="944">
        <f>'4.7 TO PT'!J16</f>
        <v>4.05</v>
      </c>
      <c r="K71" s="944">
        <f>'4.7 TO PT'!K16</f>
        <v>0</v>
      </c>
      <c r="L71" s="944">
        <f>'4.7 TO PT'!L16</f>
        <v>0</v>
      </c>
    </row>
    <row r="72" spans="1:12" ht="15.4">
      <c r="B72" s="941" t="s">
        <v>1954</v>
      </c>
      <c r="C72" s="941" t="s">
        <v>1493</v>
      </c>
      <c r="D72" s="942" t="s">
        <v>1428</v>
      </c>
      <c r="E72" s="941" t="s">
        <v>1955</v>
      </c>
      <c r="F72" s="950"/>
      <c r="H72" s="951">
        <f>'4.7 TO PT'!H17*VLOOKUP(H$5,'1.5 Universal Data'!$C$28:$F$39,4,FALSE)</f>
        <v>0</v>
      </c>
      <c r="I72" s="951">
        <v>0</v>
      </c>
      <c r="J72" s="951">
        <v>0</v>
      </c>
      <c r="K72" s="951">
        <v>0</v>
      </c>
      <c r="L72" s="951">
        <v>0</v>
      </c>
    </row>
    <row r="74" spans="1:12" s="936" customFormat="1" ht="13.5">
      <c r="A74" s="690" t="s">
        <v>1956</v>
      </c>
      <c r="B74" s="691"/>
      <c r="C74" s="691"/>
      <c r="D74" s="691"/>
      <c r="E74" s="691"/>
      <c r="F74" s="691"/>
      <c r="G74" s="691"/>
      <c r="H74" s="691"/>
      <c r="I74" s="691"/>
      <c r="J74" s="691"/>
      <c r="K74" s="691"/>
      <c r="L74" s="691"/>
    </row>
    <row r="76" spans="1:12" ht="15.4">
      <c r="B76" s="942" t="s">
        <v>1536</v>
      </c>
      <c r="C76" s="942" t="s">
        <v>1537</v>
      </c>
      <c r="D76" s="942" t="s">
        <v>1428</v>
      </c>
      <c r="E76" s="942" t="s">
        <v>1957</v>
      </c>
      <c r="H76" s="944">
        <f>'4.10 TO ODI'!G8</f>
        <v>-3.645</v>
      </c>
      <c r="I76" s="944">
        <f>'4.10 TO ODI'!H8</f>
        <v>-3.645</v>
      </c>
      <c r="J76" s="944">
        <f>'4.10 TO ODI'!I8</f>
        <v>-3.645</v>
      </c>
      <c r="K76" s="944">
        <f>'4.10 TO ODI'!J8</f>
        <v>-3.645</v>
      </c>
      <c r="L76" s="944">
        <f>'4.10 TO ODI'!K8</f>
        <v>-3.645</v>
      </c>
    </row>
    <row r="77" spans="1:12" ht="15.4">
      <c r="B77" s="942" t="s">
        <v>1538</v>
      </c>
      <c r="C77" s="942" t="s">
        <v>1539</v>
      </c>
      <c r="D77" s="942" t="s">
        <v>1428</v>
      </c>
      <c r="E77" s="942" t="s">
        <v>1958</v>
      </c>
      <c r="H77" s="944">
        <f>'4.10 TO ODI'!G9</f>
        <v>-4.5719466000000014E-2</v>
      </c>
      <c r="I77" s="944">
        <f>'4.10 TO ODI'!H9</f>
        <v>-0.10977482099999998</v>
      </c>
      <c r="J77" s="944">
        <f>'4.10 TO ODI'!I9</f>
        <v>-0.10970306099999999</v>
      </c>
      <c r="K77" s="944">
        <f>'4.10 TO ODI'!J9</f>
        <v>-0.10924403099999998</v>
      </c>
      <c r="L77" s="944">
        <f>'4.10 TO ODI'!K9</f>
        <v>-0.10910636100000007</v>
      </c>
    </row>
    <row r="79" spans="1:12" s="936" customFormat="1" ht="13.5">
      <c r="A79" s="690" t="s">
        <v>1959</v>
      </c>
      <c r="B79" s="691"/>
      <c r="C79" s="691"/>
      <c r="D79" s="691"/>
      <c r="E79" s="691"/>
      <c r="F79" s="691"/>
      <c r="G79" s="691"/>
      <c r="H79" s="691"/>
      <c r="I79" s="691"/>
      <c r="J79" s="691"/>
      <c r="K79" s="691"/>
      <c r="L79" s="691"/>
    </row>
    <row r="81" spans="1:12" ht="15.4">
      <c r="B81" s="942" t="s">
        <v>1960</v>
      </c>
      <c r="C81" s="942" t="s">
        <v>1961</v>
      </c>
      <c r="D81" s="942" t="s">
        <v>1428</v>
      </c>
      <c r="E81" s="942" t="s">
        <v>1962</v>
      </c>
      <c r="H81" s="944">
        <f>'4.11 TO ORA'!I8</f>
        <v>0</v>
      </c>
      <c r="I81" s="944">
        <f>'4.11 TO ORA'!J8</f>
        <v>0</v>
      </c>
      <c r="J81" s="944">
        <f>'4.11 TO ORA'!K8</f>
        <v>0</v>
      </c>
      <c r="K81" s="944">
        <f>'4.11 TO ORA'!L8</f>
        <v>0</v>
      </c>
      <c r="L81" s="944">
        <f>'4.11 TO ORA'!M8</f>
        <v>0</v>
      </c>
    </row>
    <row r="82" spans="1:12" ht="15.4">
      <c r="B82" s="942" t="s">
        <v>1963</v>
      </c>
      <c r="C82" s="942" t="s">
        <v>1964</v>
      </c>
      <c r="D82" s="942" t="s">
        <v>1428</v>
      </c>
      <c r="E82" s="942" t="s">
        <v>1965</v>
      </c>
      <c r="H82" s="944">
        <f>'4.11 TO ORA'!I9</f>
        <v>0</v>
      </c>
      <c r="I82" s="944">
        <f>'4.11 TO ORA'!J9</f>
        <v>0</v>
      </c>
      <c r="J82" s="944">
        <f>'4.11 TO ORA'!K9</f>
        <v>0</v>
      </c>
      <c r="K82" s="944">
        <f>'4.11 TO ORA'!L9</f>
        <v>0</v>
      </c>
      <c r="L82" s="944">
        <f>'4.11 TO ORA'!M9</f>
        <v>0</v>
      </c>
    </row>
    <row r="83" spans="1:12" ht="15.4">
      <c r="B83" s="942" t="s">
        <v>1966</v>
      </c>
      <c r="C83" s="942" t="s">
        <v>1967</v>
      </c>
      <c r="D83" s="942" t="s">
        <v>1428</v>
      </c>
      <c r="E83" s="942" t="s">
        <v>1968</v>
      </c>
      <c r="H83" s="944">
        <f>'4.11 TO ORA'!I10</f>
        <v>0</v>
      </c>
      <c r="I83" s="944">
        <f>'4.11 TO ORA'!J10</f>
        <v>0</v>
      </c>
      <c r="J83" s="944">
        <f>'4.11 TO ORA'!K10</f>
        <v>0</v>
      </c>
      <c r="K83" s="944">
        <f>'4.11 TO ORA'!L10</f>
        <v>0</v>
      </c>
      <c r="L83" s="944">
        <f>'4.11 TO ORA'!M10</f>
        <v>0</v>
      </c>
    </row>
    <row r="84" spans="1:12">
      <c r="C84" s="942"/>
    </row>
    <row r="86" spans="1:12" ht="18">
      <c r="A86" s="696" t="s">
        <v>1969</v>
      </c>
      <c r="B86" s="697"/>
      <c r="C86" s="697"/>
      <c r="D86" s="697"/>
      <c r="E86" s="697"/>
      <c r="F86" s="697"/>
      <c r="G86" s="697"/>
      <c r="H86" s="697"/>
      <c r="I86" s="697"/>
      <c r="J86" s="697"/>
      <c r="K86" s="697"/>
      <c r="L86" s="697"/>
    </row>
    <row r="88" spans="1:12">
      <c r="B88" s="942" t="s">
        <v>1970</v>
      </c>
    </row>
    <row r="90" spans="1:12" ht="15.4">
      <c r="B90" s="939" t="s">
        <v>1971</v>
      </c>
      <c r="D90" s="939" t="s">
        <v>1403</v>
      </c>
      <c r="E90" s="939" t="s">
        <v>1972</v>
      </c>
      <c r="H90" s="953">
        <f>'4.13 TO Tax Pools Totex alloc'!I99</f>
        <v>0</v>
      </c>
      <c r="I90" s="953">
        <f>'4.13 TO Tax Pools Totex alloc'!J99</f>
        <v>0</v>
      </c>
      <c r="J90" s="953">
        <f>'4.13 TO Tax Pools Totex alloc'!K99</f>
        <v>0</v>
      </c>
      <c r="K90" s="953">
        <f>'4.13 TO Tax Pools Totex alloc'!L99</f>
        <v>0</v>
      </c>
      <c r="L90" s="953">
        <f>'4.13 TO Tax Pools Totex alloc'!M99</f>
        <v>0</v>
      </c>
    </row>
    <row r="91" spans="1:12" ht="15.4">
      <c r="B91" s="939" t="s">
        <v>1973</v>
      </c>
      <c r="D91" s="939" t="s">
        <v>1403</v>
      </c>
      <c r="E91" s="939" t="s">
        <v>1974</v>
      </c>
      <c r="H91" s="953">
        <f>'4.13 TO Tax Pools Totex alloc'!I100</f>
        <v>0</v>
      </c>
      <c r="I91" s="953">
        <f>'4.13 TO Tax Pools Totex alloc'!J100</f>
        <v>0</v>
      </c>
      <c r="J91" s="953">
        <f>'4.13 TO Tax Pools Totex alloc'!K100</f>
        <v>0</v>
      </c>
      <c r="K91" s="953">
        <f>'4.13 TO Tax Pools Totex alloc'!L100</f>
        <v>0</v>
      </c>
      <c r="L91" s="953">
        <f>'4.13 TO Tax Pools Totex alloc'!M100</f>
        <v>0</v>
      </c>
    </row>
    <row r="92" spans="1:12" ht="15.4">
      <c r="B92" s="939" t="s">
        <v>1975</v>
      </c>
      <c r="D92" s="939" t="s">
        <v>1403</v>
      </c>
      <c r="E92" s="939" t="s">
        <v>1976</v>
      </c>
      <c r="H92" s="953">
        <f>'4.13 TO Tax Pools Totex alloc'!I101</f>
        <v>0</v>
      </c>
      <c r="I92" s="953">
        <f>'4.13 TO Tax Pools Totex alloc'!J101</f>
        <v>0</v>
      </c>
      <c r="J92" s="953">
        <f>'4.13 TO Tax Pools Totex alloc'!K101</f>
        <v>0</v>
      </c>
      <c r="K92" s="953">
        <f>'4.13 TO Tax Pools Totex alloc'!L101</f>
        <v>0</v>
      </c>
      <c r="L92" s="953">
        <f>'4.13 TO Tax Pools Totex alloc'!M101</f>
        <v>0</v>
      </c>
    </row>
    <row r="93" spans="1:12" ht="15.4">
      <c r="B93" s="939" t="s">
        <v>1977</v>
      </c>
      <c r="D93" s="939" t="s">
        <v>1403</v>
      </c>
      <c r="E93" s="939" t="s">
        <v>1978</v>
      </c>
      <c r="H93" s="953">
        <f>'4.13 TO Tax Pools Totex alloc'!I102</f>
        <v>0</v>
      </c>
      <c r="I93" s="953">
        <f>'4.13 TO Tax Pools Totex alloc'!J102</f>
        <v>0</v>
      </c>
      <c r="J93" s="953">
        <f>'4.13 TO Tax Pools Totex alloc'!K102</f>
        <v>0</v>
      </c>
      <c r="K93" s="953">
        <f>'4.13 TO Tax Pools Totex alloc'!L102</f>
        <v>0</v>
      </c>
      <c r="L93" s="953">
        <f>'4.13 TO Tax Pools Totex alloc'!M102</f>
        <v>0</v>
      </c>
    </row>
    <row r="94" spans="1:12" ht="15.4">
      <c r="B94" s="939" t="s">
        <v>1979</v>
      </c>
      <c r="D94" s="939" t="s">
        <v>1403</v>
      </c>
      <c r="E94" s="939" t="s">
        <v>1980</v>
      </c>
      <c r="H94" s="953">
        <f>'4.13 TO Tax Pools Totex alloc'!I103</f>
        <v>0</v>
      </c>
      <c r="I94" s="953">
        <f>'4.13 TO Tax Pools Totex alloc'!J103</f>
        <v>0</v>
      </c>
      <c r="J94" s="953">
        <f>'4.13 TO Tax Pools Totex alloc'!K103</f>
        <v>0</v>
      </c>
      <c r="K94" s="953">
        <f>'4.13 TO Tax Pools Totex alloc'!L103</f>
        <v>0</v>
      </c>
      <c r="L94" s="953">
        <f>'4.13 TO Tax Pools Totex alloc'!M103</f>
        <v>0</v>
      </c>
    </row>
    <row r="95" spans="1:12" ht="15.4">
      <c r="B95" s="939" t="s">
        <v>1981</v>
      </c>
      <c r="D95" s="939" t="s">
        <v>1403</v>
      </c>
      <c r="E95" s="939" t="s">
        <v>1982</v>
      </c>
      <c r="H95" s="953">
        <f>'4.13 TO Tax Pools Totex alloc'!I104</f>
        <v>0</v>
      </c>
      <c r="I95" s="953">
        <f>'4.13 TO Tax Pools Totex alloc'!J104</f>
        <v>0</v>
      </c>
      <c r="J95" s="953">
        <f>'4.13 TO Tax Pools Totex alloc'!K104</f>
        <v>0</v>
      </c>
      <c r="K95" s="953">
        <f>'4.13 TO Tax Pools Totex alloc'!L104</f>
        <v>0</v>
      </c>
      <c r="L95" s="953">
        <f>'4.13 TO Tax Pools Totex alloc'!M104</f>
        <v>0</v>
      </c>
    </row>
    <row r="98" spans="1:12" ht="18">
      <c r="A98" s="696" t="s">
        <v>1983</v>
      </c>
      <c r="B98" s="697"/>
      <c r="C98" s="697"/>
      <c r="D98" s="697"/>
      <c r="E98" s="697"/>
      <c r="F98" s="697"/>
      <c r="G98" s="697"/>
      <c r="H98" s="697"/>
      <c r="I98" s="697"/>
      <c r="J98" s="697"/>
      <c r="K98" s="697"/>
      <c r="L98" s="697"/>
    </row>
    <row r="100" spans="1:12" ht="15.4">
      <c r="B100" s="954" t="s">
        <v>1984</v>
      </c>
      <c r="C100" s="936"/>
      <c r="D100" s="955" t="s">
        <v>1428</v>
      </c>
      <c r="E100" s="936" t="s">
        <v>1985</v>
      </c>
      <c r="F100" s="936"/>
      <c r="G100" s="936"/>
      <c r="H100" s="944" cm="1">
        <f t="array" ref="H100:L100">TOPREDRSt</f>
        <v>0</v>
      </c>
      <c r="I100" s="944">
        <v>0</v>
      </c>
      <c r="J100" s="944">
        <v>0</v>
      </c>
      <c r="K100" s="944">
        <v>0</v>
      </c>
      <c r="L100" s="944">
        <v>0</v>
      </c>
    </row>
    <row r="101" spans="1:12" ht="15.4">
      <c r="B101" s="954" t="s">
        <v>1986</v>
      </c>
      <c r="C101" s="936"/>
      <c r="D101" s="955" t="s">
        <v>1428</v>
      </c>
      <c r="E101" s="936" t="s">
        <v>1987</v>
      </c>
      <c r="F101" s="936"/>
      <c r="G101" s="936"/>
      <c r="H101" s="944" cm="1">
        <f t="array" ref="H101:L101">TOPOSDRSt</f>
        <v>0</v>
      </c>
      <c r="I101" s="944">
        <v>0</v>
      </c>
      <c r="J101" s="944">
        <v>0</v>
      </c>
      <c r="K101" s="944">
        <v>0</v>
      </c>
      <c r="L101" s="944">
        <v>0</v>
      </c>
    </row>
    <row r="102" spans="1:12" ht="15.4">
      <c r="B102" s="954" t="s">
        <v>1988</v>
      </c>
      <c r="C102" s="936"/>
      <c r="D102" s="955" t="s">
        <v>1428</v>
      </c>
      <c r="E102" s="936" t="s">
        <v>1989</v>
      </c>
      <c r="F102" s="936"/>
      <c r="G102" s="936"/>
      <c r="H102" s="944" cm="1">
        <f t="array" ref="H102:L102">TOOIDRSt</f>
        <v>0</v>
      </c>
      <c r="I102" s="944">
        <v>0</v>
      </c>
      <c r="J102" s="944">
        <v>0</v>
      </c>
      <c r="K102" s="944">
        <v>0</v>
      </c>
      <c r="L102" s="944">
        <v>0</v>
      </c>
    </row>
    <row r="103" spans="1:12" ht="15.4">
      <c r="B103" s="954" t="s">
        <v>1990</v>
      </c>
      <c r="C103" s="936"/>
      <c r="D103" s="955" t="s">
        <v>1428</v>
      </c>
      <c r="E103" s="936" t="s">
        <v>1991</v>
      </c>
      <c r="F103" s="936"/>
      <c r="G103" s="936"/>
      <c r="H103" s="944" cm="1">
        <f t="array" ref="H103:L103">TOIDRSt</f>
        <v>0</v>
      </c>
      <c r="I103" s="944">
        <v>0</v>
      </c>
      <c r="J103" s="944">
        <v>0</v>
      </c>
      <c r="K103" s="944">
        <v>0</v>
      </c>
      <c r="L103" s="944">
        <v>0</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60"/>
  <sheetViews>
    <sheetView showGridLines="0" zoomScale="90" zoomScaleNormal="90" workbookViewId="0">
      <pane ySplit="5" topLeftCell="A6" activePane="bottomLeft" state="frozen"/>
      <selection activeCell="F30" sqref="F30"/>
      <selection pane="bottomLeft"/>
    </sheetView>
  </sheetViews>
  <sheetFormatPr defaultColWidth="9.1328125" defaultRowHeight="12.4"/>
  <cols>
    <col min="1" max="1" width="9.1328125" style="939"/>
    <col min="2" max="2" width="58" style="939" customWidth="1"/>
    <col min="3" max="3" width="9.1328125" style="939"/>
    <col min="4" max="4" width="19.1328125" style="939" customWidth="1"/>
    <col min="5" max="7" width="9.1328125" style="939"/>
    <col min="8" max="12" width="13.3984375" style="939" customWidth="1"/>
    <col min="13" max="16384" width="9.1328125" style="939"/>
  </cols>
  <sheetData>
    <row r="1" spans="1:14" s="934" customFormat="1" ht="14.65">
      <c r="A1" s="930" t="s">
        <v>1418</v>
      </c>
      <c r="B1" s="931"/>
      <c r="C1" s="931"/>
      <c r="D1" s="931"/>
      <c r="E1" s="932"/>
      <c r="F1" s="932"/>
      <c r="G1" s="932"/>
      <c r="H1" s="932"/>
      <c r="I1" s="932"/>
      <c r="J1" s="932"/>
      <c r="K1" s="930"/>
      <c r="L1" s="930"/>
      <c r="M1" s="933"/>
      <c r="N1" s="933"/>
    </row>
    <row r="2" spans="1:14" s="934" customFormat="1" ht="14.65">
      <c r="A2" s="930" t="str">
        <f>'1.1 Cover'!A3</f>
        <v>Price base - 2018/19</v>
      </c>
      <c r="B2" s="935"/>
      <c r="C2" s="935"/>
      <c r="D2" s="935"/>
      <c r="E2" s="930"/>
      <c r="F2" s="930"/>
      <c r="G2" s="930"/>
      <c r="H2" s="930"/>
      <c r="I2" s="930"/>
      <c r="J2" s="930"/>
      <c r="K2" s="930"/>
      <c r="L2" s="930"/>
      <c r="M2" s="933"/>
      <c r="N2" s="933"/>
    </row>
    <row r="3" spans="1:14" s="934" customFormat="1" ht="27" customHeight="1">
      <c r="A3" s="935" t="s">
        <v>1992</v>
      </c>
      <c r="B3" s="935"/>
      <c r="C3" s="935"/>
      <c r="D3" s="935"/>
      <c r="E3" s="935"/>
      <c r="F3" s="930"/>
      <c r="G3" s="930"/>
      <c r="H3" s="930"/>
      <c r="I3" s="930"/>
      <c r="J3" s="930"/>
      <c r="K3" s="930"/>
      <c r="L3" s="930"/>
      <c r="M3" s="933"/>
      <c r="N3" s="933"/>
    </row>
    <row r="4" spans="1:14" s="936" customFormat="1"/>
    <row r="5" spans="1:14" s="936" customFormat="1" ht="13.5">
      <c r="H5" s="937" t="s">
        <v>1420</v>
      </c>
      <c r="I5" s="937" t="s">
        <v>1421</v>
      </c>
      <c r="J5" s="937" t="s">
        <v>1422</v>
      </c>
      <c r="K5" s="937" t="s">
        <v>1423</v>
      </c>
      <c r="L5" s="937" t="s">
        <v>1424</v>
      </c>
    </row>
    <row r="6" spans="1:14" s="936" customFormat="1" ht="13.5">
      <c r="H6" s="938"/>
      <c r="I6" s="938"/>
      <c r="J6" s="938"/>
      <c r="K6" s="938"/>
      <c r="L6" s="938"/>
    </row>
    <row r="7" spans="1:14" s="936" customFormat="1" ht="18">
      <c r="A7" s="696" t="s">
        <v>1895</v>
      </c>
      <c r="B7" s="697"/>
      <c r="C7" s="697"/>
      <c r="D7" s="697"/>
      <c r="E7" s="697"/>
      <c r="F7" s="697"/>
      <c r="G7" s="697"/>
      <c r="H7" s="697"/>
      <c r="I7" s="697"/>
      <c r="J7" s="697"/>
      <c r="K7" s="697"/>
      <c r="L7" s="697"/>
    </row>
    <row r="9" spans="1:14" ht="26.45" customHeight="1">
      <c r="B9" s="940" t="s">
        <v>1450</v>
      </c>
      <c r="C9" s="940" t="s">
        <v>1451</v>
      </c>
      <c r="D9" s="941" t="s">
        <v>1428</v>
      </c>
      <c r="E9" s="942" t="s">
        <v>1903</v>
      </c>
      <c r="F9" s="943" t="s">
        <v>104</v>
      </c>
      <c r="H9" s="944">
        <f>'4.4 SO PCDs '!J26</f>
        <v>0</v>
      </c>
      <c r="I9" s="944">
        <f>'4.4 SO PCDs '!K26</f>
        <v>0</v>
      </c>
      <c r="J9" s="944">
        <f>'4.4 SO PCDs '!L26</f>
        <v>0</v>
      </c>
      <c r="K9" s="944">
        <f>'4.4 SO PCDs '!M26</f>
        <v>0</v>
      </c>
      <c r="L9" s="944">
        <f>'4.4 SO PCDs '!N26</f>
        <v>0</v>
      </c>
    </row>
    <row r="10" spans="1:14" ht="25.5" customHeight="1">
      <c r="B10" s="940" t="s">
        <v>1430</v>
      </c>
      <c r="C10" s="940" t="s">
        <v>1432</v>
      </c>
      <c r="D10" s="941" t="s">
        <v>1428</v>
      </c>
      <c r="E10" s="942" t="s">
        <v>1905</v>
      </c>
      <c r="F10" s="945" t="s">
        <v>104</v>
      </c>
      <c r="H10" s="944">
        <f>'4.4 SO PCDs '!J11</f>
        <v>0</v>
      </c>
      <c r="I10" s="944">
        <f>'4.4 SO PCDs '!K11</f>
        <v>0</v>
      </c>
      <c r="J10" s="944">
        <f>'4.4 SO PCDs '!L11</f>
        <v>0</v>
      </c>
      <c r="K10" s="944">
        <f>'4.4 SO PCDs '!M11</f>
        <v>0</v>
      </c>
      <c r="L10" s="944">
        <f>'4.4 SO PCDs '!N11</f>
        <v>0</v>
      </c>
    </row>
    <row r="11" spans="1:14" ht="15.75" customHeight="1">
      <c r="B11" s="940" t="s">
        <v>1437</v>
      </c>
      <c r="C11" s="940" t="s">
        <v>1436</v>
      </c>
      <c r="D11" s="941" t="s">
        <v>1428</v>
      </c>
      <c r="E11" s="942" t="s">
        <v>1906</v>
      </c>
      <c r="F11" s="945" t="s">
        <v>104</v>
      </c>
      <c r="H11" s="944">
        <f>'4.4 SO PCDs '!J18</f>
        <v>7.6181795867888376</v>
      </c>
      <c r="I11" s="944">
        <f>'4.4 SO PCDs '!K18</f>
        <v>2.5210493772270617</v>
      </c>
      <c r="J11" s="944">
        <f>'4.4 SO PCDs '!L18</f>
        <v>2.2310136572664043</v>
      </c>
      <c r="K11" s="944">
        <f>'4.4 SO PCDs '!M18</f>
        <v>0</v>
      </c>
      <c r="L11" s="944">
        <f>'4.4 SO PCDs '!N18</f>
        <v>0</v>
      </c>
    </row>
    <row r="12" spans="1:14" ht="15.75" customHeight="1">
      <c r="B12" s="940" t="s">
        <v>1909</v>
      </c>
      <c r="C12" s="940"/>
      <c r="D12" s="941" t="s">
        <v>1428</v>
      </c>
      <c r="E12" s="942"/>
      <c r="F12" s="945" t="s">
        <v>104</v>
      </c>
      <c r="H12" s="946" t="s">
        <v>1535</v>
      </c>
      <c r="I12" s="946" t="s">
        <v>1535</v>
      </c>
      <c r="J12" s="946" t="s">
        <v>1535</v>
      </c>
      <c r="K12" s="946" t="s">
        <v>1535</v>
      </c>
      <c r="L12" s="946" t="s">
        <v>1535</v>
      </c>
    </row>
    <row r="13" spans="1:14" ht="15.75" customHeight="1">
      <c r="B13" s="940" t="s">
        <v>1910</v>
      </c>
      <c r="C13" s="940"/>
      <c r="D13" s="941" t="s">
        <v>1428</v>
      </c>
      <c r="E13" s="942"/>
      <c r="F13" s="945" t="s">
        <v>104</v>
      </c>
      <c r="H13" s="946" t="s">
        <v>1535</v>
      </c>
      <c r="I13" s="946" t="s">
        <v>1535</v>
      </c>
      <c r="J13" s="946" t="s">
        <v>1535</v>
      </c>
      <c r="K13" s="946" t="s">
        <v>1535</v>
      </c>
      <c r="L13" s="946" t="s">
        <v>1535</v>
      </c>
    </row>
    <row r="14" spans="1:14" ht="15.75" customHeight="1">
      <c r="B14" s="940" t="s">
        <v>1911</v>
      </c>
      <c r="C14" s="940"/>
      <c r="D14" s="941" t="s">
        <v>1428</v>
      </c>
      <c r="E14" s="942"/>
      <c r="F14" s="945" t="s">
        <v>104</v>
      </c>
      <c r="H14" s="946" t="s">
        <v>1535</v>
      </c>
      <c r="I14" s="946" t="s">
        <v>1535</v>
      </c>
      <c r="J14" s="946" t="s">
        <v>1535</v>
      </c>
      <c r="K14" s="946" t="s">
        <v>1535</v>
      </c>
      <c r="L14" s="946" t="s">
        <v>1535</v>
      </c>
    </row>
    <row r="15" spans="1:14" ht="15.4">
      <c r="B15" s="940" t="s">
        <v>1462</v>
      </c>
      <c r="C15" s="941" t="s">
        <v>1432</v>
      </c>
      <c r="D15" s="941" t="s">
        <v>1428</v>
      </c>
      <c r="E15" s="940" t="s">
        <v>1480</v>
      </c>
      <c r="F15" s="945" t="s">
        <v>1914</v>
      </c>
      <c r="H15" s="944">
        <f>'4.6 SO Re-openers'!H11</f>
        <v>0</v>
      </c>
      <c r="I15" s="944">
        <f>'4.6 SO Re-openers'!I11</f>
        <v>0</v>
      </c>
      <c r="J15" s="944">
        <f>'4.6 SO Re-openers'!J11</f>
        <v>0</v>
      </c>
      <c r="K15" s="944">
        <f>'4.6 SO Re-openers'!K11</f>
        <v>0</v>
      </c>
      <c r="L15" s="944">
        <f>'4.6 SO Re-openers'!L11</f>
        <v>0</v>
      </c>
    </row>
    <row r="16" spans="1:14" ht="15.4">
      <c r="B16" s="940" t="s">
        <v>1465</v>
      </c>
      <c r="C16" s="956" t="s">
        <v>1436</v>
      </c>
      <c r="D16" s="941" t="s">
        <v>1428</v>
      </c>
      <c r="E16" s="956" t="s">
        <v>1993</v>
      </c>
      <c r="F16" s="945" t="s">
        <v>1914</v>
      </c>
      <c r="H16" s="944">
        <f>'4.6 SO Re-openers'!H17</f>
        <v>0</v>
      </c>
      <c r="I16" s="944">
        <f>'4.6 SO Re-openers'!I17</f>
        <v>0</v>
      </c>
      <c r="J16" s="944">
        <f>'4.6 SO Re-openers'!J17</f>
        <v>0</v>
      </c>
      <c r="K16" s="944">
        <f>'4.6 SO Re-openers'!K17</f>
        <v>0</v>
      </c>
      <c r="L16" s="944">
        <f>'4.6 SO Re-openers'!L17</f>
        <v>0</v>
      </c>
    </row>
    <row r="17" spans="1:12" ht="15.4">
      <c r="B17" s="940" t="s">
        <v>1994</v>
      </c>
      <c r="C17" s="941" t="s">
        <v>1920</v>
      </c>
      <c r="D17" s="941" t="s">
        <v>1428</v>
      </c>
      <c r="E17" s="956" t="s">
        <v>1995</v>
      </c>
      <c r="F17" s="945" t="s">
        <v>1914</v>
      </c>
      <c r="H17" s="944">
        <f>'4.6 SO Re-openers'!H23</f>
        <v>0</v>
      </c>
      <c r="I17" s="944">
        <f>'4.6 SO Re-openers'!I23</f>
        <v>0</v>
      </c>
      <c r="J17" s="944">
        <f>'4.6 SO Re-openers'!J23</f>
        <v>0</v>
      </c>
      <c r="K17" s="944">
        <f>'4.6 SO Re-openers'!K23</f>
        <v>0</v>
      </c>
      <c r="L17" s="944">
        <f>'4.6 SO Re-openers'!L23</f>
        <v>0</v>
      </c>
    </row>
    <row r="18" spans="1:12" ht="24.75">
      <c r="B18" s="940" t="s">
        <v>1474</v>
      </c>
      <c r="C18" s="940" t="s">
        <v>1451</v>
      </c>
      <c r="D18" s="941" t="s">
        <v>1428</v>
      </c>
      <c r="E18" s="956" t="s">
        <v>1996</v>
      </c>
      <c r="F18" s="945" t="s">
        <v>1914</v>
      </c>
      <c r="H18" s="944">
        <f>'4.6 SO Re-openers'!H35</f>
        <v>0</v>
      </c>
      <c r="I18" s="944">
        <f>'4.6 SO Re-openers'!I35</f>
        <v>0</v>
      </c>
      <c r="J18" s="944">
        <f>'4.6 SO Re-openers'!J35</f>
        <v>0</v>
      </c>
      <c r="K18" s="944">
        <f>'4.6 SO Re-openers'!K35</f>
        <v>0</v>
      </c>
      <c r="L18" s="944">
        <f>'4.6 SO Re-openers'!L35</f>
        <v>0</v>
      </c>
    </row>
    <row r="19" spans="1:12" ht="15.4">
      <c r="B19" s="957" t="s">
        <v>1997</v>
      </c>
      <c r="C19" s="939" t="s">
        <v>1489</v>
      </c>
      <c r="D19" s="941" t="s">
        <v>1428</v>
      </c>
      <c r="E19" s="956" t="s">
        <v>1998</v>
      </c>
      <c r="F19" s="945" t="s">
        <v>1914</v>
      </c>
      <c r="H19" s="944">
        <f>'4.6 SO Re-openers'!H28</f>
        <v>0</v>
      </c>
      <c r="I19" s="944">
        <f>'4.6 SO Re-openers'!I28</f>
        <v>0</v>
      </c>
      <c r="J19" s="944">
        <f>'4.6 SO Re-openers'!J28</f>
        <v>0</v>
      </c>
      <c r="K19" s="944">
        <f>'4.6 SO Re-openers'!K28</f>
        <v>0</v>
      </c>
      <c r="L19" s="944">
        <f>'4.6 SO Re-openers'!L28</f>
        <v>0</v>
      </c>
    </row>
    <row r="20" spans="1:12">
      <c r="B20" s="939" t="s">
        <v>1942</v>
      </c>
      <c r="C20" s="940"/>
      <c r="D20" s="941" t="s">
        <v>1428</v>
      </c>
      <c r="F20" s="945" t="s">
        <v>1914</v>
      </c>
      <c r="H20" s="946" t="s">
        <v>1535</v>
      </c>
      <c r="I20" s="946" t="s">
        <v>1535</v>
      </c>
      <c r="J20" s="946" t="s">
        <v>1535</v>
      </c>
      <c r="K20" s="946" t="s">
        <v>1535</v>
      </c>
      <c r="L20" s="946" t="s">
        <v>1535</v>
      </c>
    </row>
    <row r="21" spans="1:12">
      <c r="B21" s="939" t="s">
        <v>1943</v>
      </c>
      <c r="C21" s="940"/>
      <c r="D21" s="941" t="s">
        <v>1428</v>
      </c>
      <c r="F21" s="945" t="s">
        <v>1914</v>
      </c>
      <c r="H21" s="946" t="s">
        <v>1535</v>
      </c>
      <c r="I21" s="946" t="s">
        <v>1535</v>
      </c>
      <c r="J21" s="946" t="s">
        <v>1535</v>
      </c>
      <c r="K21" s="946" t="s">
        <v>1535</v>
      </c>
      <c r="L21" s="946" t="s">
        <v>1535</v>
      </c>
    </row>
    <row r="22" spans="1:12">
      <c r="B22" s="939" t="s">
        <v>1944</v>
      </c>
      <c r="C22" s="940"/>
      <c r="D22" s="941" t="s">
        <v>1428</v>
      </c>
      <c r="F22" s="947" t="s">
        <v>1914</v>
      </c>
      <c r="H22" s="946" t="s">
        <v>1535</v>
      </c>
      <c r="I22" s="946" t="s">
        <v>1535</v>
      </c>
      <c r="J22" s="946" t="s">
        <v>1535</v>
      </c>
      <c r="K22" s="946" t="s">
        <v>1535</v>
      </c>
      <c r="L22" s="946" t="s">
        <v>1535</v>
      </c>
    </row>
    <row r="24" spans="1:12" ht="13.5">
      <c r="A24" s="690" t="s">
        <v>231</v>
      </c>
      <c r="B24" s="691"/>
      <c r="C24" s="691"/>
      <c r="D24" s="691"/>
      <c r="E24" s="691"/>
      <c r="F24" s="691"/>
      <c r="G24" s="691"/>
      <c r="H24" s="691"/>
      <c r="I24" s="691"/>
      <c r="J24" s="691"/>
      <c r="K24" s="691"/>
      <c r="L24" s="691"/>
    </row>
    <row r="26" spans="1:12">
      <c r="B26" s="958" t="s">
        <v>229</v>
      </c>
      <c r="C26" s="958"/>
      <c r="D26" s="942" t="s">
        <v>1428</v>
      </c>
      <c r="E26" s="939" t="s">
        <v>246</v>
      </c>
      <c r="H26" s="944" cm="1">
        <f t="array" ref="H26:L26">SOSOANC</f>
        <v>0</v>
      </c>
      <c r="I26" s="944">
        <v>0</v>
      </c>
      <c r="J26" s="944">
        <v>0</v>
      </c>
      <c r="K26" s="944">
        <v>0</v>
      </c>
      <c r="L26" s="944">
        <v>0</v>
      </c>
    </row>
    <row r="27" spans="1:12">
      <c r="B27" s="958" t="s">
        <v>245</v>
      </c>
      <c r="C27" s="942"/>
      <c r="D27" s="942" t="s">
        <v>1428</v>
      </c>
      <c r="E27" s="939" t="s">
        <v>247</v>
      </c>
      <c r="H27" s="944" cm="1">
        <f t="array" ref="H27:L27">SOSOACO</f>
        <v>0</v>
      </c>
      <c r="I27" s="944">
        <v>0</v>
      </c>
      <c r="J27" s="944">
        <v>0</v>
      </c>
      <c r="K27" s="944">
        <v>0</v>
      </c>
      <c r="L27" s="944">
        <v>0</v>
      </c>
    </row>
    <row r="29" spans="1:12" ht="13.5">
      <c r="A29" s="690" t="s">
        <v>1945</v>
      </c>
      <c r="B29" s="691"/>
      <c r="C29" s="691"/>
      <c r="D29" s="691"/>
      <c r="E29" s="691"/>
      <c r="F29" s="691"/>
      <c r="G29" s="691"/>
      <c r="H29" s="691"/>
      <c r="I29" s="691"/>
      <c r="J29" s="691"/>
      <c r="K29" s="691"/>
      <c r="L29" s="691"/>
    </row>
    <row r="32" spans="1:12" ht="15.4">
      <c r="B32" s="941" t="s">
        <v>1527</v>
      </c>
      <c r="C32" s="941" t="s">
        <v>1528</v>
      </c>
      <c r="D32" s="941" t="s">
        <v>1428</v>
      </c>
      <c r="E32" s="941" t="s">
        <v>1999</v>
      </c>
      <c r="H32" s="959">
        <f>'4.8 SO PT '!H9*VLOOKUP(H$5,'1.5 Universal Data'!$C$28:$F$39,4,FALSE)</f>
        <v>0</v>
      </c>
      <c r="I32" s="959">
        <f>'4.8 SO PT '!I9*VLOOKUP(I$5,'1.5 Universal Data'!$C$28:$F$39,4,FALSE)</f>
        <v>0</v>
      </c>
      <c r="J32" s="959">
        <f>'4.8 SO PT '!J9*VLOOKUP(J$5,'1.5 Universal Data'!$C$28:$F$39,4,FALSE)</f>
        <v>0</v>
      </c>
      <c r="K32" s="959">
        <f>'4.8 SO PT '!K9*VLOOKUP(K$5,'1.5 Universal Data'!$C$28:$F$39,4,FALSE)</f>
        <v>0</v>
      </c>
      <c r="L32" s="959">
        <f>'4.8 SO PT '!L9*VLOOKUP(L$5,'1.5 Universal Data'!$C$28:$F$39,4,FALSE)</f>
        <v>0</v>
      </c>
    </row>
    <row r="33" spans="1:12" ht="15.4">
      <c r="B33" s="941" t="s">
        <v>2000</v>
      </c>
      <c r="C33" s="941" t="s">
        <v>1528</v>
      </c>
      <c r="D33" s="941" t="s">
        <v>1428</v>
      </c>
      <c r="E33" s="941" t="s">
        <v>2001</v>
      </c>
      <c r="H33" s="944">
        <f>'4.8 SO PT '!H10</f>
        <v>0</v>
      </c>
      <c r="I33" s="944">
        <f>'4.8 SO PT '!I10</f>
        <v>0</v>
      </c>
      <c r="J33" s="944">
        <f>'4.8 SO PT '!J10</f>
        <v>0</v>
      </c>
      <c r="K33" s="944">
        <f>'4.8 SO PT '!K10</f>
        <v>0</v>
      </c>
      <c r="L33" s="944">
        <f>'4.8 SO PT '!L10</f>
        <v>0</v>
      </c>
    </row>
    <row r="34" spans="1:12" ht="15.4">
      <c r="B34" s="942" t="s">
        <v>1529</v>
      </c>
      <c r="C34" s="941" t="s">
        <v>1528</v>
      </c>
      <c r="D34" s="942" t="s">
        <v>1428</v>
      </c>
      <c r="E34" s="942" t="s">
        <v>2002</v>
      </c>
      <c r="H34" s="959">
        <f>'4.8 SO PT '!H11*VLOOKUP(H$5,'1.5 Universal Data'!$C$28:$F$39,4,FALSE)</f>
        <v>0</v>
      </c>
      <c r="I34" s="959">
        <f>'4.8 SO PT '!I11*VLOOKUP(I$5,'1.5 Universal Data'!$C$28:$F$39,4,FALSE)</f>
        <v>0</v>
      </c>
      <c r="J34" s="959">
        <f>'4.8 SO PT '!J11*VLOOKUP(J$5,'1.5 Universal Data'!$C$28:$F$39,4,FALSE)</f>
        <v>0</v>
      </c>
      <c r="K34" s="959">
        <f>'4.8 SO PT '!K11*VLOOKUP(K$5,'1.5 Universal Data'!$C$28:$F$39,4,FALSE)</f>
        <v>0</v>
      </c>
      <c r="L34" s="959">
        <f>'4.8 SO PT '!L11*VLOOKUP(L$5,'1.5 Universal Data'!$C$28:$F$39,4,FALSE)</f>
        <v>0</v>
      </c>
    </row>
    <row r="36" spans="1:12" ht="13.5">
      <c r="A36" s="699" t="s">
        <v>1959</v>
      </c>
      <c r="B36" s="960"/>
      <c r="C36" s="960"/>
      <c r="D36" s="960"/>
      <c r="E36" s="960"/>
      <c r="F36" s="960"/>
      <c r="G36" s="960"/>
      <c r="H36" s="960"/>
      <c r="I36" s="960"/>
      <c r="J36" s="960"/>
      <c r="K36" s="960"/>
      <c r="L36" s="960"/>
    </row>
    <row r="38" spans="1:12" ht="15.4">
      <c r="B38" s="700" t="s">
        <v>1557</v>
      </c>
      <c r="C38" s="941" t="s">
        <v>1558</v>
      </c>
      <c r="D38" s="942" t="s">
        <v>2003</v>
      </c>
      <c r="E38" s="701" t="s">
        <v>2004</v>
      </c>
      <c r="H38" s="959">
        <f>'4.12 SO ORA'!G11*VLOOKUP(H$5,'1.5 Universal Data'!$C$28:$F$39,3,FALSE)</f>
        <v>0</v>
      </c>
      <c r="I38" s="959">
        <f>'4.12 SO ORA'!H11*VLOOKUP(I$5,'1.5 Universal Data'!$C$28:$F$39,3,FALSE)</f>
        <v>0</v>
      </c>
      <c r="J38" s="959">
        <f>'4.12 SO ORA'!I11*VLOOKUP(J$5,'1.5 Universal Data'!$C$28:$F$39,3,FALSE)</f>
        <v>0</v>
      </c>
      <c r="K38" s="959">
        <f>'4.12 SO ORA'!J11*VLOOKUP(K$5,'1.5 Universal Data'!$C$28:$F$39,3,FALSE)</f>
        <v>0</v>
      </c>
      <c r="L38" s="959">
        <f>'4.12 SO ORA'!K11*VLOOKUP(L$5,'1.5 Universal Data'!$C$28:$F$39,3,FALSE)</f>
        <v>0</v>
      </c>
    </row>
    <row r="39" spans="1:12" ht="15.4">
      <c r="B39" s="700" t="s">
        <v>2005</v>
      </c>
      <c r="C39" s="941" t="s">
        <v>1558</v>
      </c>
      <c r="D39" s="942" t="s">
        <v>2003</v>
      </c>
      <c r="E39" s="701" t="s">
        <v>2006</v>
      </c>
      <c r="H39" s="959">
        <f>'4.12 SO ORA'!G12*VLOOKUP(H$5,'1.5 Universal Data'!$C$28:$F$39,3,FALSE)</f>
        <v>0</v>
      </c>
      <c r="I39" s="959">
        <f>'4.12 SO ORA'!H12*VLOOKUP(I$5,'1.5 Universal Data'!$C$28:$F$39,3,FALSE)</f>
        <v>0</v>
      </c>
      <c r="J39" s="959">
        <f>'4.12 SO ORA'!I12*VLOOKUP(J$5,'1.5 Universal Data'!$C$28:$F$39,3,FALSE)</f>
        <v>0</v>
      </c>
      <c r="K39" s="959">
        <f>'4.12 SO ORA'!J12*VLOOKUP(K$5,'1.5 Universal Data'!$C$28:$F$39,3,FALSE)</f>
        <v>0</v>
      </c>
      <c r="L39" s="959" t="e">
        <f>'4.12 SO ORA'!K12*VLOOKUP(L$5,'1.5 Universal Data'!$C$28:$F$39,3,FALSE)</f>
        <v>#N/A</v>
      </c>
    </row>
    <row r="40" spans="1:12" ht="15.4">
      <c r="B40" s="700" t="s">
        <v>2007</v>
      </c>
      <c r="C40" s="941" t="s">
        <v>1558</v>
      </c>
      <c r="D40" s="942" t="s">
        <v>2003</v>
      </c>
      <c r="E40" s="701" t="s">
        <v>2008</v>
      </c>
      <c r="H40" s="959">
        <f>'4.12 SO ORA'!G13*VLOOKUP(H$5,'1.5 Universal Data'!$C$28:$F$39,3,FALSE)</f>
        <v>0</v>
      </c>
      <c r="I40" s="959">
        <f>'4.12 SO ORA'!H13*VLOOKUP(I$5,'1.5 Universal Data'!$C$28:$F$39,3,FALSE)</f>
        <v>0</v>
      </c>
      <c r="J40" s="959">
        <f>'4.12 SO ORA'!I13*VLOOKUP(J$5,'1.5 Universal Data'!$C$28:$F$39,3,FALSE)</f>
        <v>0</v>
      </c>
      <c r="K40" s="959">
        <f>'4.12 SO ORA'!J13*VLOOKUP(K$5,'1.5 Universal Data'!$C$28:$F$39,3,FALSE)</f>
        <v>0</v>
      </c>
      <c r="L40" s="959" t="e">
        <f>'4.12 SO ORA'!K13*VLOOKUP(L$5,'1.5 Universal Data'!$C$28:$F$39,3,FALSE)</f>
        <v>#N/A</v>
      </c>
    </row>
    <row r="41" spans="1:12" ht="15.4">
      <c r="B41" s="958" t="s">
        <v>2009</v>
      </c>
      <c r="C41" s="941" t="s">
        <v>1603</v>
      </c>
      <c r="D41" s="942" t="s">
        <v>2003</v>
      </c>
      <c r="E41" s="958" t="s">
        <v>2010</v>
      </c>
      <c r="H41" s="959">
        <f>'4.12 SO ORA'!G106*VLOOKUP(H$5,'1.5 Universal Data'!$C$28:$F$39,3,FALSE)</f>
        <v>0</v>
      </c>
      <c r="I41" s="959">
        <f>'4.12 SO ORA'!H106*VLOOKUP(I$5,'1.5 Universal Data'!$C$28:$F$39,3,FALSE)</f>
        <v>0</v>
      </c>
      <c r="J41" s="959">
        <f>'4.12 SO ORA'!I106*VLOOKUP(J$5,'1.5 Universal Data'!$C$28:$F$39,3,FALSE)</f>
        <v>0</v>
      </c>
      <c r="K41" s="959">
        <f>'4.12 SO ORA'!J106*VLOOKUP(K$5,'1.5 Universal Data'!$C$28:$F$39,3,FALSE)</f>
        <v>0</v>
      </c>
      <c r="L41" s="959" t="e">
        <f>'4.12 SO ORA'!K106*VLOOKUP(L$5,'1.5 Universal Data'!$C$28:$F$39,3,FALSE)</f>
        <v>#N/A</v>
      </c>
    </row>
    <row r="42" spans="1:12" ht="15.4">
      <c r="B42" s="958" t="s">
        <v>2011</v>
      </c>
      <c r="C42" s="941" t="s">
        <v>1603</v>
      </c>
      <c r="D42" s="942" t="s">
        <v>2003</v>
      </c>
      <c r="E42" s="958" t="s">
        <v>2012</v>
      </c>
      <c r="H42" s="959">
        <f>'4.12 SO ORA'!G107*VLOOKUP(H$5,'1.5 Universal Data'!$C$28:$F$39,3,FALSE)</f>
        <v>0</v>
      </c>
      <c r="I42" s="959">
        <f>'4.12 SO ORA'!H107*VLOOKUP(I$5,'1.5 Universal Data'!$C$28:$F$39,3,FALSE)</f>
        <v>0</v>
      </c>
      <c r="J42" s="959">
        <f>'4.12 SO ORA'!I107*VLOOKUP(J$5,'1.5 Universal Data'!$C$28:$F$39,3,FALSE)</f>
        <v>0</v>
      </c>
      <c r="K42" s="959">
        <f>'4.12 SO ORA'!J107*VLOOKUP(K$5,'1.5 Universal Data'!$C$28:$F$39,3,FALSE)</f>
        <v>0</v>
      </c>
      <c r="L42" s="959">
        <f>'4.12 SO ORA'!K107*VLOOKUP(L$5,'1.5 Universal Data'!$C$28:$F$39,3,FALSE)</f>
        <v>0</v>
      </c>
    </row>
    <row r="43" spans="1:12" ht="15.4">
      <c r="B43" s="958" t="s">
        <v>1682</v>
      </c>
      <c r="C43" s="941" t="s">
        <v>1603</v>
      </c>
      <c r="D43" s="942" t="s">
        <v>2003</v>
      </c>
      <c r="E43" s="958" t="s">
        <v>2013</v>
      </c>
      <c r="H43" s="959">
        <f>'4.12 SO ORA'!G108*VLOOKUP(H$5,'1.5 Universal Data'!$C$28:$F$39,3,FALSE)</f>
        <v>0</v>
      </c>
      <c r="I43" s="959">
        <f>'4.12 SO ORA'!H108*VLOOKUP(I$5,'1.5 Universal Data'!$C$28:$F$39,3,FALSE)</f>
        <v>0</v>
      </c>
      <c r="J43" s="959">
        <f>'4.12 SO ORA'!I108*VLOOKUP(J$5,'1.5 Universal Data'!$C$28:$F$39,3,FALSE)</f>
        <v>0</v>
      </c>
      <c r="K43" s="959">
        <f>'4.12 SO ORA'!J108*VLOOKUP(K$5,'1.5 Universal Data'!$C$28:$F$39,3,FALSE)</f>
        <v>0</v>
      </c>
      <c r="L43" s="959" t="e">
        <f>'4.12 SO ORA'!K108*VLOOKUP(L$5,'1.5 Universal Data'!$C$28:$F$39,3,FALSE)</f>
        <v>#N/A</v>
      </c>
    </row>
    <row r="44" spans="1:12" ht="15.4">
      <c r="B44" s="941" t="s">
        <v>2014</v>
      </c>
      <c r="C44" s="941" t="s">
        <v>1603</v>
      </c>
      <c r="D44" s="942" t="s">
        <v>2003</v>
      </c>
      <c r="E44" s="941" t="s">
        <v>2015</v>
      </c>
      <c r="H44" s="959" t="e">
        <f>'4.12 SO ORA'!G109*VLOOKUP(H$5,'1.5 Universal Data'!$C$28:$F$39,3,FALSE)</f>
        <v>#DIV/0!</v>
      </c>
      <c r="I44" s="959">
        <f>'4.12 SO ORA'!H109*VLOOKUP(I$5,'1.5 Universal Data'!$C$28:$F$39,3,FALSE)</f>
        <v>0</v>
      </c>
      <c r="J44" s="959">
        <f>'4.12 SO ORA'!I109*VLOOKUP(J$5,'1.5 Universal Data'!$C$28:$F$39,3,FALSE)</f>
        <v>0</v>
      </c>
      <c r="K44" s="959">
        <f>'4.12 SO ORA'!J109*VLOOKUP(K$5,'1.5 Universal Data'!$C$28:$F$39,3,FALSE)</f>
        <v>0</v>
      </c>
      <c r="L44" s="959" t="e">
        <f>'4.12 SO ORA'!K109*VLOOKUP(L$5,'1.5 Universal Data'!$C$28:$F$39,3,FALSE)</f>
        <v>#N/A</v>
      </c>
    </row>
    <row r="45" spans="1:12" ht="15.4">
      <c r="B45" s="941" t="s">
        <v>2016</v>
      </c>
      <c r="C45" s="941" t="s">
        <v>1603</v>
      </c>
      <c r="D45" s="942" t="s">
        <v>2003</v>
      </c>
      <c r="E45" s="941" t="s">
        <v>2017</v>
      </c>
      <c r="H45" s="959">
        <f ca="1">'4.12 SO ORA'!G110*VLOOKUP(H$5,'1.5 Universal Data'!$C$28:$F$39,3,FALSE)</f>
        <v>1.6205756271104748</v>
      </c>
      <c r="I45" s="959">
        <f>'4.12 SO ORA'!H110*VLOOKUP(I$5,'1.5 Universal Data'!$C$28:$F$39,3,FALSE)</f>
        <v>1.6783149761408356</v>
      </c>
      <c r="J45" s="959">
        <f>'4.12 SO ORA'!I110*VLOOKUP(J$5,'1.5 Universal Data'!$C$28:$F$39,3,FALSE)</f>
        <v>1.7192939188404015</v>
      </c>
      <c r="K45" s="959">
        <f>'4.12 SO ORA'!J110*VLOOKUP(K$5,'1.5 Universal Data'!$C$28:$F$39,3,FALSE)</f>
        <v>1.7545833609125614</v>
      </c>
      <c r="L45" s="959">
        <f>'4.12 SO ORA'!K110*VLOOKUP(L$5,'1.5 Universal Data'!$C$28:$F$39,3,FALSE)</f>
        <v>1.7896972056862435</v>
      </c>
    </row>
    <row r="46" spans="1:12" ht="15.4">
      <c r="B46" s="941" t="s">
        <v>2018</v>
      </c>
      <c r="C46" s="941" t="s">
        <v>1603</v>
      </c>
      <c r="D46" s="942" t="s">
        <v>2003</v>
      </c>
      <c r="E46" s="941" t="s">
        <v>2019</v>
      </c>
      <c r="H46" s="959">
        <f>'4.12 SO ORA'!G111*VLOOKUP(H$5,'1.5 Universal Data'!$C$28:$F$39,3,FALSE)</f>
        <v>0</v>
      </c>
      <c r="I46" s="959">
        <f>'4.12 SO ORA'!H111*VLOOKUP(I$5,'1.5 Universal Data'!$C$28:$F$39,3,FALSE)</f>
        <v>0</v>
      </c>
      <c r="J46" s="959">
        <f>'4.12 SO ORA'!I111*VLOOKUP(J$5,'1.5 Universal Data'!$C$28:$F$39,3,FALSE)</f>
        <v>0</v>
      </c>
      <c r="K46" s="959">
        <f>'4.12 SO ORA'!J111*VLOOKUP(K$5,'1.5 Universal Data'!$C$28:$F$39,3,FALSE)</f>
        <v>0</v>
      </c>
      <c r="L46" s="959" t="e">
        <f>'4.12 SO ORA'!K111*VLOOKUP(L$5,'1.5 Universal Data'!$C$28:$F$39,3,FALSE)</f>
        <v>#N/A</v>
      </c>
    </row>
    <row r="47" spans="1:12" ht="15.4">
      <c r="B47" s="941" t="s">
        <v>2020</v>
      </c>
      <c r="C47" s="941" t="s">
        <v>1603</v>
      </c>
      <c r="D47" s="942" t="s">
        <v>2003</v>
      </c>
      <c r="E47" s="941" t="s">
        <v>2021</v>
      </c>
      <c r="H47" s="959">
        <f>'4.12 SO ORA'!G112*VLOOKUP(H$5,'1.5 Universal Data'!$C$28:$F$39,3,FALSE)</f>
        <v>0</v>
      </c>
      <c r="I47" s="959">
        <f>'4.12 SO ORA'!H112*VLOOKUP(I$5,'1.5 Universal Data'!$C$28:$F$39,3,FALSE)</f>
        <v>0</v>
      </c>
      <c r="J47" s="959">
        <f>'4.12 SO ORA'!I112*VLOOKUP(J$5,'1.5 Universal Data'!$C$28:$F$39,3,FALSE)</f>
        <v>0</v>
      </c>
      <c r="K47" s="959">
        <f>'4.12 SO ORA'!J112*VLOOKUP(K$5,'1.5 Universal Data'!$C$28:$F$39,3,FALSE)</f>
        <v>0</v>
      </c>
      <c r="L47" s="959" t="e">
        <f>'4.12 SO ORA'!K112*VLOOKUP(L$5,'1.5 Universal Data'!$C$28:$F$39,3,FALSE)</f>
        <v>#N/A</v>
      </c>
    </row>
    <row r="51" spans="1:12" ht="18">
      <c r="A51" s="696" t="s">
        <v>1969</v>
      </c>
      <c r="B51" s="697"/>
      <c r="C51" s="697"/>
      <c r="D51" s="697"/>
      <c r="E51" s="697"/>
      <c r="F51" s="697"/>
      <c r="G51" s="697"/>
      <c r="H51" s="697"/>
      <c r="I51" s="697"/>
      <c r="J51" s="697"/>
      <c r="K51" s="697"/>
      <c r="L51" s="697"/>
    </row>
    <row r="53" spans="1:12">
      <c r="B53" s="942" t="s">
        <v>1970</v>
      </c>
    </row>
    <row r="55" spans="1:12" ht="15.4">
      <c r="B55" s="939" t="s">
        <v>1971</v>
      </c>
      <c r="D55" s="939" t="s">
        <v>1403</v>
      </c>
      <c r="E55" s="939" t="s">
        <v>2022</v>
      </c>
      <c r="H55" s="953">
        <f>'4.14 SO Tax Pools Totex alloc'!I47</f>
        <v>0</v>
      </c>
      <c r="I55" s="953">
        <f>'4.14 SO Tax Pools Totex alloc'!J47</f>
        <v>0</v>
      </c>
      <c r="J55" s="953">
        <f>'4.14 SO Tax Pools Totex alloc'!K47</f>
        <v>0</v>
      </c>
      <c r="K55" s="953">
        <f>'4.14 SO Tax Pools Totex alloc'!L47</f>
        <v>0</v>
      </c>
      <c r="L55" s="953">
        <f>'4.14 SO Tax Pools Totex alloc'!M47</f>
        <v>0</v>
      </c>
    </row>
    <row r="56" spans="1:12" ht="15.4">
      <c r="B56" s="939" t="s">
        <v>1973</v>
      </c>
      <c r="D56" s="939" t="s">
        <v>1403</v>
      </c>
      <c r="E56" s="939" t="s">
        <v>2023</v>
      </c>
      <c r="H56" s="953">
        <f>'4.14 SO Tax Pools Totex alloc'!I48</f>
        <v>0</v>
      </c>
      <c r="I56" s="953">
        <f>'4.14 SO Tax Pools Totex alloc'!J48</f>
        <v>0</v>
      </c>
      <c r="J56" s="953">
        <f>'4.14 SO Tax Pools Totex alloc'!K48</f>
        <v>0</v>
      </c>
      <c r="K56" s="953">
        <f>'4.14 SO Tax Pools Totex alloc'!L48</f>
        <v>0</v>
      </c>
      <c r="L56" s="953">
        <f>'4.14 SO Tax Pools Totex alloc'!M48</f>
        <v>0</v>
      </c>
    </row>
    <row r="57" spans="1:12" ht="15.4">
      <c r="B57" s="939" t="s">
        <v>1979</v>
      </c>
      <c r="D57" s="939" t="s">
        <v>1403</v>
      </c>
      <c r="E57" s="939" t="s">
        <v>2024</v>
      </c>
      <c r="H57" s="953">
        <f>'4.14 SO Tax Pools Totex alloc'!I49</f>
        <v>0</v>
      </c>
      <c r="I57" s="953">
        <f>'4.14 SO Tax Pools Totex alloc'!J49</f>
        <v>0</v>
      </c>
      <c r="J57" s="953">
        <f>'4.14 SO Tax Pools Totex alloc'!K49</f>
        <v>0</v>
      </c>
      <c r="K57" s="953">
        <f>'4.14 SO Tax Pools Totex alloc'!L49</f>
        <v>0</v>
      </c>
      <c r="L57" s="953">
        <f>'4.14 SO Tax Pools Totex alloc'!M49</f>
        <v>0</v>
      </c>
    </row>
    <row r="58" spans="1:12" ht="15.4">
      <c r="B58" s="939" t="s">
        <v>1975</v>
      </c>
      <c r="D58" s="939" t="s">
        <v>1403</v>
      </c>
      <c r="E58" s="939" t="s">
        <v>2025</v>
      </c>
      <c r="H58" s="953">
        <f>'4.14 SO Tax Pools Totex alloc'!I50</f>
        <v>0</v>
      </c>
      <c r="I58" s="953">
        <f>'4.14 SO Tax Pools Totex alloc'!J50</f>
        <v>0</v>
      </c>
      <c r="J58" s="953">
        <f>'4.14 SO Tax Pools Totex alloc'!K50</f>
        <v>0</v>
      </c>
      <c r="K58" s="953">
        <f>'4.14 SO Tax Pools Totex alloc'!L50</f>
        <v>0</v>
      </c>
      <c r="L58" s="953">
        <f>'4.14 SO Tax Pools Totex alloc'!M50</f>
        <v>0</v>
      </c>
    </row>
    <row r="59" spans="1:12" ht="15.4">
      <c r="B59" s="939" t="s">
        <v>2026</v>
      </c>
      <c r="D59" s="939" t="s">
        <v>1403</v>
      </c>
      <c r="E59" s="939" t="s">
        <v>2027</v>
      </c>
      <c r="H59" s="953">
        <f>'4.14 SO Tax Pools Totex alloc'!I51</f>
        <v>0</v>
      </c>
      <c r="I59" s="953">
        <f>'4.14 SO Tax Pools Totex alloc'!J51</f>
        <v>0</v>
      </c>
      <c r="J59" s="953">
        <f>'4.14 SO Tax Pools Totex alloc'!K51</f>
        <v>0</v>
      </c>
      <c r="K59" s="953">
        <f>'4.14 SO Tax Pools Totex alloc'!L51</f>
        <v>0</v>
      </c>
      <c r="L59" s="953">
        <f>'4.14 SO Tax Pools Totex alloc'!M51</f>
        <v>0</v>
      </c>
    </row>
    <row r="60" spans="1:12" ht="15.4">
      <c r="B60" s="939" t="s">
        <v>1981</v>
      </c>
      <c r="D60" s="939" t="s">
        <v>1403</v>
      </c>
      <c r="E60" s="939" t="s">
        <v>2028</v>
      </c>
      <c r="H60" s="953">
        <f>'4.14 SO Tax Pools Totex alloc'!I52</f>
        <v>0</v>
      </c>
      <c r="I60" s="953">
        <f>'4.14 SO Tax Pools Totex alloc'!J52</f>
        <v>0</v>
      </c>
      <c r="J60" s="953">
        <f>'4.14 SO Tax Pools Totex alloc'!K52</f>
        <v>0</v>
      </c>
      <c r="K60" s="953">
        <f>'4.14 SO Tax Pools Totex alloc'!L52</f>
        <v>0</v>
      </c>
      <c r="L60" s="953">
        <f>'4.14 SO Tax Pools Totex alloc'!M52</f>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S105"/>
  <sheetViews>
    <sheetView showGridLines="0" zoomScale="90" zoomScaleNormal="90" workbookViewId="0">
      <pane ySplit="5" topLeftCell="A6" activePane="bottomLeft" state="frozen"/>
      <selection activeCell="F30" sqref="F30"/>
      <selection pane="bottomLeft"/>
    </sheetView>
  </sheetViews>
  <sheetFormatPr defaultColWidth="10.265625" defaultRowHeight="12.4"/>
  <cols>
    <col min="1" max="1" width="51.59765625" style="950" customWidth="1"/>
    <col min="2" max="2" width="9.265625" style="950" customWidth="1"/>
    <col min="3" max="3" width="9.73046875" style="950" customWidth="1"/>
    <col min="4" max="4" width="5.1328125" style="950" customWidth="1"/>
    <col min="5" max="5" width="4.59765625" style="950" customWidth="1"/>
    <col min="6" max="6" width="10.59765625" style="950" bestFit="1" customWidth="1"/>
    <col min="7" max="7" width="8.1328125" style="950" customWidth="1"/>
    <col min="8" max="13" width="11.59765625" style="950" bestFit="1" customWidth="1"/>
    <col min="14" max="14" width="10.86328125" style="950" bestFit="1" customWidth="1"/>
    <col min="15" max="16384" width="10.265625" style="950"/>
  </cols>
  <sheetData>
    <row r="1" spans="1:16" s="934" customFormat="1" ht="14.65">
      <c r="A1" s="930" t="s">
        <v>1418</v>
      </c>
      <c r="B1" s="931"/>
      <c r="C1" s="931"/>
      <c r="D1" s="931"/>
      <c r="E1" s="932"/>
      <c r="F1" s="932"/>
      <c r="G1" s="932"/>
      <c r="H1" s="932"/>
      <c r="I1" s="932"/>
      <c r="J1" s="932"/>
      <c r="K1" s="930"/>
      <c r="L1" s="930"/>
      <c r="M1" s="930"/>
      <c r="N1" s="930"/>
    </row>
    <row r="2" spans="1:16" s="934" customFormat="1" ht="14.65">
      <c r="A2" s="930" t="str">
        <f>'1.1 Cover'!A3</f>
        <v>Price base - 2018/19</v>
      </c>
      <c r="B2" s="935"/>
      <c r="C2" s="935"/>
      <c r="D2" s="935"/>
      <c r="E2" s="930"/>
      <c r="F2" s="930"/>
      <c r="G2" s="930"/>
      <c r="H2" s="930"/>
      <c r="I2" s="930"/>
      <c r="J2" s="930"/>
      <c r="K2" s="930"/>
      <c r="L2" s="930"/>
      <c r="M2" s="930"/>
      <c r="N2" s="930"/>
    </row>
    <row r="3" spans="1:16" s="934" customFormat="1" ht="28.5" customHeight="1">
      <c r="A3" s="935" t="s">
        <v>1419</v>
      </c>
      <c r="B3" s="935"/>
      <c r="C3" s="935"/>
      <c r="D3" s="935"/>
      <c r="E3" s="935"/>
      <c r="F3" s="930"/>
      <c r="G3" s="930"/>
      <c r="H3" s="930"/>
      <c r="I3" s="930"/>
      <c r="J3" s="930"/>
      <c r="K3" s="930"/>
      <c r="L3" s="930"/>
      <c r="M3" s="930"/>
      <c r="N3" s="930"/>
    </row>
    <row r="4" spans="1:16" ht="13.5">
      <c r="A4" s="961"/>
      <c r="B4" s="961"/>
      <c r="C4" s="961"/>
      <c r="D4" s="962"/>
      <c r="E4" s="933"/>
      <c r="F4" s="933"/>
      <c r="G4" s="933"/>
      <c r="H4" s="933"/>
      <c r="I4" s="933"/>
      <c r="J4" s="933"/>
      <c r="K4" s="933"/>
      <c r="L4" s="933"/>
      <c r="M4" s="933"/>
      <c r="N4" s="933"/>
      <c r="O4" s="963"/>
    </row>
    <row r="5" spans="1:16" ht="17.649999999999999">
      <c r="A5" s="964"/>
      <c r="B5" s="961"/>
      <c r="C5" s="961"/>
      <c r="D5" s="961"/>
      <c r="E5" s="961"/>
      <c r="H5" s="965"/>
      <c r="I5" s="965"/>
      <c r="J5" s="966" t="s">
        <v>1420</v>
      </c>
      <c r="K5" s="966" t="s">
        <v>1421</v>
      </c>
      <c r="L5" s="966" t="s">
        <v>1422</v>
      </c>
      <c r="M5" s="966" t="s">
        <v>1423</v>
      </c>
      <c r="N5" s="966" t="s">
        <v>1424</v>
      </c>
      <c r="O5" s="967"/>
    </row>
    <row r="6" spans="1:16" ht="13.5">
      <c r="A6" s="962"/>
      <c r="B6" s="962"/>
      <c r="C6" s="962"/>
      <c r="D6" s="962"/>
      <c r="E6" s="962"/>
      <c r="F6" s="962"/>
      <c r="G6" s="962"/>
      <c r="H6" s="965"/>
      <c r="I6" s="965"/>
      <c r="J6" s="968"/>
      <c r="K6" s="968"/>
      <c r="L6" s="968"/>
      <c r="M6" s="968"/>
      <c r="N6" s="963"/>
      <c r="O6" s="936"/>
      <c r="P6" s="962"/>
    </row>
    <row r="7" spans="1:16">
      <c r="A7" s="969" t="s">
        <v>1425</v>
      </c>
      <c r="B7" s="939"/>
      <c r="C7" s="939"/>
      <c r="D7" s="962"/>
      <c r="E7" s="962"/>
      <c r="F7" s="962"/>
      <c r="G7" s="962"/>
      <c r="H7" s="939"/>
      <c r="I7" s="936"/>
      <c r="J7" s="970"/>
      <c r="K7" s="971"/>
      <c r="L7" s="972"/>
      <c r="M7" s="972"/>
      <c r="N7" s="972"/>
      <c r="O7" s="939"/>
      <c r="P7" s="962"/>
    </row>
    <row r="8" spans="1:16">
      <c r="A8" s="973"/>
      <c r="B8" s="936"/>
      <c r="C8" s="956"/>
      <c r="D8" s="962"/>
      <c r="E8" s="962"/>
      <c r="F8" s="962"/>
      <c r="G8" s="962"/>
      <c r="H8" s="956"/>
      <c r="I8" s="936"/>
      <c r="J8" s="939"/>
      <c r="K8" s="939"/>
      <c r="L8" s="939"/>
      <c r="M8" s="939"/>
      <c r="N8" s="939"/>
      <c r="O8" s="939"/>
      <c r="P8" s="962"/>
    </row>
    <row r="9" spans="1:16" ht="15.4">
      <c r="A9" s="940" t="s">
        <v>1426</v>
      </c>
      <c r="B9" s="942" t="s">
        <v>2029</v>
      </c>
      <c r="C9" s="940" t="s">
        <v>1427</v>
      </c>
      <c r="D9" s="962"/>
      <c r="E9" s="962"/>
      <c r="F9" s="962"/>
      <c r="G9" s="962"/>
      <c r="H9" s="956" t="s">
        <v>1428</v>
      </c>
      <c r="I9" s="939"/>
      <c r="J9" s="442">
        <v>70.556934412542631</v>
      </c>
      <c r="K9" s="442">
        <v>93.600010951421822</v>
      </c>
      <c r="L9" s="442">
        <v>79.776008397428896</v>
      </c>
      <c r="M9" s="442">
        <v>49.846759348011666</v>
      </c>
      <c r="N9" s="442">
        <v>60.647809617431683</v>
      </c>
      <c r="O9" s="939"/>
      <c r="P9" s="962"/>
    </row>
    <row r="10" spans="1:16" ht="15.4">
      <c r="A10" s="940" t="s">
        <v>1429</v>
      </c>
      <c r="B10" s="942" t="s">
        <v>2030</v>
      </c>
      <c r="C10" s="940" t="s">
        <v>1427</v>
      </c>
      <c r="D10" s="962"/>
      <c r="E10" s="962"/>
      <c r="F10" s="962"/>
      <c r="G10" s="962"/>
      <c r="H10" s="956" t="s">
        <v>1428</v>
      </c>
      <c r="I10" s="939"/>
      <c r="J10" s="944" cm="1">
        <f t="array" ref="J10:N10">TONARMRt</f>
        <v>0</v>
      </c>
      <c r="K10" s="944">
        <v>0</v>
      </c>
      <c r="L10" s="944">
        <v>0</v>
      </c>
      <c r="M10" s="944">
        <v>0</v>
      </c>
      <c r="N10" s="944">
        <v>0</v>
      </c>
      <c r="O10" s="974" t="s">
        <v>2031</v>
      </c>
      <c r="P10" s="962"/>
    </row>
    <row r="11" spans="1:16" s="980" customFormat="1" ht="15.4">
      <c r="A11" s="940" t="s">
        <v>1425</v>
      </c>
      <c r="B11" s="975" t="s">
        <v>2032</v>
      </c>
      <c r="C11" s="976" t="s">
        <v>1427</v>
      </c>
      <c r="D11" s="977"/>
      <c r="E11" s="977"/>
      <c r="F11" s="977"/>
      <c r="G11" s="977"/>
      <c r="H11" s="978" t="s">
        <v>1428</v>
      </c>
      <c r="I11" s="979"/>
      <c r="J11" s="702">
        <f>J9-J10</f>
        <v>70.556934412542631</v>
      </c>
      <c r="K11" s="702">
        <f>K9-K10</f>
        <v>93.600010951421822</v>
      </c>
      <c r="L11" s="702">
        <f>L9-L10</f>
        <v>79.776008397428896</v>
      </c>
      <c r="M11" s="702">
        <f>M9-M10</f>
        <v>49.846759348011666</v>
      </c>
      <c r="N11" s="702">
        <f>N9-N10</f>
        <v>60.647809617431683</v>
      </c>
      <c r="O11" s="979"/>
      <c r="P11" s="977"/>
    </row>
    <row r="12" spans="1:16">
      <c r="A12" s="962"/>
      <c r="B12" s="962"/>
      <c r="C12" s="962"/>
      <c r="D12" s="962"/>
      <c r="E12" s="962"/>
      <c r="F12" s="962"/>
      <c r="G12" s="962"/>
      <c r="H12" s="957"/>
      <c r="I12" s="957"/>
      <c r="J12" s="981"/>
      <c r="K12" s="981"/>
      <c r="L12" s="981"/>
      <c r="M12" s="981"/>
      <c r="N12" s="939"/>
      <c r="O12" s="936"/>
      <c r="P12" s="962"/>
    </row>
    <row r="13" spans="1:16" ht="14.45" customHeight="1">
      <c r="A13" s="969" t="s">
        <v>1430</v>
      </c>
      <c r="B13" s="956"/>
      <c r="C13" s="939"/>
      <c r="D13" s="962"/>
      <c r="E13" s="962"/>
      <c r="F13" s="962"/>
      <c r="G13" s="962"/>
      <c r="H13" s="939"/>
      <c r="I13" s="936"/>
      <c r="J13" s="982"/>
      <c r="K13" s="982"/>
      <c r="L13" s="982"/>
      <c r="M13" s="982"/>
      <c r="N13" s="982"/>
      <c r="O13" s="939"/>
      <c r="P13" s="962"/>
    </row>
    <row r="14" spans="1:16">
      <c r="A14" s="983"/>
      <c r="B14" s="939"/>
      <c r="C14" s="956"/>
      <c r="D14" s="962"/>
      <c r="E14" s="962"/>
      <c r="F14" s="962"/>
      <c r="G14" s="962"/>
      <c r="H14" s="956"/>
      <c r="I14" s="936"/>
      <c r="J14" s="982"/>
      <c r="K14" s="982"/>
      <c r="L14" s="982"/>
      <c r="M14" s="982"/>
      <c r="N14" s="982"/>
      <c r="O14" s="939"/>
      <c r="P14" s="962"/>
    </row>
    <row r="15" spans="1:16" ht="12.2" customHeight="1">
      <c r="A15" s="956" t="s">
        <v>1426</v>
      </c>
      <c r="B15" s="956" t="s">
        <v>1431</v>
      </c>
      <c r="C15" s="956" t="s">
        <v>1432</v>
      </c>
      <c r="D15" s="962"/>
      <c r="E15" s="962"/>
      <c r="F15" s="962"/>
      <c r="G15" s="962"/>
      <c r="H15" s="956" t="s">
        <v>1428</v>
      </c>
      <c r="I15" s="936"/>
      <c r="J15" s="442">
        <v>41.296175834066005</v>
      </c>
      <c r="K15" s="442">
        <v>88.130230209126793</v>
      </c>
      <c r="L15" s="442">
        <v>92.76179849029505</v>
      </c>
      <c r="M15" s="442">
        <v>0</v>
      </c>
      <c r="N15" s="442">
        <v>0</v>
      </c>
      <c r="O15" s="939"/>
      <c r="P15" s="962"/>
    </row>
    <row r="16" spans="1:16" ht="12.2" customHeight="1">
      <c r="A16" s="940" t="s">
        <v>1429</v>
      </c>
      <c r="B16" s="956" t="s">
        <v>2033</v>
      </c>
      <c r="C16" s="956" t="s">
        <v>1432</v>
      </c>
      <c r="D16" s="962"/>
      <c r="E16" s="962"/>
      <c r="F16" s="962"/>
      <c r="G16" s="962"/>
      <c r="H16" s="956" t="s">
        <v>1428</v>
      </c>
      <c r="I16" s="936"/>
      <c r="J16" s="944" cm="1">
        <f t="array" ref="J16:N16">TOCROTRAt</f>
        <v>0</v>
      </c>
      <c r="K16" s="944">
        <v>0</v>
      </c>
      <c r="L16" s="944">
        <v>0</v>
      </c>
      <c r="M16" s="944">
        <v>0</v>
      </c>
      <c r="N16" s="944">
        <v>0</v>
      </c>
      <c r="O16" s="974" t="s">
        <v>2031</v>
      </c>
      <c r="P16" s="962"/>
    </row>
    <row r="17" spans="1:19" s="980" customFormat="1" ht="12.2" customHeight="1">
      <c r="A17" s="976" t="s">
        <v>1433</v>
      </c>
      <c r="B17" s="978" t="s">
        <v>2034</v>
      </c>
      <c r="C17" s="978" t="s">
        <v>1432</v>
      </c>
      <c r="D17" s="977"/>
      <c r="E17" s="977"/>
      <c r="F17" s="977"/>
      <c r="G17" s="977"/>
      <c r="H17" s="978" t="s">
        <v>1428</v>
      </c>
      <c r="I17" s="984"/>
      <c r="J17" s="702">
        <f>J15-J16</f>
        <v>41.296175834066005</v>
      </c>
      <c r="K17" s="702">
        <f>K15-K16</f>
        <v>88.130230209126793</v>
      </c>
      <c r="L17" s="702">
        <f>L15-L16</f>
        <v>92.76179849029505</v>
      </c>
      <c r="M17" s="702">
        <f>M15-M16</f>
        <v>0</v>
      </c>
      <c r="N17" s="702">
        <f>N15-N16</f>
        <v>0</v>
      </c>
      <c r="O17" s="979"/>
      <c r="P17" s="977"/>
    </row>
    <row r="18" spans="1:19">
      <c r="A18" s="983"/>
      <c r="B18" s="956"/>
      <c r="C18" s="956"/>
      <c r="D18" s="962"/>
      <c r="E18" s="962"/>
      <c r="F18" s="962"/>
      <c r="G18" s="962"/>
      <c r="H18" s="956"/>
      <c r="I18" s="936"/>
      <c r="J18" s="982"/>
      <c r="K18" s="982"/>
      <c r="L18" s="982"/>
      <c r="M18" s="982"/>
      <c r="N18" s="982"/>
      <c r="O18" s="939"/>
      <c r="P18" s="962"/>
    </row>
    <row r="19" spans="1:19">
      <c r="A19" s="969" t="s">
        <v>1434</v>
      </c>
      <c r="B19" s="956"/>
      <c r="C19" s="939"/>
      <c r="D19" s="962"/>
      <c r="E19" s="962"/>
      <c r="F19" s="962"/>
      <c r="G19" s="962"/>
      <c r="H19" s="939"/>
      <c r="I19" s="936"/>
      <c r="J19" s="971"/>
      <c r="K19" s="971"/>
      <c r="L19" s="972"/>
      <c r="M19" s="972"/>
      <c r="N19" s="972"/>
      <c r="O19" s="939"/>
      <c r="P19" s="962"/>
    </row>
    <row r="20" spans="1:19">
      <c r="A20" s="969"/>
      <c r="B20" s="956"/>
      <c r="C20" s="956"/>
      <c r="D20" s="962"/>
      <c r="E20" s="962"/>
      <c r="F20" s="962"/>
      <c r="G20" s="962"/>
      <c r="H20" s="956"/>
      <c r="I20" s="936"/>
      <c r="J20" s="939"/>
      <c r="K20" s="939"/>
      <c r="L20" s="939"/>
      <c r="M20" s="939"/>
      <c r="N20" s="939"/>
      <c r="O20" s="939"/>
      <c r="P20" s="962"/>
    </row>
    <row r="21" spans="1:19" ht="14.45" customHeight="1">
      <c r="A21" s="956" t="s">
        <v>1426</v>
      </c>
      <c r="B21" s="956" t="s">
        <v>1435</v>
      </c>
      <c r="C21" s="956" t="s">
        <v>1436</v>
      </c>
      <c r="D21" s="962"/>
      <c r="E21" s="962"/>
      <c r="F21" s="962"/>
      <c r="G21" s="962"/>
      <c r="H21" s="956" t="s">
        <v>1428</v>
      </c>
      <c r="I21" s="936"/>
      <c r="J21" s="442">
        <v>4.4619255058621405</v>
      </c>
      <c r="K21" s="442">
        <v>4.0336790035632992</v>
      </c>
      <c r="L21" s="442">
        <v>3.5696218516262466</v>
      </c>
      <c r="M21" s="442">
        <v>0</v>
      </c>
      <c r="N21" s="442">
        <v>0</v>
      </c>
      <c r="O21" s="939"/>
      <c r="P21" s="962"/>
    </row>
    <row r="22" spans="1:19" ht="15.4">
      <c r="A22" s="940" t="s">
        <v>1429</v>
      </c>
      <c r="B22" s="956" t="s">
        <v>2035</v>
      </c>
      <c r="C22" s="956" t="s">
        <v>1436</v>
      </c>
      <c r="D22" s="962"/>
      <c r="E22" s="962"/>
      <c r="F22" s="962"/>
      <c r="G22" s="962"/>
      <c r="H22" s="956" t="s">
        <v>1428</v>
      </c>
      <c r="I22" s="936"/>
      <c r="J22" s="944" cm="1">
        <f t="array" ref="J22:N22">TOCRITRAt</f>
        <v>0</v>
      </c>
      <c r="K22" s="944">
        <v>0</v>
      </c>
      <c r="L22" s="944">
        <v>0</v>
      </c>
      <c r="M22" s="944">
        <v>0</v>
      </c>
      <c r="N22" s="944">
        <v>0</v>
      </c>
      <c r="O22" s="974" t="s">
        <v>2031</v>
      </c>
      <c r="P22" s="962"/>
    </row>
    <row r="23" spans="1:19" s="980" customFormat="1" ht="15.4">
      <c r="A23" s="978" t="s">
        <v>1437</v>
      </c>
      <c r="B23" s="978" t="s">
        <v>2036</v>
      </c>
      <c r="C23" s="978" t="s">
        <v>1436</v>
      </c>
      <c r="D23" s="977"/>
      <c r="E23" s="977"/>
      <c r="F23" s="977"/>
      <c r="G23" s="977"/>
      <c r="H23" s="978" t="s">
        <v>1428</v>
      </c>
      <c r="I23" s="984"/>
      <c r="J23" s="702">
        <f>J21-J22</f>
        <v>4.4619255058621405</v>
      </c>
      <c r="K23" s="702">
        <f>K21-K22</f>
        <v>4.0336790035632992</v>
      </c>
      <c r="L23" s="702">
        <f>L21-L22</f>
        <v>3.5696218516262466</v>
      </c>
      <c r="M23" s="702">
        <f>M21-M22</f>
        <v>0</v>
      </c>
      <c r="N23" s="702">
        <f>N21-N22</f>
        <v>0</v>
      </c>
      <c r="O23" s="979"/>
      <c r="P23" s="977"/>
    </row>
    <row r="24" spans="1:19">
      <c r="A24" s="956"/>
      <c r="B24" s="956"/>
      <c r="C24" s="956"/>
      <c r="D24" s="962"/>
      <c r="E24" s="962"/>
      <c r="F24" s="962"/>
      <c r="G24" s="962"/>
      <c r="H24" s="956"/>
      <c r="I24" s="936"/>
      <c r="J24" s="971"/>
      <c r="K24" s="971"/>
      <c r="L24" s="972"/>
      <c r="M24" s="972"/>
      <c r="N24" s="972"/>
      <c r="O24" s="939"/>
      <c r="P24" s="962"/>
    </row>
    <row r="25" spans="1:19">
      <c r="A25" s="969" t="s">
        <v>1438</v>
      </c>
      <c r="B25" s="956"/>
      <c r="C25" s="939"/>
      <c r="D25" s="962"/>
      <c r="E25" s="962"/>
      <c r="F25" s="962"/>
      <c r="G25" s="962"/>
      <c r="H25" s="939"/>
      <c r="I25" s="936"/>
      <c r="J25" s="971"/>
      <c r="K25" s="971"/>
      <c r="L25" s="972"/>
      <c r="M25" s="972"/>
      <c r="N25" s="972"/>
      <c r="O25" s="939"/>
      <c r="P25" s="962"/>
    </row>
    <row r="26" spans="1:19">
      <c r="A26" s="969"/>
      <c r="B26" s="956"/>
      <c r="C26" s="956"/>
      <c r="D26" s="962"/>
      <c r="E26" s="962"/>
      <c r="F26" s="962"/>
      <c r="G26" s="962"/>
      <c r="H26" s="956"/>
      <c r="I26" s="936"/>
      <c r="J26" s="939"/>
      <c r="K26" s="939"/>
      <c r="L26" s="939"/>
      <c r="M26" s="939"/>
      <c r="N26" s="939"/>
      <c r="O26" s="939"/>
      <c r="P26" s="962"/>
    </row>
    <row r="27" spans="1:19" ht="15.4">
      <c r="A27" s="940" t="s">
        <v>1426</v>
      </c>
      <c r="B27" s="956" t="s">
        <v>2037</v>
      </c>
      <c r="C27" s="956" t="s">
        <v>1439</v>
      </c>
      <c r="D27" s="962"/>
      <c r="E27" s="962"/>
      <c r="F27" s="962"/>
      <c r="G27" s="962"/>
      <c r="H27" s="956" t="s">
        <v>1428</v>
      </c>
      <c r="I27" s="936"/>
      <c r="J27" s="442">
        <v>9.5980010803474709</v>
      </c>
      <c r="K27" s="442">
        <v>14.901237294179282</v>
      </c>
      <c r="L27" s="442">
        <v>1.0257589332958597</v>
      </c>
      <c r="M27" s="442">
        <v>0</v>
      </c>
      <c r="N27" s="442">
        <v>0</v>
      </c>
      <c r="O27" s="939"/>
      <c r="P27" s="962"/>
    </row>
    <row r="28" spans="1:19" ht="15.4">
      <c r="A28" s="940" t="s">
        <v>1429</v>
      </c>
      <c r="B28" s="956" t="s">
        <v>2038</v>
      </c>
      <c r="C28" s="956" t="s">
        <v>1439</v>
      </c>
      <c r="D28" s="962"/>
      <c r="E28" s="962"/>
      <c r="F28" s="962"/>
      <c r="G28" s="962"/>
      <c r="H28" s="956" t="s">
        <v>1428</v>
      </c>
      <c r="I28" s="936"/>
      <c r="J28" s="944" cm="1">
        <f t="array" ref="J28:N28">TOPSUPRAt</f>
        <v>0</v>
      </c>
      <c r="K28" s="944">
        <v>0</v>
      </c>
      <c r="L28" s="944">
        <v>0</v>
      </c>
      <c r="M28" s="944">
        <v>0</v>
      </c>
      <c r="N28" s="944">
        <v>0</v>
      </c>
      <c r="O28" s="974" t="s">
        <v>2031</v>
      </c>
      <c r="P28" s="962"/>
    </row>
    <row r="29" spans="1:19" s="980" customFormat="1" ht="15.4">
      <c r="A29" s="976" t="s">
        <v>1438</v>
      </c>
      <c r="B29" s="978" t="s">
        <v>2039</v>
      </c>
      <c r="C29" s="978" t="s">
        <v>1439</v>
      </c>
      <c r="D29" s="977"/>
      <c r="E29" s="977"/>
      <c r="F29" s="977"/>
      <c r="G29" s="977"/>
      <c r="H29" s="978" t="s">
        <v>1428</v>
      </c>
      <c r="I29" s="984"/>
      <c r="J29" s="702">
        <f>J27-J28</f>
        <v>9.5980010803474709</v>
      </c>
      <c r="K29" s="702">
        <f>K27-K28</f>
        <v>14.901237294179282</v>
      </c>
      <c r="L29" s="702">
        <f>L27-L28</f>
        <v>1.0257589332958597</v>
      </c>
      <c r="M29" s="702">
        <f>M27-M28</f>
        <v>0</v>
      </c>
      <c r="N29" s="702">
        <f>N27-N28</f>
        <v>0</v>
      </c>
      <c r="O29" s="979"/>
      <c r="P29" s="977"/>
    </row>
    <row r="30" spans="1:19" ht="13.5">
      <c r="A30" s="969"/>
      <c r="B30" s="956"/>
      <c r="C30" s="956"/>
      <c r="D30" s="962"/>
      <c r="E30" s="962"/>
      <c r="F30" s="962"/>
      <c r="G30" s="962"/>
      <c r="H30" s="956"/>
      <c r="I30" s="936"/>
      <c r="J30" s="936"/>
      <c r="K30" s="936"/>
      <c r="L30" s="936"/>
      <c r="M30" s="936"/>
      <c r="N30" s="936"/>
      <c r="O30" s="936"/>
      <c r="P30" s="936"/>
      <c r="Q30" s="936"/>
      <c r="R30" s="936"/>
      <c r="S30" s="967"/>
    </row>
    <row r="31" spans="1:19" ht="17.45" customHeight="1">
      <c r="A31" s="969" t="s">
        <v>1440</v>
      </c>
      <c r="B31" s="939"/>
      <c r="C31" s="939"/>
      <c r="D31" s="962"/>
      <c r="E31" s="962"/>
      <c r="F31" s="962"/>
      <c r="G31" s="962"/>
      <c r="H31" s="939"/>
      <c r="I31" s="936"/>
      <c r="J31" s="970"/>
      <c r="K31" s="971"/>
      <c r="L31" s="972"/>
      <c r="M31" s="972"/>
      <c r="N31" s="972"/>
      <c r="O31" s="939"/>
      <c r="P31" s="962"/>
    </row>
    <row r="32" spans="1:19" ht="17.45" customHeight="1">
      <c r="A32" s="973"/>
      <c r="B32" s="936"/>
      <c r="C32" s="956"/>
      <c r="D32" s="962"/>
      <c r="E32" s="962"/>
      <c r="F32" s="962"/>
      <c r="G32" s="962"/>
      <c r="H32" s="956"/>
      <c r="I32" s="936"/>
      <c r="J32" s="939"/>
      <c r="K32" s="939"/>
      <c r="L32" s="939"/>
      <c r="M32" s="939"/>
      <c r="N32" s="939"/>
      <c r="O32" s="939"/>
      <c r="P32" s="962"/>
    </row>
    <row r="33" spans="1:19" ht="15.4">
      <c r="A33" s="940" t="s">
        <v>1426</v>
      </c>
      <c r="B33" s="956" t="s">
        <v>2040</v>
      </c>
      <c r="C33" s="956" t="s">
        <v>1441</v>
      </c>
      <c r="D33" s="962"/>
      <c r="E33" s="962"/>
      <c r="F33" s="962"/>
      <c r="G33" s="962"/>
      <c r="H33" s="956" t="s">
        <v>1428</v>
      </c>
      <c r="I33" s="939"/>
      <c r="J33" s="442">
        <v>1.66</v>
      </c>
      <c r="K33" s="442">
        <v>1.66</v>
      </c>
      <c r="L33" s="442">
        <v>1.66</v>
      </c>
      <c r="M33" s="442">
        <v>1.66</v>
      </c>
      <c r="N33" s="442">
        <v>1.66</v>
      </c>
      <c r="O33" s="939"/>
      <c r="P33" s="962"/>
    </row>
    <row r="34" spans="1:19" ht="15.4">
      <c r="A34" s="940" t="s">
        <v>1429</v>
      </c>
      <c r="B34" s="956" t="s">
        <v>2041</v>
      </c>
      <c r="C34" s="956" t="s">
        <v>1441</v>
      </c>
      <c r="D34" s="962"/>
      <c r="E34" s="962"/>
      <c r="F34" s="962"/>
      <c r="G34" s="962"/>
      <c r="H34" s="956" t="s">
        <v>1428</v>
      </c>
      <c r="I34" s="939"/>
      <c r="J34" s="944" cm="1">
        <f t="array" ref="J34:N34">TORDFRt</f>
        <v>0</v>
      </c>
      <c r="K34" s="944">
        <v>0</v>
      </c>
      <c r="L34" s="944">
        <v>0</v>
      </c>
      <c r="M34" s="944">
        <v>0</v>
      </c>
      <c r="N34" s="944">
        <v>0</v>
      </c>
      <c r="O34" s="974" t="s">
        <v>2031</v>
      </c>
      <c r="P34" s="962"/>
    </row>
    <row r="35" spans="1:19" s="980" customFormat="1" ht="24.75">
      <c r="A35" s="976" t="s">
        <v>1442</v>
      </c>
      <c r="B35" s="978" t="s">
        <v>2042</v>
      </c>
      <c r="C35" s="978" t="s">
        <v>1441</v>
      </c>
      <c r="D35" s="977"/>
      <c r="E35" s="977"/>
      <c r="F35" s="977"/>
      <c r="G35" s="977"/>
      <c r="H35" s="978" t="s">
        <v>1428</v>
      </c>
      <c r="I35" s="979"/>
      <c r="J35" s="702">
        <f>J33-J34</f>
        <v>1.66</v>
      </c>
      <c r="K35" s="702">
        <f>K33-K34</f>
        <v>1.66</v>
      </c>
      <c r="L35" s="702">
        <f>L33-L34</f>
        <v>1.66</v>
      </c>
      <c r="M35" s="702">
        <f>M33-M34</f>
        <v>1.66</v>
      </c>
      <c r="N35" s="702">
        <f>N33-N34</f>
        <v>1.66</v>
      </c>
      <c r="O35" s="979"/>
      <c r="P35" s="977"/>
    </row>
    <row r="36" spans="1:19" ht="13.5">
      <c r="A36" s="969"/>
      <c r="B36" s="956"/>
      <c r="C36" s="956"/>
      <c r="D36" s="962"/>
      <c r="E36" s="962"/>
      <c r="F36" s="962"/>
      <c r="G36" s="962"/>
      <c r="H36" s="956"/>
      <c r="I36" s="936"/>
      <c r="J36" s="936"/>
      <c r="K36" s="936"/>
      <c r="L36" s="936"/>
      <c r="M36" s="936"/>
      <c r="N36" s="936"/>
      <c r="O36" s="936"/>
      <c r="P36" s="936"/>
      <c r="Q36" s="936"/>
      <c r="R36" s="936"/>
      <c r="S36" s="967"/>
    </row>
    <row r="37" spans="1:19" ht="17.45" customHeight="1">
      <c r="A37" s="969" t="s">
        <v>1443</v>
      </c>
      <c r="B37" s="939"/>
      <c r="C37" s="939"/>
      <c r="D37" s="962"/>
      <c r="E37" s="962"/>
      <c r="F37" s="962"/>
      <c r="G37" s="962"/>
      <c r="H37" s="939"/>
      <c r="I37" s="936"/>
      <c r="J37" s="970"/>
      <c r="K37" s="971"/>
      <c r="L37" s="972"/>
      <c r="M37" s="972"/>
      <c r="N37" s="972"/>
      <c r="O37" s="939"/>
      <c r="P37" s="962"/>
    </row>
    <row r="38" spans="1:19" ht="17.45" customHeight="1">
      <c r="A38" s="973"/>
      <c r="B38" s="936"/>
      <c r="C38" s="956"/>
      <c r="D38" s="962"/>
      <c r="E38" s="962"/>
      <c r="F38" s="962"/>
      <c r="G38" s="962"/>
      <c r="H38" s="956"/>
      <c r="I38" s="936"/>
      <c r="J38" s="939"/>
      <c r="K38" s="939"/>
      <c r="L38" s="939"/>
      <c r="M38" s="939"/>
      <c r="N38" s="939"/>
      <c r="O38" s="939"/>
      <c r="P38" s="962"/>
    </row>
    <row r="39" spans="1:19" ht="15.4">
      <c r="A39" s="940" t="s">
        <v>1426</v>
      </c>
      <c r="B39" s="956" t="s">
        <v>2043</v>
      </c>
      <c r="C39" s="940" t="s">
        <v>1444</v>
      </c>
      <c r="D39" s="962"/>
      <c r="E39" s="962"/>
      <c r="F39" s="962"/>
      <c r="G39" s="962"/>
      <c r="H39" s="956" t="s">
        <v>1428</v>
      </c>
      <c r="I39" s="939"/>
      <c r="J39" s="442">
        <v>7.1260238418300279</v>
      </c>
      <c r="K39" s="442">
        <v>3.373682904271154</v>
      </c>
      <c r="L39" s="442">
        <v>0</v>
      </c>
      <c r="M39" s="442">
        <v>0</v>
      </c>
      <c r="N39" s="442">
        <v>0</v>
      </c>
      <c r="O39" s="939"/>
      <c r="P39" s="962"/>
    </row>
    <row r="40" spans="1:19" ht="15.4">
      <c r="A40" s="940" t="s">
        <v>1429</v>
      </c>
      <c r="B40" s="956" t="s">
        <v>2044</v>
      </c>
      <c r="C40" s="940" t="s">
        <v>1444</v>
      </c>
      <c r="D40" s="962"/>
      <c r="E40" s="962"/>
      <c r="F40" s="962"/>
      <c r="G40" s="962"/>
      <c r="H40" s="956" t="s">
        <v>1428</v>
      </c>
      <c r="I40" s="939"/>
      <c r="J40" s="944" cm="1">
        <f t="array" ref="J40:N40">TOBTRRAt</f>
        <v>0</v>
      </c>
      <c r="K40" s="944">
        <v>0</v>
      </c>
      <c r="L40" s="944">
        <v>0</v>
      </c>
      <c r="M40" s="944">
        <v>0</v>
      </c>
      <c r="N40" s="944">
        <v>0</v>
      </c>
      <c r="O40" s="974" t="s">
        <v>2031</v>
      </c>
      <c r="P40" s="962"/>
    </row>
    <row r="41" spans="1:19" s="980" customFormat="1" ht="24.75">
      <c r="A41" s="976" t="s">
        <v>1445</v>
      </c>
      <c r="B41" s="978" t="s">
        <v>2045</v>
      </c>
      <c r="C41" s="976" t="s">
        <v>1444</v>
      </c>
      <c r="D41" s="977"/>
      <c r="E41" s="977"/>
      <c r="F41" s="977"/>
      <c r="G41" s="977"/>
      <c r="H41" s="978" t="s">
        <v>1428</v>
      </c>
      <c r="I41" s="979"/>
      <c r="J41" s="702">
        <f>J39-J40</f>
        <v>7.1260238418300279</v>
      </c>
      <c r="K41" s="702">
        <f>K39-K40</f>
        <v>3.373682904271154</v>
      </c>
      <c r="L41" s="702">
        <f>L39-L40</f>
        <v>0</v>
      </c>
      <c r="M41" s="702">
        <f>M39-M40</f>
        <v>0</v>
      </c>
      <c r="N41" s="702">
        <f>N39-N40</f>
        <v>0</v>
      </c>
      <c r="O41" s="979"/>
      <c r="P41" s="977"/>
    </row>
    <row r="42" spans="1:19">
      <c r="A42" s="939"/>
      <c r="B42" s="939"/>
      <c r="C42" s="956"/>
      <c r="D42" s="962"/>
      <c r="E42" s="962"/>
      <c r="F42" s="962"/>
      <c r="G42" s="962"/>
      <c r="H42" s="956"/>
      <c r="I42" s="939"/>
      <c r="J42" s="939"/>
      <c r="K42" s="939"/>
      <c r="L42" s="939"/>
      <c r="M42" s="939"/>
      <c r="N42" s="939"/>
      <c r="O42" s="939"/>
      <c r="P42" s="962"/>
    </row>
    <row r="43" spans="1:19" ht="17.45" customHeight="1">
      <c r="A43" s="969" t="s">
        <v>1446</v>
      </c>
      <c r="B43" s="939"/>
      <c r="C43" s="939"/>
      <c r="D43" s="962"/>
      <c r="E43" s="962"/>
      <c r="F43" s="962"/>
      <c r="G43" s="962"/>
      <c r="H43" s="939"/>
      <c r="I43" s="936"/>
      <c r="J43" s="970"/>
      <c r="K43" s="971"/>
      <c r="L43" s="972"/>
      <c r="M43" s="972"/>
      <c r="N43" s="972"/>
      <c r="O43" s="939"/>
      <c r="P43" s="962"/>
    </row>
    <row r="44" spans="1:19" ht="17.45" customHeight="1">
      <c r="A44" s="973"/>
      <c r="B44" s="936"/>
      <c r="C44" s="956"/>
      <c r="D44" s="962"/>
      <c r="E44" s="962"/>
      <c r="F44" s="962"/>
      <c r="G44" s="962"/>
      <c r="H44" s="956"/>
      <c r="I44" s="936"/>
      <c r="J44" s="939"/>
      <c r="K44" s="939"/>
      <c r="L44" s="939"/>
      <c r="M44" s="939"/>
      <c r="N44" s="939"/>
      <c r="O44" s="939"/>
      <c r="P44" s="962"/>
    </row>
    <row r="45" spans="1:19" ht="15.4">
      <c r="A45" s="940" t="s">
        <v>1426</v>
      </c>
      <c r="B45" s="956" t="s">
        <v>2046</v>
      </c>
      <c r="C45" s="940" t="s">
        <v>1447</v>
      </c>
      <c r="D45" s="962"/>
      <c r="E45" s="962"/>
      <c r="F45" s="962"/>
      <c r="G45" s="962"/>
      <c r="H45" s="956" t="s">
        <v>1428</v>
      </c>
      <c r="I45" s="939"/>
      <c r="J45" s="442">
        <v>8.3822001755056519</v>
      </c>
      <c r="K45" s="442">
        <v>34.512774359354644</v>
      </c>
      <c r="L45" s="442">
        <v>59.500470100496784</v>
      </c>
      <c r="M45" s="442">
        <v>20.474768891513815</v>
      </c>
      <c r="N45" s="442">
        <v>1.006283648583417</v>
      </c>
      <c r="O45" s="939"/>
      <c r="P45" s="962"/>
    </row>
    <row r="46" spans="1:19" ht="15.4">
      <c r="A46" s="940" t="s">
        <v>1429</v>
      </c>
      <c r="B46" s="956" t="s">
        <v>2047</v>
      </c>
      <c r="C46" s="940" t="s">
        <v>1447</v>
      </c>
      <c r="D46" s="962"/>
      <c r="E46" s="962"/>
      <c r="F46" s="962"/>
      <c r="G46" s="962"/>
      <c r="H46" s="956" t="s">
        <v>1428</v>
      </c>
      <c r="I46" s="939"/>
      <c r="J46" s="944" cm="1">
        <f t="array" ref="J46:N46">TOCEPRAt</f>
        <v>0</v>
      </c>
      <c r="K46" s="944">
        <v>0</v>
      </c>
      <c r="L46" s="944">
        <v>0</v>
      </c>
      <c r="M46" s="944">
        <v>0</v>
      </c>
      <c r="N46" s="944">
        <v>0</v>
      </c>
      <c r="O46" s="974" t="s">
        <v>2031</v>
      </c>
      <c r="P46" s="962"/>
    </row>
    <row r="47" spans="1:19" s="980" customFormat="1" ht="24.75">
      <c r="A47" s="976" t="s">
        <v>1446</v>
      </c>
      <c r="B47" s="978" t="s">
        <v>2048</v>
      </c>
      <c r="C47" s="976" t="s">
        <v>1447</v>
      </c>
      <c r="D47" s="977"/>
      <c r="E47" s="977"/>
      <c r="F47" s="977"/>
      <c r="G47" s="977"/>
      <c r="H47" s="978" t="s">
        <v>1428</v>
      </c>
      <c r="I47" s="979"/>
      <c r="J47" s="702">
        <f>J45-J46</f>
        <v>8.3822001755056519</v>
      </c>
      <c r="K47" s="702">
        <f>K45-K46</f>
        <v>34.512774359354644</v>
      </c>
      <c r="L47" s="702">
        <f>L45-L46</f>
        <v>59.500470100496784</v>
      </c>
      <c r="M47" s="702">
        <f>M45-M46</f>
        <v>20.474768891513815</v>
      </c>
      <c r="N47" s="702">
        <f>N45-N46</f>
        <v>1.006283648583417</v>
      </c>
      <c r="O47" s="979"/>
      <c r="P47" s="977"/>
    </row>
    <row r="48" spans="1:19">
      <c r="A48" s="939"/>
      <c r="B48" s="939"/>
      <c r="C48" s="956"/>
      <c r="D48" s="962"/>
      <c r="E48" s="962"/>
      <c r="F48" s="962"/>
      <c r="G48" s="962"/>
      <c r="H48" s="956"/>
      <c r="I48" s="939"/>
      <c r="J48" s="939"/>
      <c r="K48" s="939"/>
      <c r="L48" s="939"/>
      <c r="M48" s="939"/>
      <c r="N48" s="939"/>
      <c r="O48" s="939"/>
      <c r="P48" s="962"/>
    </row>
    <row r="49" spans="1:16" ht="17.45" customHeight="1">
      <c r="A49" s="969" t="s">
        <v>1448</v>
      </c>
      <c r="B49" s="939"/>
      <c r="C49" s="939"/>
      <c r="D49" s="962"/>
      <c r="E49" s="962"/>
      <c r="F49" s="962"/>
      <c r="G49" s="962"/>
      <c r="H49" s="939"/>
      <c r="I49" s="936"/>
      <c r="J49" s="970"/>
      <c r="K49" s="971"/>
      <c r="L49" s="972"/>
      <c r="M49" s="972"/>
      <c r="N49" s="972"/>
      <c r="O49" s="939"/>
      <c r="P49" s="962"/>
    </row>
    <row r="50" spans="1:16" ht="17.45" customHeight="1">
      <c r="A50" s="973"/>
      <c r="B50" s="936"/>
      <c r="C50" s="956"/>
      <c r="D50" s="962"/>
      <c r="E50" s="962"/>
      <c r="F50" s="962"/>
      <c r="G50" s="962"/>
      <c r="H50" s="956"/>
      <c r="I50" s="936"/>
      <c r="J50" s="939"/>
      <c r="K50" s="939"/>
      <c r="L50" s="939"/>
      <c r="M50" s="939"/>
      <c r="N50" s="939"/>
      <c r="O50" s="939"/>
      <c r="P50" s="962"/>
    </row>
    <row r="51" spans="1:16" ht="15.4">
      <c r="A51" s="940" t="s">
        <v>1426</v>
      </c>
      <c r="B51" s="956" t="s">
        <v>2049</v>
      </c>
      <c r="C51" s="940" t="s">
        <v>1449</v>
      </c>
      <c r="D51" s="962"/>
      <c r="E51" s="962"/>
      <c r="F51" s="962"/>
      <c r="G51" s="962"/>
      <c r="H51" s="956" t="s">
        <v>1428</v>
      </c>
      <c r="I51" s="939"/>
      <c r="J51" s="442">
        <v>1.1608360565476097</v>
      </c>
      <c r="K51" s="442">
        <v>0</v>
      </c>
      <c r="L51" s="442">
        <v>0</v>
      </c>
      <c r="M51" s="442">
        <v>0</v>
      </c>
      <c r="N51" s="442">
        <v>0</v>
      </c>
      <c r="O51" s="939"/>
      <c r="P51" s="962"/>
    </row>
    <row r="52" spans="1:16" ht="15.4">
      <c r="A52" s="940" t="s">
        <v>1429</v>
      </c>
      <c r="B52" s="956" t="s">
        <v>2050</v>
      </c>
      <c r="C52" s="940" t="s">
        <v>1449</v>
      </c>
      <c r="D52" s="962"/>
      <c r="E52" s="962"/>
      <c r="F52" s="962"/>
      <c r="G52" s="962"/>
      <c r="H52" s="956" t="s">
        <v>1428</v>
      </c>
      <c r="I52" s="939"/>
      <c r="J52" s="944" cm="1">
        <f t="array" ref="J52:N52">TOKLSRAt</f>
        <v>0</v>
      </c>
      <c r="K52" s="944">
        <v>0</v>
      </c>
      <c r="L52" s="944">
        <v>0</v>
      </c>
      <c r="M52" s="944">
        <v>0</v>
      </c>
      <c r="N52" s="944">
        <v>0</v>
      </c>
      <c r="O52" s="974" t="s">
        <v>2031</v>
      </c>
      <c r="P52" s="962"/>
    </row>
    <row r="53" spans="1:16" s="980" customFormat="1" ht="24.75">
      <c r="A53" s="976" t="s">
        <v>1448</v>
      </c>
      <c r="B53" s="978" t="s">
        <v>2051</v>
      </c>
      <c r="C53" s="976" t="s">
        <v>1449</v>
      </c>
      <c r="D53" s="977"/>
      <c r="E53" s="977"/>
      <c r="F53" s="977"/>
      <c r="G53" s="977"/>
      <c r="H53" s="978" t="s">
        <v>1428</v>
      </c>
      <c r="I53" s="979"/>
      <c r="J53" s="702">
        <f>J51-J52</f>
        <v>1.1608360565476097</v>
      </c>
      <c r="K53" s="702">
        <f>K51-K52</f>
        <v>0</v>
      </c>
      <c r="L53" s="702">
        <f>L51-L52</f>
        <v>0</v>
      </c>
      <c r="M53" s="702">
        <f>M51-M52</f>
        <v>0</v>
      </c>
      <c r="N53" s="702">
        <f>N51-N52</f>
        <v>0</v>
      </c>
      <c r="O53" s="979"/>
      <c r="P53" s="977"/>
    </row>
    <row r="54" spans="1:16">
      <c r="A54" s="939"/>
      <c r="B54" s="939"/>
      <c r="C54" s="956"/>
      <c r="D54" s="962"/>
      <c r="E54" s="962"/>
      <c r="F54" s="962"/>
      <c r="G54" s="962"/>
      <c r="H54" s="956"/>
      <c r="I54" s="939"/>
      <c r="J54" s="939"/>
      <c r="K54" s="939"/>
      <c r="L54" s="939"/>
      <c r="M54" s="939"/>
      <c r="N54" s="939"/>
      <c r="O54" s="939"/>
      <c r="P54" s="962"/>
    </row>
    <row r="55" spans="1:16">
      <c r="A55" s="969" t="s">
        <v>1450</v>
      </c>
      <c r="B55" s="939"/>
      <c r="C55" s="939"/>
      <c r="D55" s="962"/>
      <c r="E55" s="962"/>
      <c r="F55" s="962"/>
      <c r="G55" s="962"/>
      <c r="H55" s="939"/>
      <c r="I55" s="936"/>
      <c r="J55" s="970"/>
      <c r="K55" s="971"/>
      <c r="L55" s="972"/>
      <c r="M55" s="972"/>
      <c r="N55" s="972"/>
      <c r="O55" s="939"/>
      <c r="P55" s="962"/>
    </row>
    <row r="56" spans="1:16">
      <c r="A56" s="973"/>
      <c r="B56" s="936"/>
      <c r="C56" s="956"/>
      <c r="D56" s="962"/>
      <c r="E56" s="962"/>
      <c r="F56" s="962"/>
      <c r="G56" s="962"/>
      <c r="H56" s="956"/>
      <c r="I56" s="936"/>
      <c r="J56" s="939"/>
      <c r="K56" s="939"/>
      <c r="L56" s="939"/>
      <c r="M56" s="939"/>
      <c r="N56" s="939"/>
      <c r="O56" s="939"/>
      <c r="P56" s="962"/>
    </row>
    <row r="57" spans="1:16" ht="15.4">
      <c r="A57" s="940" t="s">
        <v>1426</v>
      </c>
      <c r="B57" s="942" t="s">
        <v>2052</v>
      </c>
      <c r="C57" s="940" t="s">
        <v>1451</v>
      </c>
      <c r="D57" s="962"/>
      <c r="E57" s="962"/>
      <c r="F57" s="962"/>
      <c r="G57" s="962"/>
      <c r="H57" s="956" t="s">
        <v>1428</v>
      </c>
      <c r="I57" s="939"/>
      <c r="J57" s="442">
        <v>0</v>
      </c>
      <c r="K57" s="442">
        <v>0</v>
      </c>
      <c r="L57" s="442">
        <v>0</v>
      </c>
      <c r="M57" s="442">
        <v>0</v>
      </c>
      <c r="N57" s="442">
        <v>0</v>
      </c>
      <c r="O57" s="939"/>
      <c r="P57" s="962"/>
    </row>
    <row r="58" spans="1:16" ht="15.4">
      <c r="A58" s="940" t="s">
        <v>1429</v>
      </c>
      <c r="B58" s="942" t="s">
        <v>2053</v>
      </c>
      <c r="C58" s="940" t="s">
        <v>1451</v>
      </c>
      <c r="D58" s="962"/>
      <c r="E58" s="962"/>
      <c r="F58" s="962"/>
      <c r="G58" s="962"/>
      <c r="H58" s="956" t="s">
        <v>1428</v>
      </c>
      <c r="I58" s="939"/>
      <c r="J58" s="944" cm="1">
        <f t="array" ref="J58:N58">TOFIOCRAt</f>
        <v>0</v>
      </c>
      <c r="K58" s="944">
        <v>0</v>
      </c>
      <c r="L58" s="944">
        <v>0</v>
      </c>
      <c r="M58" s="944">
        <v>0</v>
      </c>
      <c r="N58" s="944">
        <v>0</v>
      </c>
      <c r="O58" s="974" t="s">
        <v>2031</v>
      </c>
      <c r="P58" s="962"/>
    </row>
    <row r="59" spans="1:16" s="980" customFormat="1" ht="24.75">
      <c r="A59" s="976" t="s">
        <v>1452</v>
      </c>
      <c r="B59" s="978" t="s">
        <v>2054</v>
      </c>
      <c r="C59" s="976" t="s">
        <v>1451</v>
      </c>
      <c r="D59" s="977"/>
      <c r="E59" s="977"/>
      <c r="F59" s="977"/>
      <c r="G59" s="977"/>
      <c r="H59" s="978" t="s">
        <v>1428</v>
      </c>
      <c r="I59" s="979"/>
      <c r="J59" s="702">
        <f>J57-J58</f>
        <v>0</v>
      </c>
      <c r="K59" s="702">
        <f>K57-K58</f>
        <v>0</v>
      </c>
      <c r="L59" s="702">
        <f>L57-L58</f>
        <v>0</v>
      </c>
      <c r="M59" s="702">
        <f>M57-M58</f>
        <v>0</v>
      </c>
      <c r="N59" s="702">
        <f>N57-N58</f>
        <v>0</v>
      </c>
      <c r="O59" s="979"/>
      <c r="P59" s="977"/>
    </row>
    <row r="60" spans="1:16">
      <c r="A60" s="939"/>
      <c r="B60" s="939"/>
      <c r="C60" s="956"/>
      <c r="D60" s="962"/>
      <c r="E60" s="962"/>
      <c r="F60" s="962"/>
      <c r="G60" s="962"/>
      <c r="H60" s="956"/>
      <c r="I60" s="939"/>
      <c r="J60" s="939"/>
      <c r="K60" s="939"/>
      <c r="L60" s="939"/>
      <c r="M60" s="939"/>
      <c r="N60" s="939"/>
      <c r="O60" s="939"/>
      <c r="P60" s="962"/>
    </row>
    <row r="61" spans="1:16">
      <c r="A61" s="969" t="s">
        <v>1453</v>
      </c>
      <c r="B61" s="939"/>
      <c r="C61" s="939"/>
      <c r="D61" s="962"/>
      <c r="E61" s="962"/>
      <c r="F61" s="962"/>
      <c r="G61" s="962"/>
      <c r="H61" s="939"/>
      <c r="I61" s="936"/>
      <c r="J61" s="970"/>
      <c r="K61" s="971"/>
      <c r="L61" s="972"/>
      <c r="M61" s="972"/>
      <c r="N61" s="972"/>
      <c r="O61" s="939"/>
      <c r="P61" s="962"/>
    </row>
    <row r="62" spans="1:16">
      <c r="A62" s="973"/>
      <c r="B62" s="936"/>
      <c r="C62" s="956"/>
      <c r="D62" s="962"/>
      <c r="E62" s="962"/>
      <c r="F62" s="962"/>
      <c r="G62" s="962"/>
      <c r="H62" s="956"/>
      <c r="I62" s="936"/>
      <c r="J62" s="939"/>
      <c r="K62" s="939"/>
      <c r="L62" s="939"/>
      <c r="M62" s="939"/>
      <c r="N62" s="939"/>
      <c r="O62" s="939"/>
      <c r="P62" s="962"/>
    </row>
    <row r="63" spans="1:16" ht="15.4">
      <c r="A63" s="940" t="s">
        <v>1426</v>
      </c>
      <c r="B63" s="942" t="s">
        <v>2055</v>
      </c>
      <c r="C63" s="940" t="s">
        <v>1454</v>
      </c>
      <c r="D63" s="962"/>
      <c r="E63" s="962"/>
      <c r="F63" s="962"/>
      <c r="G63" s="962"/>
      <c r="H63" s="956" t="s">
        <v>1428</v>
      </c>
      <c r="I63" s="939"/>
      <c r="J63" s="442">
        <v>7.4572879522201427</v>
      </c>
      <c r="K63" s="442">
        <v>9.8607254755791303</v>
      </c>
      <c r="L63" s="442">
        <v>11.920313506946851</v>
      </c>
      <c r="M63" s="442">
        <v>7.7169522615819179</v>
      </c>
      <c r="N63" s="442">
        <v>9.4350243388455457</v>
      </c>
      <c r="O63" s="985"/>
      <c r="P63" s="962"/>
    </row>
    <row r="64" spans="1:16" ht="15.4">
      <c r="A64" s="940" t="s">
        <v>1429</v>
      </c>
      <c r="B64" s="942" t="s">
        <v>2056</v>
      </c>
      <c r="C64" s="940" t="s">
        <v>1454</v>
      </c>
      <c r="D64" s="962"/>
      <c r="E64" s="962"/>
      <c r="F64" s="962"/>
      <c r="G64" s="962"/>
      <c r="H64" s="956" t="s">
        <v>1428</v>
      </c>
      <c r="I64" s="939"/>
      <c r="J64" s="944" cm="1">
        <f t="array" ref="J64:N64">TONLARt</f>
        <v>0</v>
      </c>
      <c r="K64" s="944">
        <v>0</v>
      </c>
      <c r="L64" s="944">
        <v>0</v>
      </c>
      <c r="M64" s="944">
        <v>0</v>
      </c>
      <c r="N64" s="944">
        <v>0</v>
      </c>
      <c r="O64" s="974" t="s">
        <v>2031</v>
      </c>
      <c r="P64" s="962"/>
    </row>
    <row r="65" spans="1:16" s="980" customFormat="1" ht="24.75">
      <c r="A65" s="976" t="s">
        <v>1453</v>
      </c>
      <c r="B65" s="975" t="s">
        <v>2057</v>
      </c>
      <c r="C65" s="976" t="s">
        <v>1454</v>
      </c>
      <c r="D65" s="977"/>
      <c r="E65" s="977"/>
      <c r="F65" s="977"/>
      <c r="G65" s="977"/>
      <c r="H65" s="978" t="s">
        <v>1428</v>
      </c>
      <c r="I65" s="979"/>
      <c r="J65" s="702">
        <f>J63-J64</f>
        <v>7.4572879522201427</v>
      </c>
      <c r="K65" s="702">
        <f>K63-K64</f>
        <v>9.8607254755791303</v>
      </c>
      <c r="L65" s="702">
        <f>L63-L64</f>
        <v>11.920313506946851</v>
      </c>
      <c r="M65" s="702">
        <f>M63-M64</f>
        <v>7.7169522615819179</v>
      </c>
      <c r="N65" s="702">
        <f>N63-N64</f>
        <v>9.4350243388455457</v>
      </c>
      <c r="O65" s="979"/>
      <c r="P65" s="977"/>
    </row>
    <row r="66" spans="1:16">
      <c r="A66" s="939"/>
      <c r="B66" s="939"/>
      <c r="C66" s="956"/>
      <c r="D66" s="962"/>
      <c r="E66" s="962"/>
      <c r="F66" s="962"/>
      <c r="G66" s="962"/>
      <c r="H66" s="956"/>
      <c r="I66" s="939"/>
      <c r="J66" s="939"/>
      <c r="K66" s="939"/>
      <c r="L66" s="939"/>
      <c r="M66" s="939"/>
      <c r="N66" s="939"/>
      <c r="O66" s="939"/>
      <c r="P66" s="962"/>
    </row>
    <row r="67" spans="1:16">
      <c r="A67" s="969" t="s">
        <v>1455</v>
      </c>
      <c r="B67" s="939"/>
      <c r="C67" s="939"/>
      <c r="D67" s="962"/>
      <c r="E67" s="962"/>
      <c r="F67" s="962"/>
      <c r="G67" s="962"/>
      <c r="H67" s="939"/>
      <c r="I67" s="936"/>
      <c r="J67" s="970"/>
      <c r="K67" s="971"/>
      <c r="L67" s="972"/>
      <c r="M67" s="972"/>
      <c r="N67" s="972"/>
      <c r="O67" s="939"/>
      <c r="P67" s="962"/>
    </row>
    <row r="68" spans="1:16">
      <c r="A68" s="973"/>
      <c r="B68" s="936"/>
      <c r="C68" s="956"/>
      <c r="D68" s="962"/>
      <c r="E68" s="962"/>
      <c r="F68" s="962"/>
      <c r="G68" s="962"/>
      <c r="H68" s="956"/>
      <c r="I68" s="936"/>
      <c r="J68" s="939"/>
      <c r="K68" s="939"/>
      <c r="L68" s="939"/>
      <c r="M68" s="939"/>
      <c r="N68" s="939"/>
      <c r="O68" s="939"/>
      <c r="P68" s="962"/>
    </row>
    <row r="69" spans="1:16" ht="15.4">
      <c r="A69" s="940" t="s">
        <v>1426</v>
      </c>
      <c r="B69" s="942" t="s">
        <v>2058</v>
      </c>
      <c r="C69" s="940" t="s">
        <v>1456</v>
      </c>
      <c r="D69" s="962"/>
      <c r="E69" s="962"/>
      <c r="F69" s="962"/>
      <c r="G69" s="962"/>
      <c r="H69" s="956" t="s">
        <v>1428</v>
      </c>
      <c r="I69" s="939"/>
      <c r="J69" s="442">
        <v>3.5809826021106526</v>
      </c>
      <c r="K69" s="442">
        <v>22.378095325061317</v>
      </c>
      <c r="L69" s="442">
        <v>21.286803132998141</v>
      </c>
      <c r="M69" s="442">
        <v>13.135867253351169</v>
      </c>
      <c r="N69" s="442">
        <v>17.134269515484011</v>
      </c>
      <c r="O69" s="939"/>
      <c r="P69" s="962"/>
    </row>
    <row r="70" spans="1:16" ht="15.4">
      <c r="A70" s="940" t="s">
        <v>1429</v>
      </c>
      <c r="B70" s="942" t="s">
        <v>2059</v>
      </c>
      <c r="C70" s="940" t="s">
        <v>1456</v>
      </c>
      <c r="D70" s="962"/>
      <c r="E70" s="962"/>
      <c r="F70" s="962"/>
      <c r="G70" s="962"/>
      <c r="H70" s="956" t="s">
        <v>1428</v>
      </c>
      <c r="I70" s="939"/>
      <c r="J70" s="944" cm="1">
        <f t="array" ref="J70:N70">TORARt</f>
        <v>0</v>
      </c>
      <c r="K70" s="944">
        <v>0</v>
      </c>
      <c r="L70" s="944">
        <v>0</v>
      </c>
      <c r="M70" s="944">
        <v>0</v>
      </c>
      <c r="N70" s="944">
        <v>0</v>
      </c>
      <c r="O70" s="974" t="s">
        <v>2031</v>
      </c>
      <c r="P70" s="962"/>
    </row>
    <row r="71" spans="1:16" s="980" customFormat="1" ht="24.75">
      <c r="A71" s="976" t="s">
        <v>1455</v>
      </c>
      <c r="B71" s="978" t="s">
        <v>2060</v>
      </c>
      <c r="C71" s="976" t="s">
        <v>1456</v>
      </c>
      <c r="D71" s="977"/>
      <c r="E71" s="977"/>
      <c r="F71" s="977"/>
      <c r="G71" s="977"/>
      <c r="H71" s="978" t="s">
        <v>1428</v>
      </c>
      <c r="I71" s="979"/>
      <c r="J71" s="702">
        <f>J69-J70</f>
        <v>3.5809826021106526</v>
      </c>
      <c r="K71" s="702">
        <f>K69-K70</f>
        <v>22.378095325061317</v>
      </c>
      <c r="L71" s="702">
        <f>L69-L70</f>
        <v>21.286803132998141</v>
      </c>
      <c r="M71" s="702">
        <f>M69-M70</f>
        <v>13.135867253351169</v>
      </c>
      <c r="N71" s="702">
        <f>N69-N70</f>
        <v>17.134269515484011</v>
      </c>
      <c r="O71" s="979"/>
      <c r="P71" s="977"/>
    </row>
    <row r="72" spans="1:16">
      <c r="A72" s="939"/>
      <c r="B72" s="939"/>
      <c r="C72" s="956"/>
      <c r="D72" s="962"/>
      <c r="E72" s="962"/>
      <c r="F72" s="962"/>
      <c r="G72" s="962"/>
      <c r="H72" s="956"/>
      <c r="I72" s="939"/>
      <c r="J72" s="986"/>
      <c r="K72" s="939"/>
      <c r="L72" s="939"/>
      <c r="M72" s="939"/>
      <c r="N72" s="939"/>
      <c r="O72" s="939"/>
      <c r="P72" s="962"/>
    </row>
    <row r="73" spans="1:16">
      <c r="A73" s="939"/>
      <c r="B73" s="939"/>
      <c r="C73" s="956"/>
      <c r="D73" s="962"/>
      <c r="E73" s="962"/>
      <c r="F73" s="962"/>
      <c r="G73" s="962"/>
      <c r="H73" s="956"/>
      <c r="I73" s="939"/>
      <c r="J73" s="939"/>
      <c r="K73" s="939"/>
      <c r="L73" s="939"/>
      <c r="M73" s="939"/>
      <c r="N73" s="939"/>
      <c r="O73" s="939"/>
      <c r="P73" s="962"/>
    </row>
    <row r="74" spans="1:16">
      <c r="A74" s="939"/>
      <c r="B74" s="939"/>
      <c r="C74" s="956"/>
      <c r="D74" s="962"/>
      <c r="E74" s="962"/>
      <c r="F74" s="962"/>
      <c r="G74" s="962"/>
      <c r="H74" s="956"/>
      <c r="I74" s="939"/>
      <c r="J74" s="987"/>
      <c r="K74" s="987"/>
      <c r="L74" s="987"/>
      <c r="M74" s="987"/>
      <c r="N74" s="987"/>
      <c r="O74" s="987"/>
      <c r="P74" s="962"/>
    </row>
    <row r="75" spans="1:16">
      <c r="A75" s="939"/>
      <c r="B75" s="939"/>
      <c r="C75" s="956"/>
      <c r="D75" s="962"/>
      <c r="E75" s="962"/>
      <c r="F75" s="962"/>
      <c r="G75" s="962"/>
      <c r="H75" s="956"/>
      <c r="I75" s="939"/>
      <c r="J75" s="988"/>
      <c r="K75" s="988"/>
      <c r="L75" s="988"/>
      <c r="M75" s="988"/>
      <c r="N75" s="988"/>
      <c r="O75" s="988"/>
      <c r="P75" s="962"/>
    </row>
    <row r="76" spans="1:16">
      <c r="A76" s="939"/>
      <c r="B76" s="939"/>
      <c r="C76" s="956"/>
      <c r="D76" s="962"/>
      <c r="E76" s="962"/>
      <c r="F76" s="962"/>
      <c r="G76" s="962"/>
      <c r="H76" s="956"/>
      <c r="I76" s="939"/>
      <c r="J76" s="988"/>
      <c r="K76" s="988"/>
      <c r="L76" s="988"/>
      <c r="M76" s="988"/>
      <c r="N76" s="988"/>
      <c r="O76" s="988"/>
      <c r="P76" s="962"/>
    </row>
    <row r="77" spans="1:16">
      <c r="A77" s="939"/>
      <c r="B77" s="939"/>
      <c r="C77" s="956"/>
      <c r="D77" s="962"/>
      <c r="E77" s="962"/>
      <c r="F77" s="962"/>
      <c r="G77" s="962"/>
      <c r="H77" s="956"/>
      <c r="I77" s="939"/>
      <c r="J77" s="989"/>
      <c r="K77" s="989"/>
      <c r="L77" s="989"/>
      <c r="M77" s="989"/>
      <c r="N77" s="989"/>
      <c r="O77" s="989"/>
      <c r="P77" s="962"/>
    </row>
    <row r="78" spans="1:16">
      <c r="A78" s="939"/>
      <c r="B78" s="939"/>
      <c r="C78" s="956"/>
      <c r="D78" s="962"/>
      <c r="E78" s="962"/>
      <c r="F78" s="962"/>
      <c r="G78" s="962"/>
      <c r="H78" s="956"/>
      <c r="I78" s="939"/>
      <c r="J78" s="989"/>
      <c r="K78" s="989"/>
      <c r="L78" s="989"/>
      <c r="M78" s="989"/>
      <c r="N78" s="989"/>
      <c r="O78" s="987"/>
      <c r="P78" s="989"/>
    </row>
    <row r="79" spans="1:16">
      <c r="A79" s="939"/>
      <c r="B79" s="939"/>
      <c r="C79" s="956"/>
      <c r="D79" s="962"/>
      <c r="E79" s="962"/>
      <c r="F79" s="962"/>
      <c r="G79" s="962"/>
      <c r="H79" s="956"/>
      <c r="I79" s="939"/>
      <c r="J79" s="939"/>
      <c r="K79" s="939"/>
      <c r="L79" s="939"/>
      <c r="M79" s="939"/>
      <c r="N79" s="939"/>
      <c r="O79" s="939"/>
      <c r="P79" s="962"/>
    </row>
    <row r="80" spans="1:16">
      <c r="A80" s="939"/>
      <c r="B80" s="939"/>
      <c r="C80" s="956"/>
      <c r="D80" s="962"/>
      <c r="E80" s="962"/>
      <c r="F80" s="962"/>
      <c r="G80" s="962"/>
      <c r="H80" s="956"/>
      <c r="I80" s="939"/>
      <c r="J80" s="939"/>
      <c r="K80" s="939"/>
      <c r="L80" s="939"/>
      <c r="M80" s="939"/>
      <c r="N80" s="939"/>
      <c r="O80" s="939"/>
      <c r="P80" s="962"/>
    </row>
    <row r="81" spans="1:16">
      <c r="A81" s="939"/>
      <c r="B81" s="939"/>
      <c r="C81" s="956"/>
      <c r="D81" s="962"/>
      <c r="E81" s="962"/>
      <c r="F81" s="962"/>
      <c r="G81" s="962"/>
      <c r="H81" s="956"/>
      <c r="I81" s="939"/>
      <c r="J81" s="939"/>
      <c r="K81" s="939"/>
      <c r="L81" s="939"/>
      <c r="M81" s="939"/>
      <c r="N81" s="939"/>
      <c r="O81" s="939"/>
      <c r="P81" s="962"/>
    </row>
    <row r="82" spans="1:16">
      <c r="A82" s="939"/>
      <c r="B82" s="939"/>
      <c r="C82" s="956"/>
      <c r="D82" s="962"/>
      <c r="E82" s="962"/>
      <c r="F82" s="962"/>
      <c r="G82" s="962"/>
      <c r="H82" s="956"/>
      <c r="I82" s="939"/>
      <c r="J82" s="939"/>
      <c r="K82" s="939"/>
      <c r="L82" s="939"/>
      <c r="M82" s="939"/>
      <c r="N82" s="939"/>
      <c r="O82" s="939"/>
      <c r="P82" s="962"/>
    </row>
    <row r="83" spans="1:16">
      <c r="A83" s="939"/>
      <c r="B83" s="939"/>
      <c r="C83" s="956"/>
      <c r="D83" s="962"/>
      <c r="E83" s="962"/>
      <c r="F83" s="962"/>
      <c r="G83" s="962"/>
      <c r="H83" s="956"/>
      <c r="I83" s="939"/>
      <c r="J83" s="939"/>
      <c r="K83" s="939"/>
      <c r="L83" s="939"/>
      <c r="M83" s="939"/>
      <c r="N83" s="939"/>
      <c r="O83" s="939"/>
      <c r="P83" s="962"/>
    </row>
    <row r="84" spans="1:16">
      <c r="A84" s="939"/>
      <c r="B84" s="939"/>
      <c r="C84" s="956"/>
      <c r="D84" s="962"/>
      <c r="E84" s="962"/>
      <c r="F84" s="962"/>
      <c r="G84" s="962"/>
      <c r="H84" s="956"/>
      <c r="I84" s="939"/>
      <c r="J84" s="939"/>
      <c r="K84" s="939"/>
      <c r="L84" s="939"/>
      <c r="M84" s="939"/>
      <c r="N84" s="939"/>
      <c r="O84" s="939"/>
      <c r="P84" s="962"/>
    </row>
    <row r="85" spans="1:16">
      <c r="A85" s="939"/>
      <c r="B85" s="939"/>
      <c r="C85" s="956"/>
      <c r="D85" s="962"/>
      <c r="E85" s="962"/>
      <c r="F85" s="962"/>
      <c r="G85" s="962"/>
      <c r="H85" s="956"/>
      <c r="I85" s="939"/>
      <c r="J85" s="939"/>
      <c r="K85" s="939"/>
      <c r="L85" s="939"/>
      <c r="M85" s="939"/>
      <c r="N85" s="939"/>
      <c r="O85" s="939"/>
      <c r="P85" s="962"/>
    </row>
    <row r="86" spans="1:16">
      <c r="A86" s="939"/>
      <c r="B86" s="939"/>
      <c r="C86" s="956"/>
      <c r="D86" s="962"/>
      <c r="E86" s="962"/>
      <c r="F86" s="962"/>
      <c r="G86" s="962"/>
      <c r="H86" s="956"/>
      <c r="I86" s="939"/>
      <c r="J86" s="939"/>
      <c r="K86" s="939"/>
      <c r="L86" s="939"/>
      <c r="M86" s="939"/>
      <c r="N86" s="939"/>
      <c r="O86" s="939"/>
      <c r="P86" s="962"/>
    </row>
    <row r="87" spans="1:16">
      <c r="A87" s="939"/>
      <c r="B87" s="939"/>
      <c r="C87" s="956"/>
      <c r="D87" s="962"/>
      <c r="E87" s="962"/>
      <c r="F87" s="962"/>
      <c r="G87" s="962"/>
      <c r="H87" s="956"/>
      <c r="I87" s="939"/>
      <c r="J87" s="939"/>
      <c r="K87" s="939"/>
      <c r="L87" s="939"/>
      <c r="M87" s="939"/>
      <c r="N87" s="939"/>
      <c r="O87" s="939"/>
      <c r="P87" s="962"/>
    </row>
    <row r="88" spans="1:16">
      <c r="A88" s="939"/>
      <c r="B88" s="939"/>
      <c r="C88" s="956"/>
      <c r="D88" s="962"/>
      <c r="E88" s="962"/>
      <c r="F88" s="962"/>
      <c r="G88" s="962"/>
      <c r="H88" s="956"/>
      <c r="I88" s="939"/>
      <c r="J88" s="939"/>
      <c r="K88" s="939"/>
      <c r="L88" s="939"/>
      <c r="M88" s="939"/>
      <c r="N88" s="939"/>
      <c r="O88" s="939"/>
      <c r="P88" s="962"/>
    </row>
    <row r="89" spans="1:16">
      <c r="A89" s="939"/>
      <c r="B89" s="939"/>
      <c r="C89" s="956"/>
      <c r="D89" s="962"/>
      <c r="E89" s="962"/>
      <c r="F89" s="962"/>
      <c r="G89" s="962"/>
      <c r="H89" s="956"/>
      <c r="I89" s="939"/>
      <c r="J89" s="939"/>
      <c r="K89" s="939"/>
      <c r="L89" s="939"/>
      <c r="M89" s="939"/>
      <c r="N89" s="939"/>
      <c r="O89" s="939"/>
      <c r="P89" s="962"/>
    </row>
    <row r="90" spans="1:16">
      <c r="A90" s="939"/>
      <c r="B90" s="939"/>
      <c r="C90" s="956"/>
      <c r="D90" s="962"/>
      <c r="E90" s="962"/>
      <c r="F90" s="962"/>
      <c r="G90" s="962"/>
      <c r="H90" s="956"/>
      <c r="I90" s="939"/>
      <c r="J90" s="939"/>
      <c r="K90" s="939"/>
      <c r="L90" s="939"/>
      <c r="M90" s="939"/>
      <c r="N90" s="939"/>
      <c r="O90" s="939"/>
      <c r="P90" s="962"/>
    </row>
    <row r="91" spans="1:16">
      <c r="A91" s="939"/>
      <c r="B91" s="939"/>
      <c r="C91" s="956"/>
      <c r="D91" s="962"/>
      <c r="E91" s="962"/>
      <c r="F91" s="962"/>
      <c r="G91" s="962"/>
      <c r="H91" s="956"/>
      <c r="I91" s="939"/>
      <c r="J91" s="939"/>
      <c r="K91" s="939"/>
      <c r="L91" s="939"/>
      <c r="M91" s="939"/>
      <c r="N91" s="939"/>
      <c r="O91" s="939"/>
      <c r="P91" s="962"/>
    </row>
    <row r="92" spans="1:16">
      <c r="A92" s="939"/>
      <c r="B92" s="939"/>
      <c r="C92" s="956"/>
      <c r="D92" s="962"/>
      <c r="E92" s="962"/>
      <c r="F92" s="962"/>
      <c r="G92" s="962"/>
      <c r="H92" s="956"/>
      <c r="I92" s="939"/>
      <c r="J92" s="939"/>
      <c r="K92" s="939"/>
      <c r="L92" s="939"/>
      <c r="M92" s="939"/>
      <c r="N92" s="939"/>
      <c r="O92" s="939"/>
      <c r="P92" s="962"/>
    </row>
    <row r="93" spans="1:16">
      <c r="A93" s="939"/>
      <c r="B93" s="939"/>
      <c r="C93" s="956"/>
      <c r="D93" s="962"/>
      <c r="E93" s="962"/>
      <c r="F93" s="962"/>
      <c r="G93" s="962"/>
      <c r="H93" s="956"/>
      <c r="I93" s="939"/>
      <c r="J93" s="939"/>
      <c r="K93" s="939"/>
      <c r="L93" s="939"/>
      <c r="M93" s="939"/>
      <c r="N93" s="939"/>
      <c r="O93" s="939"/>
      <c r="P93" s="962"/>
    </row>
    <row r="94" spans="1:16">
      <c r="A94" s="939"/>
      <c r="B94" s="939"/>
      <c r="C94" s="956"/>
      <c r="D94" s="962"/>
      <c r="E94" s="962"/>
      <c r="F94" s="962"/>
      <c r="G94" s="962"/>
      <c r="H94" s="956"/>
      <c r="I94" s="939"/>
      <c r="J94" s="939"/>
      <c r="K94" s="939"/>
      <c r="L94" s="939"/>
      <c r="M94" s="939"/>
      <c r="N94" s="939"/>
      <c r="O94" s="939"/>
      <c r="P94" s="962"/>
    </row>
    <row r="95" spans="1:16">
      <c r="A95" s="939"/>
      <c r="B95" s="939"/>
      <c r="C95" s="956"/>
    </row>
    <row r="96" spans="1:16">
      <c r="A96" s="939"/>
      <c r="B96" s="939"/>
      <c r="C96" s="956"/>
    </row>
    <row r="97" spans="1:3">
      <c r="A97" s="939"/>
      <c r="B97" s="939"/>
      <c r="C97" s="956"/>
    </row>
    <row r="98" spans="1:3">
      <c r="A98" s="939"/>
      <c r="B98" s="939"/>
      <c r="C98" s="956"/>
    </row>
    <row r="99" spans="1:3">
      <c r="A99" s="939"/>
      <c r="B99" s="939"/>
      <c r="C99" s="956"/>
    </row>
    <row r="100" spans="1:3">
      <c r="A100" s="939"/>
      <c r="B100" s="939"/>
      <c r="C100" s="956"/>
    </row>
    <row r="101" spans="1:3">
      <c r="A101" s="939"/>
      <c r="B101" s="939"/>
      <c r="C101" s="956"/>
    </row>
    <row r="102" spans="1:3">
      <c r="A102" s="939"/>
      <c r="B102" s="939"/>
      <c r="C102" s="956"/>
    </row>
    <row r="103" spans="1:3">
      <c r="A103" s="939"/>
      <c r="B103" s="939"/>
      <c r="C103" s="956"/>
    </row>
    <row r="104" spans="1:3">
      <c r="A104" s="939"/>
      <c r="B104" s="939"/>
      <c r="C104" s="956"/>
    </row>
    <row r="105" spans="1:3">
      <c r="A105" s="939"/>
      <c r="B105" s="939"/>
      <c r="C105" s="956"/>
    </row>
  </sheetData>
  <pageMargins left="0.17" right="0.16" top="0.5" bottom="0.74803149606299213" header="0.31496062992125984" footer="0.31496062992125984"/>
  <pageSetup paperSize="9" scale="43" orientation="portrait" r:id="rId1"/>
  <headerFooter>
    <oddFooter>&amp;C&amp;D&amp;R&amp;F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90" zoomScaleNormal="90" workbookViewId="0">
      <pane ySplit="5" topLeftCell="A6" activePane="bottomLeft" state="frozen"/>
      <selection activeCell="F30" sqref="F30"/>
      <selection pane="bottomLeft"/>
    </sheetView>
  </sheetViews>
  <sheetFormatPr defaultColWidth="10.265625" defaultRowHeight="12.4"/>
  <cols>
    <col min="1" max="1" width="53.1328125" style="950" customWidth="1"/>
    <col min="2" max="2" width="9.265625" style="950" customWidth="1"/>
    <col min="3" max="3" width="9.73046875" style="950" customWidth="1"/>
    <col min="4" max="4" width="5.1328125" style="950" customWidth="1"/>
    <col min="5" max="5" width="4.59765625" style="950" customWidth="1"/>
    <col min="6" max="6" width="10.59765625" style="950" bestFit="1" customWidth="1"/>
    <col min="7" max="7" width="8.1328125" style="950" customWidth="1"/>
    <col min="8" max="13" width="11.59765625" style="950" bestFit="1" customWidth="1"/>
    <col min="14" max="14" width="10.86328125" style="950" bestFit="1" customWidth="1"/>
    <col min="15" max="16384" width="10.265625" style="950"/>
  </cols>
  <sheetData>
    <row r="1" spans="1:16" s="934" customFormat="1" ht="14.65">
      <c r="A1" s="930" t="s">
        <v>1418</v>
      </c>
      <c r="B1" s="931"/>
      <c r="C1" s="931"/>
      <c r="D1" s="931"/>
      <c r="E1" s="932"/>
      <c r="F1" s="932"/>
      <c r="G1" s="932"/>
      <c r="H1" s="932"/>
      <c r="I1" s="932"/>
      <c r="J1" s="932"/>
      <c r="K1" s="930"/>
      <c r="L1" s="930"/>
      <c r="M1" s="930"/>
      <c r="N1" s="930"/>
    </row>
    <row r="2" spans="1:16" s="934" customFormat="1" ht="14.65">
      <c r="A2" s="930" t="str">
        <f>'1.1 Cover'!A3</f>
        <v>Price base - 2018/19</v>
      </c>
      <c r="B2" s="935"/>
      <c r="C2" s="935"/>
      <c r="D2" s="935"/>
      <c r="E2" s="930"/>
      <c r="F2" s="930"/>
      <c r="G2" s="930"/>
      <c r="H2" s="930"/>
      <c r="I2" s="930"/>
      <c r="J2" s="930"/>
      <c r="K2" s="930"/>
      <c r="L2" s="930"/>
      <c r="M2" s="930"/>
      <c r="N2" s="930"/>
    </row>
    <row r="3" spans="1:16" s="934" customFormat="1" ht="33.950000000000003" customHeight="1">
      <c r="A3" s="935" t="s">
        <v>1457</v>
      </c>
      <c r="B3" s="935"/>
      <c r="C3" s="935"/>
      <c r="D3" s="935"/>
      <c r="E3" s="935"/>
      <c r="F3" s="930"/>
      <c r="G3" s="930"/>
      <c r="H3" s="930"/>
      <c r="I3" s="930"/>
      <c r="J3" s="930"/>
      <c r="K3" s="930"/>
      <c r="L3" s="930"/>
      <c r="M3" s="930"/>
      <c r="N3" s="930"/>
    </row>
    <row r="4" spans="1:16" ht="13.5">
      <c r="A4" s="961"/>
      <c r="B4" s="961"/>
      <c r="C4" s="961"/>
      <c r="D4" s="962"/>
      <c r="E4" s="933"/>
      <c r="F4" s="933"/>
      <c r="G4" s="933"/>
      <c r="H4" s="933"/>
      <c r="I4" s="933"/>
      <c r="J4" s="933"/>
      <c r="K4" s="933"/>
      <c r="L4" s="933"/>
      <c r="M4" s="933"/>
      <c r="N4" s="933"/>
      <c r="O4" s="963"/>
    </row>
    <row r="5" spans="1:16" ht="17.649999999999999">
      <c r="A5" s="964"/>
      <c r="B5" s="961"/>
      <c r="C5" s="961"/>
      <c r="D5" s="961"/>
      <c r="E5" s="961"/>
      <c r="H5" s="965"/>
      <c r="I5" s="965"/>
      <c r="J5" s="966" t="s">
        <v>1420</v>
      </c>
      <c r="K5" s="966" t="s">
        <v>1421</v>
      </c>
      <c r="L5" s="966" t="s">
        <v>1422</v>
      </c>
      <c r="M5" s="966" t="s">
        <v>1423</v>
      </c>
      <c r="N5" s="966" t="s">
        <v>1424</v>
      </c>
      <c r="O5" s="967"/>
    </row>
    <row r="6" spans="1:16" ht="13.5">
      <c r="A6" s="962"/>
      <c r="B6" s="962"/>
      <c r="C6" s="962"/>
      <c r="D6" s="962"/>
      <c r="E6" s="962"/>
      <c r="F6" s="962"/>
      <c r="G6" s="962"/>
      <c r="H6" s="965"/>
      <c r="I6" s="965"/>
      <c r="J6" s="968"/>
      <c r="K6" s="968"/>
      <c r="L6" s="968"/>
      <c r="M6" s="968"/>
      <c r="N6" s="963"/>
      <c r="O6" s="936"/>
      <c r="P6" s="962"/>
    </row>
    <row r="7" spans="1:16" ht="14.45" customHeight="1">
      <c r="A7" s="969" t="s">
        <v>1430</v>
      </c>
      <c r="B7" s="956"/>
      <c r="C7" s="939"/>
      <c r="D7" s="962"/>
      <c r="E7" s="962"/>
      <c r="F7" s="962"/>
      <c r="G7" s="962"/>
      <c r="H7" s="939"/>
      <c r="I7" s="936"/>
      <c r="J7" s="982"/>
      <c r="K7" s="982"/>
      <c r="L7" s="982"/>
      <c r="M7" s="982"/>
      <c r="N7" s="982"/>
      <c r="O7" s="939"/>
      <c r="P7" s="962"/>
    </row>
    <row r="8" spans="1:16">
      <c r="A8" s="983"/>
      <c r="B8" s="939"/>
      <c r="C8" s="956"/>
      <c r="D8" s="962"/>
      <c r="E8" s="962"/>
      <c r="F8" s="962"/>
      <c r="G8" s="962"/>
      <c r="H8" s="956"/>
      <c r="I8" s="936"/>
      <c r="J8" s="982"/>
      <c r="K8" s="982"/>
      <c r="L8" s="982"/>
      <c r="M8" s="982"/>
      <c r="N8" s="982"/>
      <c r="O8" s="939"/>
      <c r="P8" s="962"/>
    </row>
    <row r="9" spans="1:16" ht="12.2" customHeight="1">
      <c r="A9" s="956" t="s">
        <v>1426</v>
      </c>
      <c r="B9" s="956" t="s">
        <v>1431</v>
      </c>
      <c r="C9" s="956" t="s">
        <v>1432</v>
      </c>
      <c r="D9" s="962"/>
      <c r="E9" s="962"/>
      <c r="F9" s="962"/>
      <c r="G9" s="962"/>
      <c r="H9" s="956" t="s">
        <v>1428</v>
      </c>
      <c r="I9" s="936"/>
      <c r="J9" s="442">
        <v>0</v>
      </c>
      <c r="K9" s="442">
        <v>0</v>
      </c>
      <c r="L9" s="442">
        <v>0</v>
      </c>
      <c r="M9" s="442">
        <v>0</v>
      </c>
      <c r="N9" s="442">
        <v>0</v>
      </c>
      <c r="O9" s="939"/>
      <c r="P9" s="962"/>
    </row>
    <row r="10" spans="1:16" ht="12.2" customHeight="1">
      <c r="A10" s="940" t="s">
        <v>1429</v>
      </c>
      <c r="B10" s="956" t="s">
        <v>2033</v>
      </c>
      <c r="C10" s="956" t="s">
        <v>1432</v>
      </c>
      <c r="D10" s="962"/>
      <c r="E10" s="962"/>
      <c r="F10" s="962"/>
      <c r="G10" s="962"/>
      <c r="H10" s="956" t="s">
        <v>1428</v>
      </c>
      <c r="I10" s="936"/>
      <c r="J10" s="944" cm="1">
        <f t="array" ref="J10:N10">SOCROTRAt</f>
        <v>0</v>
      </c>
      <c r="K10" s="944">
        <v>0</v>
      </c>
      <c r="L10" s="944">
        <v>0</v>
      </c>
      <c r="M10" s="944">
        <v>0</v>
      </c>
      <c r="N10" s="944">
        <v>0</v>
      </c>
      <c r="O10" s="974" t="s">
        <v>2031</v>
      </c>
      <c r="P10" s="962"/>
    </row>
    <row r="11" spans="1:16" s="980" customFormat="1" ht="12.2" customHeight="1">
      <c r="A11" s="976" t="s">
        <v>1433</v>
      </c>
      <c r="B11" s="978" t="s">
        <v>2034</v>
      </c>
      <c r="C11" s="978" t="s">
        <v>1432</v>
      </c>
      <c r="D11" s="977"/>
      <c r="E11" s="977"/>
      <c r="F11" s="977"/>
      <c r="G11" s="977"/>
      <c r="H11" s="978" t="s">
        <v>1428</v>
      </c>
      <c r="I11" s="984"/>
      <c r="J11" s="702">
        <f>J9-J10</f>
        <v>0</v>
      </c>
      <c r="K11" s="702">
        <f>K9-K10</f>
        <v>0</v>
      </c>
      <c r="L11" s="702">
        <f>L9-L10</f>
        <v>0</v>
      </c>
      <c r="M11" s="702">
        <f>M9-M10</f>
        <v>0</v>
      </c>
      <c r="N11" s="702">
        <f>N9-N10</f>
        <v>0</v>
      </c>
      <c r="O11" s="979"/>
      <c r="P11" s="977"/>
    </row>
    <row r="12" spans="1:16">
      <c r="A12" s="983"/>
      <c r="B12" s="956"/>
      <c r="C12" s="956"/>
      <c r="D12" s="962"/>
      <c r="E12" s="962"/>
      <c r="F12" s="962"/>
      <c r="G12" s="962"/>
      <c r="H12" s="956"/>
      <c r="I12" s="936"/>
      <c r="J12" s="982"/>
      <c r="K12" s="982"/>
      <c r="L12" s="982"/>
      <c r="M12" s="982"/>
      <c r="N12" s="982"/>
      <c r="O12" s="939"/>
      <c r="P12" s="962"/>
    </row>
    <row r="13" spans="1:16">
      <c r="A13" s="983"/>
      <c r="B13" s="956"/>
      <c r="C13" s="956"/>
      <c r="D13" s="962"/>
      <c r="E13" s="962"/>
      <c r="F13" s="962"/>
      <c r="G13" s="962"/>
      <c r="H13" s="956"/>
      <c r="I13" s="936"/>
      <c r="J13" s="982"/>
      <c r="K13" s="982"/>
      <c r="L13" s="982"/>
      <c r="M13" s="982"/>
      <c r="N13" s="982"/>
      <c r="O13" s="939"/>
      <c r="P13" s="962"/>
    </row>
    <row r="14" spans="1:16">
      <c r="A14" s="969" t="s">
        <v>1434</v>
      </c>
      <c r="B14" s="956"/>
      <c r="C14" s="939"/>
      <c r="D14" s="962"/>
      <c r="E14" s="962"/>
      <c r="F14" s="962"/>
      <c r="G14" s="962"/>
      <c r="H14" s="939"/>
      <c r="I14" s="936"/>
      <c r="J14" s="971"/>
      <c r="K14" s="971"/>
      <c r="L14" s="972"/>
      <c r="M14" s="972"/>
      <c r="N14" s="972"/>
      <c r="O14" s="939"/>
      <c r="P14" s="962"/>
    </row>
    <row r="15" spans="1:16">
      <c r="A15" s="969"/>
      <c r="B15" s="956"/>
      <c r="C15" s="956"/>
      <c r="D15" s="962"/>
      <c r="E15" s="962"/>
      <c r="F15" s="962"/>
      <c r="G15" s="962"/>
      <c r="H15" s="956"/>
      <c r="I15" s="936"/>
      <c r="J15" s="939"/>
      <c r="K15" s="939"/>
      <c r="L15" s="939"/>
      <c r="M15" s="939"/>
      <c r="N15" s="939"/>
      <c r="O15" s="939"/>
      <c r="P15" s="962"/>
    </row>
    <row r="16" spans="1:16" ht="14.45" customHeight="1">
      <c r="A16" s="956" t="s">
        <v>1426</v>
      </c>
      <c r="B16" s="956" t="s">
        <v>1435</v>
      </c>
      <c r="C16" s="956" t="s">
        <v>1436</v>
      </c>
      <c r="D16" s="962"/>
      <c r="E16" s="962"/>
      <c r="F16" s="962"/>
      <c r="G16" s="962"/>
      <c r="H16" s="956" t="s">
        <v>1428</v>
      </c>
      <c r="I16" s="936"/>
      <c r="J16" s="442">
        <v>7.6181795867888376</v>
      </c>
      <c r="K16" s="442">
        <v>2.5210493772270617</v>
      </c>
      <c r="L16" s="442">
        <v>2.2310136572664043</v>
      </c>
      <c r="M16" s="442">
        <v>0</v>
      </c>
      <c r="N16" s="442">
        <v>0</v>
      </c>
      <c r="O16" s="939"/>
      <c r="P16" s="962"/>
    </row>
    <row r="17" spans="1:16" ht="15.4">
      <c r="A17" s="940" t="s">
        <v>1429</v>
      </c>
      <c r="B17" s="956" t="s">
        <v>2035</v>
      </c>
      <c r="C17" s="956" t="s">
        <v>1436</v>
      </c>
      <c r="D17" s="962"/>
      <c r="E17" s="962"/>
      <c r="F17" s="962"/>
      <c r="G17" s="962"/>
      <c r="H17" s="956" t="s">
        <v>1428</v>
      </c>
      <c r="I17" s="936"/>
      <c r="J17" s="944" cm="1">
        <f t="array" ref="J17:N17">SOCRITRAt</f>
        <v>0</v>
      </c>
      <c r="K17" s="944">
        <v>0</v>
      </c>
      <c r="L17" s="944">
        <v>0</v>
      </c>
      <c r="M17" s="944">
        <v>0</v>
      </c>
      <c r="N17" s="944">
        <v>0</v>
      </c>
      <c r="O17" s="974" t="s">
        <v>2031</v>
      </c>
      <c r="P17" s="962"/>
    </row>
    <row r="18" spans="1:16" s="980" customFormat="1" ht="15.4">
      <c r="A18" s="978" t="s">
        <v>1437</v>
      </c>
      <c r="B18" s="978" t="s">
        <v>2036</v>
      </c>
      <c r="C18" s="978" t="s">
        <v>1436</v>
      </c>
      <c r="D18" s="977"/>
      <c r="E18" s="977"/>
      <c r="F18" s="977"/>
      <c r="G18" s="977"/>
      <c r="H18" s="978" t="s">
        <v>1428</v>
      </c>
      <c r="I18" s="984"/>
      <c r="J18" s="702">
        <f>J16-J17</f>
        <v>7.6181795867888376</v>
      </c>
      <c r="K18" s="702">
        <f>K16-K17</f>
        <v>2.5210493772270617</v>
      </c>
      <c r="L18" s="702">
        <f>L16-L17</f>
        <v>2.2310136572664043</v>
      </c>
      <c r="M18" s="702">
        <f>M16-M17</f>
        <v>0</v>
      </c>
      <c r="N18" s="702">
        <f>N16-N17</f>
        <v>0</v>
      </c>
      <c r="O18" s="979"/>
      <c r="P18" s="977"/>
    </row>
    <row r="19" spans="1:16">
      <c r="A19" s="983"/>
      <c r="B19" s="956"/>
      <c r="C19" s="956"/>
      <c r="D19" s="962"/>
      <c r="E19" s="962"/>
      <c r="F19" s="962"/>
      <c r="G19" s="962"/>
      <c r="H19" s="956"/>
      <c r="I19" s="936"/>
      <c r="J19" s="982"/>
      <c r="K19" s="982"/>
      <c r="L19" s="982"/>
      <c r="M19" s="982"/>
      <c r="N19" s="982"/>
      <c r="O19" s="939"/>
      <c r="P19" s="962"/>
    </row>
    <row r="20" spans="1:16">
      <c r="A20" s="983"/>
      <c r="B20" s="956"/>
      <c r="C20" s="956"/>
      <c r="D20" s="962"/>
      <c r="E20" s="962"/>
      <c r="F20" s="962"/>
      <c r="G20" s="962"/>
      <c r="H20" s="956"/>
      <c r="I20" s="936"/>
      <c r="J20" s="982"/>
      <c r="K20" s="982"/>
      <c r="L20" s="982"/>
      <c r="M20" s="982"/>
      <c r="N20" s="982"/>
      <c r="O20" s="939"/>
      <c r="P20" s="962"/>
    </row>
    <row r="21" spans="1:16">
      <c r="A21" s="983"/>
      <c r="B21" s="956"/>
      <c r="C21" s="956"/>
      <c r="D21" s="962"/>
      <c r="E21" s="962"/>
      <c r="F21" s="962"/>
      <c r="G21" s="962"/>
      <c r="H21" s="956"/>
      <c r="I21" s="936"/>
      <c r="J21" s="982"/>
      <c r="K21" s="982"/>
      <c r="L21" s="982"/>
      <c r="M21" s="982"/>
      <c r="N21" s="982"/>
      <c r="O21" s="939"/>
      <c r="P21" s="962"/>
    </row>
    <row r="22" spans="1:16">
      <c r="A22" s="969" t="s">
        <v>1450</v>
      </c>
      <c r="B22" s="939"/>
      <c r="C22" s="939"/>
      <c r="D22" s="962"/>
      <c r="E22" s="962"/>
      <c r="F22" s="962"/>
      <c r="G22" s="962"/>
      <c r="H22" s="939"/>
      <c r="I22" s="936"/>
      <c r="J22" s="970"/>
      <c r="K22" s="971"/>
      <c r="L22" s="972"/>
      <c r="M22" s="972"/>
      <c r="N22" s="972"/>
      <c r="O22" s="939"/>
      <c r="P22" s="962"/>
    </row>
    <row r="23" spans="1:16">
      <c r="A23" s="973"/>
      <c r="B23" s="936"/>
      <c r="C23" s="956"/>
      <c r="D23" s="962"/>
      <c r="E23" s="962"/>
      <c r="F23" s="962"/>
      <c r="G23" s="962"/>
      <c r="H23" s="956"/>
      <c r="I23" s="936"/>
      <c r="J23" s="939"/>
      <c r="K23" s="939"/>
      <c r="L23" s="939"/>
      <c r="M23" s="939"/>
      <c r="N23" s="939"/>
      <c r="O23" s="939"/>
      <c r="P23" s="962"/>
    </row>
    <row r="24" spans="1:16" ht="15.4">
      <c r="A24" s="940" t="s">
        <v>1426</v>
      </c>
      <c r="B24" s="942" t="s">
        <v>2052</v>
      </c>
      <c r="C24" s="940" t="s">
        <v>1451</v>
      </c>
      <c r="D24" s="962"/>
      <c r="E24" s="962"/>
      <c r="F24" s="962"/>
      <c r="G24" s="962"/>
      <c r="H24" s="956" t="s">
        <v>1428</v>
      </c>
      <c r="I24" s="939"/>
      <c r="J24" s="442">
        <v>0</v>
      </c>
      <c r="K24" s="442">
        <v>0</v>
      </c>
      <c r="L24" s="442">
        <v>0</v>
      </c>
      <c r="M24" s="442">
        <v>0</v>
      </c>
      <c r="N24" s="442">
        <v>0</v>
      </c>
      <c r="O24" s="939"/>
      <c r="P24" s="962"/>
    </row>
    <row r="25" spans="1:16" ht="15.4">
      <c r="A25" s="940" t="s">
        <v>1429</v>
      </c>
      <c r="B25" s="942" t="s">
        <v>2053</v>
      </c>
      <c r="C25" s="940" t="s">
        <v>1451</v>
      </c>
      <c r="D25" s="962"/>
      <c r="E25" s="962"/>
      <c r="F25" s="962"/>
      <c r="G25" s="962"/>
      <c r="H25" s="956" t="s">
        <v>1428</v>
      </c>
      <c r="I25" s="939"/>
      <c r="J25" s="944" cm="1">
        <f t="array" ref="J25:N25">SOFIOCRAt</f>
        <v>0</v>
      </c>
      <c r="K25" s="944">
        <v>0</v>
      </c>
      <c r="L25" s="944">
        <v>0</v>
      </c>
      <c r="M25" s="944">
        <v>0</v>
      </c>
      <c r="N25" s="944">
        <v>0</v>
      </c>
      <c r="O25" s="974" t="s">
        <v>2031</v>
      </c>
      <c r="P25" s="962"/>
    </row>
    <row r="26" spans="1:16" s="980" customFormat="1" ht="12" customHeight="1">
      <c r="A26" s="976" t="s">
        <v>1452</v>
      </c>
      <c r="B26" s="978" t="s">
        <v>2054</v>
      </c>
      <c r="C26" s="976" t="s">
        <v>1451</v>
      </c>
      <c r="D26" s="977"/>
      <c r="E26" s="977"/>
      <c r="F26" s="977"/>
      <c r="G26" s="977"/>
      <c r="H26" s="978" t="s">
        <v>1428</v>
      </c>
      <c r="I26" s="979"/>
      <c r="J26" s="702">
        <f>J24-J25</f>
        <v>0</v>
      </c>
      <c r="K26" s="702">
        <f>K24-K25</f>
        <v>0</v>
      </c>
      <c r="L26" s="702">
        <f>L24-L25</f>
        <v>0</v>
      </c>
      <c r="M26" s="702">
        <f>M24-M25</f>
        <v>0</v>
      </c>
      <c r="N26" s="702">
        <f>N24-N25</f>
        <v>0</v>
      </c>
      <c r="O26" s="979"/>
      <c r="P26" s="977"/>
    </row>
    <row r="27" spans="1:16">
      <c r="A27" s="962"/>
      <c r="B27" s="962"/>
      <c r="C27" s="962"/>
      <c r="D27" s="962"/>
      <c r="E27" s="962"/>
      <c r="F27" s="962"/>
      <c r="G27" s="962"/>
      <c r="H27" s="957"/>
      <c r="I27" s="957"/>
      <c r="J27" s="981"/>
      <c r="K27" s="981"/>
      <c r="L27" s="981"/>
      <c r="M27" s="981"/>
      <c r="N27" s="939"/>
      <c r="O27" s="936"/>
      <c r="P27" s="962"/>
    </row>
    <row r="33" spans="1:16">
      <c r="A33" s="956"/>
      <c r="B33" s="956"/>
      <c r="C33" s="956"/>
      <c r="D33" s="962"/>
      <c r="E33" s="962"/>
      <c r="F33" s="962"/>
      <c r="G33" s="962"/>
      <c r="H33" s="956"/>
      <c r="I33" s="936"/>
      <c r="J33" s="971"/>
      <c r="K33" s="971"/>
      <c r="L33" s="972"/>
      <c r="M33" s="972"/>
      <c r="N33" s="972"/>
      <c r="O33" s="939"/>
      <c r="P33" s="962"/>
    </row>
    <row r="34" spans="1:16">
      <c r="O34" s="939"/>
      <c r="P34" s="962"/>
    </row>
    <row r="35" spans="1:16">
      <c r="O35" s="939"/>
      <c r="P35" s="962"/>
    </row>
    <row r="36" spans="1:16">
      <c r="O36" s="939"/>
      <c r="P36" s="962"/>
    </row>
    <row r="37" spans="1:16">
      <c r="O37" s="939"/>
      <c r="P37" s="962"/>
    </row>
    <row r="38" spans="1:16">
      <c r="O38" s="939"/>
      <c r="P38" s="962"/>
    </row>
    <row r="39" spans="1:16">
      <c r="A39" s="939"/>
      <c r="B39" s="939"/>
      <c r="C39" s="956"/>
      <c r="D39" s="962"/>
      <c r="E39" s="962"/>
      <c r="F39" s="962"/>
      <c r="G39" s="962"/>
      <c r="H39" s="956"/>
      <c r="I39" s="939"/>
      <c r="J39" s="939"/>
      <c r="K39" s="939"/>
      <c r="L39" s="939"/>
      <c r="M39" s="939"/>
      <c r="N39" s="939"/>
      <c r="O39" s="939"/>
      <c r="P39" s="962"/>
    </row>
    <row r="40" spans="1:16">
      <c r="A40" s="939"/>
      <c r="B40" s="939"/>
      <c r="C40" s="956"/>
      <c r="D40" s="962"/>
      <c r="E40" s="962"/>
      <c r="F40" s="962"/>
      <c r="G40" s="962"/>
      <c r="H40" s="956"/>
      <c r="I40" s="939"/>
      <c r="J40" s="939"/>
      <c r="K40" s="939"/>
      <c r="L40" s="939"/>
      <c r="M40" s="939"/>
      <c r="N40" s="939"/>
      <c r="O40" s="939"/>
      <c r="P40" s="962"/>
    </row>
    <row r="41" spans="1:16">
      <c r="A41" s="939"/>
      <c r="B41" s="939"/>
      <c r="C41" s="956"/>
      <c r="D41" s="962"/>
      <c r="E41" s="962"/>
      <c r="F41" s="962"/>
      <c r="G41" s="962"/>
      <c r="H41" s="956"/>
      <c r="I41" s="939"/>
      <c r="J41" s="939"/>
      <c r="K41" s="939"/>
      <c r="L41" s="939"/>
      <c r="M41" s="939"/>
      <c r="N41" s="939"/>
      <c r="O41" s="939"/>
      <c r="P41" s="962"/>
    </row>
    <row r="42" spans="1:16">
      <c r="A42" s="939"/>
      <c r="B42" s="939"/>
      <c r="C42" s="956"/>
      <c r="D42" s="962"/>
      <c r="E42" s="962"/>
      <c r="F42" s="962"/>
      <c r="G42" s="962"/>
      <c r="H42" s="956"/>
      <c r="I42" s="939"/>
      <c r="J42" s="939"/>
      <c r="K42" s="939"/>
      <c r="L42" s="939"/>
      <c r="M42" s="939"/>
      <c r="N42" s="939"/>
      <c r="O42" s="939"/>
      <c r="P42" s="962"/>
    </row>
    <row r="43" spans="1:16">
      <c r="A43" s="939"/>
      <c r="B43" s="939"/>
      <c r="C43" s="956"/>
      <c r="D43" s="962"/>
      <c r="E43" s="962"/>
      <c r="F43" s="962"/>
      <c r="G43" s="962"/>
      <c r="H43" s="956"/>
      <c r="I43" s="939"/>
      <c r="J43" s="939"/>
      <c r="K43" s="939"/>
      <c r="L43" s="939"/>
      <c r="M43" s="939"/>
      <c r="N43" s="939"/>
      <c r="O43" s="939"/>
      <c r="P43" s="962"/>
    </row>
    <row r="44" spans="1:16">
      <c r="A44" s="939"/>
      <c r="B44" s="939"/>
      <c r="C44" s="956"/>
      <c r="D44" s="962"/>
      <c r="E44" s="962"/>
      <c r="F44" s="962"/>
      <c r="G44" s="962"/>
      <c r="H44" s="956"/>
      <c r="I44" s="939"/>
      <c r="J44" s="939"/>
      <c r="K44" s="939"/>
      <c r="L44" s="939"/>
      <c r="M44" s="939"/>
      <c r="N44" s="939"/>
      <c r="O44" s="939"/>
      <c r="P44" s="962"/>
    </row>
    <row r="45" spans="1:16">
      <c r="A45" s="939"/>
      <c r="B45" s="939"/>
      <c r="C45" s="956"/>
      <c r="D45" s="962"/>
      <c r="E45" s="962"/>
      <c r="F45" s="962"/>
      <c r="G45" s="962"/>
      <c r="H45" s="956"/>
      <c r="I45" s="939"/>
      <c r="J45" s="939"/>
      <c r="K45" s="939"/>
      <c r="L45" s="939"/>
      <c r="M45" s="939"/>
      <c r="N45" s="939"/>
      <c r="O45" s="939"/>
      <c r="P45" s="962"/>
    </row>
    <row r="46" spans="1:16">
      <c r="A46" s="939"/>
      <c r="B46" s="939"/>
      <c r="C46" s="956"/>
      <c r="D46" s="962"/>
      <c r="E46" s="962"/>
      <c r="F46" s="962"/>
      <c r="G46" s="962"/>
      <c r="H46" s="956"/>
      <c r="I46" s="939"/>
      <c r="J46" s="939"/>
      <c r="K46" s="939"/>
      <c r="L46" s="939"/>
      <c r="M46" s="939"/>
      <c r="N46" s="939"/>
      <c r="O46" s="939"/>
      <c r="P46" s="962"/>
    </row>
    <row r="47" spans="1:16">
      <c r="A47" s="939"/>
      <c r="B47" s="939"/>
      <c r="C47" s="956"/>
      <c r="D47" s="962"/>
      <c r="E47" s="962"/>
      <c r="F47" s="962"/>
      <c r="G47" s="962"/>
      <c r="H47" s="956"/>
      <c r="I47" s="939"/>
      <c r="J47" s="939"/>
      <c r="K47" s="939"/>
      <c r="L47" s="939"/>
      <c r="M47" s="939"/>
      <c r="N47" s="939"/>
      <c r="O47" s="939"/>
      <c r="P47" s="962"/>
    </row>
    <row r="48" spans="1:16">
      <c r="A48" s="939"/>
      <c r="B48" s="939"/>
      <c r="C48" s="956"/>
      <c r="D48" s="962"/>
      <c r="E48" s="962"/>
      <c r="F48" s="962"/>
      <c r="G48" s="962"/>
      <c r="H48" s="956"/>
      <c r="I48" s="939"/>
      <c r="J48" s="939"/>
      <c r="K48" s="939"/>
      <c r="L48" s="939"/>
      <c r="M48" s="939"/>
      <c r="N48" s="939"/>
      <c r="O48" s="939"/>
      <c r="P48" s="962"/>
    </row>
    <row r="49" spans="1:16">
      <c r="A49" s="939"/>
      <c r="B49" s="939"/>
      <c r="C49" s="956"/>
      <c r="D49" s="962"/>
      <c r="E49" s="962"/>
      <c r="F49" s="962"/>
      <c r="G49" s="962"/>
      <c r="H49" s="956"/>
      <c r="I49" s="939"/>
      <c r="J49" s="939"/>
      <c r="K49" s="939"/>
      <c r="L49" s="939"/>
      <c r="M49" s="939"/>
      <c r="N49" s="939"/>
      <c r="O49" s="939"/>
      <c r="P49" s="962"/>
    </row>
    <row r="50" spans="1:16">
      <c r="A50" s="939"/>
      <c r="B50" s="939"/>
      <c r="C50" s="956"/>
      <c r="D50" s="962"/>
      <c r="E50" s="962"/>
      <c r="F50" s="962"/>
      <c r="G50" s="962"/>
      <c r="H50" s="956"/>
      <c r="I50" s="939"/>
      <c r="J50" s="939"/>
      <c r="K50" s="939"/>
      <c r="L50" s="939"/>
      <c r="M50" s="939"/>
      <c r="N50" s="939"/>
      <c r="O50" s="939"/>
      <c r="P50" s="962"/>
    </row>
    <row r="51" spans="1:16">
      <c r="A51" s="939"/>
      <c r="B51" s="939"/>
      <c r="C51" s="956"/>
      <c r="D51" s="962"/>
      <c r="E51" s="962"/>
      <c r="F51" s="962"/>
      <c r="G51" s="962"/>
      <c r="H51" s="956"/>
      <c r="I51" s="939"/>
      <c r="J51" s="939"/>
      <c r="K51" s="939"/>
      <c r="L51" s="939"/>
      <c r="M51" s="939"/>
      <c r="N51" s="939"/>
      <c r="O51" s="939"/>
      <c r="P51" s="962"/>
    </row>
    <row r="52" spans="1:16">
      <c r="A52" s="939"/>
      <c r="B52" s="939"/>
      <c r="C52" s="956"/>
      <c r="D52" s="962"/>
      <c r="E52" s="962"/>
      <c r="F52" s="962"/>
      <c r="G52" s="962"/>
      <c r="H52" s="956"/>
      <c r="I52" s="939"/>
      <c r="J52" s="939"/>
      <c r="K52" s="939"/>
      <c r="L52" s="939"/>
      <c r="M52" s="939"/>
      <c r="N52" s="939"/>
      <c r="O52" s="939"/>
      <c r="P52" s="962"/>
    </row>
    <row r="53" spans="1:16">
      <c r="A53" s="939"/>
      <c r="B53" s="939"/>
      <c r="C53" s="956"/>
      <c r="D53" s="962"/>
      <c r="E53" s="962"/>
      <c r="F53" s="962"/>
      <c r="G53" s="962"/>
      <c r="H53" s="956"/>
      <c r="I53" s="939"/>
      <c r="J53" s="939"/>
      <c r="K53" s="939"/>
      <c r="L53" s="939"/>
      <c r="M53" s="939"/>
      <c r="N53" s="939"/>
      <c r="O53" s="939"/>
      <c r="P53" s="962"/>
    </row>
    <row r="54" spans="1:16">
      <c r="A54" s="939"/>
      <c r="B54" s="939"/>
      <c r="C54" s="956"/>
      <c r="D54" s="962"/>
      <c r="E54" s="962"/>
      <c r="F54" s="962"/>
      <c r="G54" s="962"/>
      <c r="H54" s="956"/>
      <c r="I54" s="939"/>
      <c r="J54" s="939"/>
      <c r="K54" s="939"/>
      <c r="L54" s="939"/>
      <c r="M54" s="939"/>
      <c r="N54" s="939"/>
      <c r="O54" s="939"/>
      <c r="P54" s="962"/>
    </row>
    <row r="55" spans="1:16">
      <c r="A55" s="939"/>
      <c r="B55" s="939"/>
      <c r="C55" s="956"/>
      <c r="D55" s="962"/>
      <c r="E55" s="962"/>
      <c r="F55" s="962"/>
      <c r="G55" s="962"/>
      <c r="H55" s="956"/>
      <c r="I55" s="939"/>
      <c r="J55" s="939"/>
      <c r="K55" s="939"/>
      <c r="L55" s="939"/>
      <c r="M55" s="939"/>
      <c r="N55" s="939"/>
      <c r="O55" s="939"/>
      <c r="P55" s="962"/>
    </row>
    <row r="56" spans="1:16">
      <c r="A56" s="939"/>
      <c r="B56" s="939"/>
      <c r="C56" s="956"/>
      <c r="D56" s="962"/>
      <c r="E56" s="962"/>
      <c r="F56" s="962"/>
      <c r="G56" s="962"/>
      <c r="H56" s="956"/>
      <c r="I56" s="939"/>
      <c r="J56" s="939"/>
      <c r="K56" s="939"/>
      <c r="L56" s="939"/>
      <c r="M56" s="939"/>
      <c r="N56" s="939"/>
      <c r="O56" s="939"/>
      <c r="P56" s="962"/>
    </row>
    <row r="57" spans="1:16">
      <c r="A57" s="939"/>
      <c r="B57" s="939"/>
      <c r="C57" s="956"/>
      <c r="D57" s="962"/>
      <c r="E57" s="962"/>
      <c r="F57" s="962"/>
      <c r="G57" s="962"/>
      <c r="H57" s="956"/>
      <c r="I57" s="939"/>
      <c r="J57" s="939"/>
      <c r="K57" s="939"/>
      <c r="L57" s="939"/>
      <c r="M57" s="939"/>
      <c r="N57" s="939"/>
      <c r="O57" s="939"/>
      <c r="P57" s="962"/>
    </row>
    <row r="58" spans="1:16">
      <c r="A58" s="939"/>
      <c r="B58" s="939"/>
      <c r="C58" s="956"/>
      <c r="D58" s="962"/>
      <c r="E58" s="962"/>
      <c r="F58" s="962"/>
      <c r="G58" s="962"/>
      <c r="H58" s="956"/>
      <c r="I58" s="939"/>
      <c r="J58" s="939"/>
      <c r="K58" s="939"/>
      <c r="L58" s="939"/>
      <c r="M58" s="939"/>
      <c r="N58" s="939"/>
      <c r="O58" s="939"/>
      <c r="P58" s="962"/>
    </row>
    <row r="59" spans="1:16">
      <c r="A59" s="939"/>
      <c r="B59" s="939"/>
      <c r="C59" s="956"/>
      <c r="D59" s="962"/>
      <c r="E59" s="962"/>
      <c r="F59" s="962"/>
      <c r="G59" s="962"/>
      <c r="H59" s="956"/>
      <c r="I59" s="939"/>
      <c r="J59" s="939"/>
      <c r="K59" s="939"/>
      <c r="L59" s="939"/>
      <c r="M59" s="939"/>
      <c r="N59" s="939"/>
      <c r="O59" s="939"/>
      <c r="P59" s="962"/>
    </row>
    <row r="60" spans="1:16">
      <c r="A60" s="939"/>
      <c r="B60" s="939"/>
      <c r="C60" s="956"/>
      <c r="D60" s="962"/>
      <c r="E60" s="962"/>
      <c r="F60" s="962"/>
      <c r="G60" s="962"/>
      <c r="H60" s="956"/>
      <c r="I60" s="939"/>
      <c r="J60" s="939"/>
      <c r="K60" s="939"/>
      <c r="L60" s="939"/>
      <c r="M60" s="939"/>
      <c r="N60" s="939"/>
      <c r="O60" s="939"/>
      <c r="P60" s="962"/>
    </row>
    <row r="61" spans="1:16">
      <c r="A61" s="939"/>
      <c r="B61" s="939"/>
      <c r="C61" s="956"/>
      <c r="D61" s="962"/>
      <c r="E61" s="962"/>
      <c r="F61" s="962"/>
      <c r="G61" s="962"/>
      <c r="H61" s="956"/>
      <c r="I61" s="939"/>
      <c r="J61" s="939"/>
      <c r="K61" s="939"/>
      <c r="L61" s="939"/>
      <c r="M61" s="939"/>
      <c r="N61" s="939"/>
      <c r="O61" s="939"/>
      <c r="P61" s="962"/>
    </row>
    <row r="62" spans="1:16">
      <c r="A62" s="939"/>
      <c r="B62" s="939"/>
      <c r="C62" s="956"/>
    </row>
    <row r="63" spans="1:16">
      <c r="A63" s="939"/>
      <c r="B63" s="939"/>
      <c r="C63" s="956"/>
    </row>
    <row r="64" spans="1:16">
      <c r="A64" s="939"/>
      <c r="B64" s="939"/>
      <c r="C64" s="956"/>
    </row>
    <row r="65" spans="1:3">
      <c r="A65" s="939"/>
      <c r="B65" s="939"/>
      <c r="C65" s="956"/>
    </row>
    <row r="66" spans="1:3">
      <c r="A66" s="939"/>
      <c r="B66" s="939"/>
      <c r="C66" s="956"/>
    </row>
    <row r="67" spans="1:3">
      <c r="A67" s="939"/>
      <c r="B67" s="939"/>
      <c r="C67" s="956"/>
    </row>
    <row r="68" spans="1:3">
      <c r="A68" s="939"/>
      <c r="B68" s="939"/>
      <c r="C68" s="956"/>
    </row>
    <row r="69" spans="1:3">
      <c r="A69" s="939"/>
      <c r="B69" s="939"/>
      <c r="C69" s="956"/>
    </row>
    <row r="70" spans="1:3">
      <c r="A70" s="939"/>
      <c r="B70" s="939"/>
      <c r="C70" s="956"/>
    </row>
    <row r="71" spans="1:3">
      <c r="A71" s="939"/>
      <c r="B71" s="939"/>
      <c r="C71" s="956"/>
    </row>
    <row r="72" spans="1:3">
      <c r="A72" s="939"/>
      <c r="B72" s="939"/>
      <c r="C72" s="956"/>
    </row>
  </sheetData>
  <pageMargins left="0.17" right="0.16" top="0.5" bottom="0.74803149606299213" header="0.31496062992125984" footer="0.31496062992125984"/>
  <pageSetup paperSize="9" scale="43" orientation="portrait" r:id="rId1"/>
  <headerFooter>
    <oddFooter>&amp;C&amp;D&amp;R&amp;F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0"/>
  <sheetViews>
    <sheetView showGridLines="0" zoomScale="90" zoomScaleNormal="90" workbookViewId="0">
      <pane ySplit="5" topLeftCell="A9" activePane="bottomLeft" state="frozen"/>
      <selection activeCell="F30" sqref="F30"/>
      <selection pane="bottomLeft"/>
    </sheetView>
  </sheetViews>
  <sheetFormatPr defaultColWidth="10.1328125" defaultRowHeight="12.4"/>
  <cols>
    <col min="1" max="1" width="57" style="939" customWidth="1"/>
    <col min="2" max="2" width="13.59765625" style="939" customWidth="1"/>
    <col min="3" max="7" width="10.1328125" style="939"/>
    <col min="8" max="12" width="11.265625" style="939" customWidth="1"/>
    <col min="13" max="16384" width="10.1328125" style="939"/>
  </cols>
  <sheetData>
    <row r="1" spans="1:14" ht="14.65">
      <c r="A1" s="930" t="s">
        <v>1418</v>
      </c>
      <c r="B1" s="931"/>
      <c r="C1" s="931"/>
      <c r="D1" s="932"/>
      <c r="E1" s="932"/>
      <c r="F1" s="932"/>
      <c r="G1" s="932"/>
      <c r="H1" s="932"/>
      <c r="I1" s="930"/>
      <c r="J1" s="930"/>
      <c r="K1" s="930"/>
      <c r="L1" s="930"/>
    </row>
    <row r="2" spans="1:14" ht="14.65">
      <c r="A2" s="930" t="str">
        <f>'1.1 Cover'!A3</f>
        <v>Price base - 2018/19</v>
      </c>
      <c r="B2" s="935"/>
      <c r="C2" s="935"/>
      <c r="D2" s="930"/>
      <c r="E2" s="930"/>
      <c r="F2" s="930"/>
      <c r="G2" s="930"/>
      <c r="H2" s="930"/>
      <c r="I2" s="930"/>
      <c r="J2" s="930"/>
      <c r="K2" s="930"/>
      <c r="L2" s="930"/>
    </row>
    <row r="3" spans="1:14" ht="33.950000000000003" customHeight="1">
      <c r="A3" s="935" t="s">
        <v>1458</v>
      </c>
      <c r="B3" s="935"/>
      <c r="C3" s="935"/>
      <c r="D3" s="930"/>
      <c r="E3" s="930"/>
      <c r="F3" s="930"/>
      <c r="G3" s="930"/>
      <c r="H3" s="930"/>
      <c r="I3" s="930"/>
      <c r="J3" s="930"/>
      <c r="K3" s="930"/>
      <c r="L3" s="930"/>
    </row>
    <row r="4" spans="1:14" s="950" customFormat="1" ht="13.5">
      <c r="A4" s="961"/>
      <c r="B4" s="961"/>
      <c r="C4" s="961"/>
      <c r="D4" s="933"/>
      <c r="E4" s="933"/>
      <c r="F4" s="933"/>
      <c r="G4" s="933"/>
      <c r="H4" s="933"/>
      <c r="I4" s="933"/>
      <c r="J4" s="933"/>
      <c r="K4" s="933"/>
      <c r="L4" s="933"/>
      <c r="M4" s="963"/>
    </row>
    <row r="5" spans="1:14" s="950" customFormat="1" ht="17.649999999999999">
      <c r="A5" s="964"/>
      <c r="B5" s="961"/>
      <c r="C5" s="961"/>
      <c r="F5" s="965"/>
      <c r="G5" s="965"/>
      <c r="H5" s="966" t="s">
        <v>1420</v>
      </c>
      <c r="I5" s="966" t="s">
        <v>1421</v>
      </c>
      <c r="J5" s="966" t="s">
        <v>1422</v>
      </c>
      <c r="K5" s="966" t="s">
        <v>1423</v>
      </c>
      <c r="L5" s="966" t="s">
        <v>1424</v>
      </c>
      <c r="M5" s="967"/>
    </row>
    <row r="6" spans="1:14" s="950" customFormat="1" ht="13.5">
      <c r="A6" s="962"/>
      <c r="B6" s="962"/>
      <c r="C6" s="962"/>
      <c r="D6" s="962"/>
      <c r="E6" s="962"/>
      <c r="F6" s="965"/>
      <c r="G6" s="965"/>
      <c r="H6" s="968"/>
      <c r="I6" s="968"/>
      <c r="J6" s="968"/>
      <c r="K6" s="968"/>
      <c r="L6" s="963"/>
      <c r="M6" s="936"/>
      <c r="N6" s="962"/>
    </row>
    <row r="7" spans="1:14" ht="13.5">
      <c r="A7" s="990" t="s">
        <v>1475</v>
      </c>
      <c r="D7" s="962"/>
      <c r="E7" s="962"/>
      <c r="G7" s="967"/>
      <c r="H7" s="991"/>
      <c r="I7" s="992"/>
      <c r="J7" s="949"/>
      <c r="K7" s="949"/>
      <c r="L7" s="949"/>
    </row>
    <row r="8" spans="1:14" ht="13.5">
      <c r="A8" s="993"/>
      <c r="B8" s="967"/>
      <c r="C8" s="956"/>
      <c r="D8" s="962"/>
      <c r="E8" s="962"/>
      <c r="F8" s="956"/>
      <c r="G8" s="967"/>
      <c r="H8" s="963"/>
      <c r="I8" s="963"/>
      <c r="J8" s="963"/>
      <c r="K8" s="963"/>
      <c r="L8" s="963"/>
    </row>
    <row r="9" spans="1:14" ht="15.4">
      <c r="A9" s="940" t="s">
        <v>1426</v>
      </c>
      <c r="B9" s="942" t="s">
        <v>2061</v>
      </c>
      <c r="C9" s="940" t="s">
        <v>1427</v>
      </c>
      <c r="D9" s="962"/>
      <c r="E9" s="962"/>
      <c r="F9" s="956" t="s">
        <v>1428</v>
      </c>
      <c r="H9" s="944" cm="1">
        <f t="array" ref="H9:L9">TONARMAHOt</f>
        <v>0</v>
      </c>
      <c r="I9" s="944">
        <v>0</v>
      </c>
      <c r="J9" s="944">
        <v>0</v>
      </c>
      <c r="K9" s="944">
        <v>0</v>
      </c>
      <c r="L9" s="944">
        <v>0</v>
      </c>
      <c r="M9" s="974" t="s">
        <v>2062</v>
      </c>
    </row>
    <row r="10" spans="1:14" ht="15.4">
      <c r="A10" s="940" t="s">
        <v>1461</v>
      </c>
      <c r="B10" s="942" t="s">
        <v>2063</v>
      </c>
      <c r="C10" s="940" t="s">
        <v>1427</v>
      </c>
      <c r="D10" s="962"/>
      <c r="E10" s="962"/>
      <c r="F10" s="956" t="s">
        <v>1428</v>
      </c>
      <c r="H10" s="944" cm="1">
        <f t="array" ref="H10:L10">TONARMAHRt</f>
        <v>0</v>
      </c>
      <c r="I10" s="944">
        <v>0</v>
      </c>
      <c r="J10" s="944">
        <v>0</v>
      </c>
      <c r="K10" s="944">
        <v>0</v>
      </c>
      <c r="L10" s="944">
        <v>0</v>
      </c>
      <c r="M10" s="974" t="s">
        <v>2031</v>
      </c>
    </row>
    <row r="11" spans="1:14" s="979" customFormat="1" ht="15.4">
      <c r="A11" s="976" t="s">
        <v>1475</v>
      </c>
      <c r="B11" s="975" t="s">
        <v>2064</v>
      </c>
      <c r="C11" s="976" t="s">
        <v>1427</v>
      </c>
      <c r="D11" s="977"/>
      <c r="E11" s="977"/>
      <c r="F11" s="978" t="s">
        <v>1428</v>
      </c>
      <c r="H11" s="702">
        <f>H9-H10</f>
        <v>0</v>
      </c>
      <c r="I11" s="702">
        <f>I9-I10</f>
        <v>0</v>
      </c>
      <c r="J11" s="702">
        <f>J9-J10</f>
        <v>0</v>
      </c>
      <c r="K11" s="702">
        <f>K9-K10</f>
        <v>0</v>
      </c>
      <c r="L11" s="702">
        <f>L9-L10</f>
        <v>0</v>
      </c>
    </row>
    <row r="12" spans="1:14" s="979" customFormat="1">
      <c r="A12" s="976"/>
      <c r="B12" s="975"/>
      <c r="C12" s="976"/>
      <c r="D12" s="977"/>
      <c r="E12" s="977"/>
      <c r="F12" s="978"/>
      <c r="G12" s="978"/>
      <c r="H12" s="978"/>
      <c r="I12" s="978"/>
      <c r="J12" s="978"/>
      <c r="K12" s="978"/>
      <c r="L12" s="978"/>
    </row>
    <row r="13" spans="1:14" s="979" customFormat="1">
      <c r="A13" s="976"/>
      <c r="B13" s="975"/>
      <c r="C13" s="976"/>
      <c r="D13" s="977"/>
      <c r="E13" s="977"/>
      <c r="F13" s="978"/>
      <c r="G13" s="978"/>
      <c r="H13" s="978"/>
      <c r="I13" s="978"/>
      <c r="J13" s="978"/>
      <c r="K13" s="978"/>
      <c r="L13" s="978"/>
    </row>
    <row r="14" spans="1:14" s="950" customFormat="1" ht="13.5">
      <c r="A14" s="994" t="s">
        <v>1459</v>
      </c>
      <c r="B14" s="956"/>
      <c r="C14" s="939"/>
      <c r="D14" s="962"/>
      <c r="E14" s="962"/>
      <c r="F14" s="939"/>
      <c r="G14" s="967"/>
      <c r="H14" s="967"/>
      <c r="I14" s="967"/>
      <c r="J14" s="967"/>
      <c r="K14" s="967"/>
      <c r="L14" s="967"/>
      <c r="M14" s="939"/>
      <c r="N14" s="962"/>
    </row>
    <row r="15" spans="1:14" ht="13.5">
      <c r="A15" s="994"/>
      <c r="B15" s="956"/>
      <c r="C15" s="956"/>
      <c r="D15" s="962"/>
      <c r="E15" s="962"/>
      <c r="F15" s="956"/>
      <c r="G15" s="967"/>
    </row>
    <row r="16" spans="1:14" ht="17.649999999999999">
      <c r="A16" s="940" t="s">
        <v>1426</v>
      </c>
      <c r="B16" s="956" t="s">
        <v>1460</v>
      </c>
      <c r="C16" s="956" t="s">
        <v>1432</v>
      </c>
      <c r="D16" s="962"/>
      <c r="E16" s="962"/>
      <c r="F16" s="956" t="s">
        <v>1428</v>
      </c>
      <c r="G16" s="967"/>
      <c r="H16" s="944" cm="1">
        <f t="array" ref="H16:L16">TOCROTOt</f>
        <v>0</v>
      </c>
      <c r="I16" s="944">
        <v>0</v>
      </c>
      <c r="J16" s="944">
        <v>0</v>
      </c>
      <c r="K16" s="944">
        <v>0</v>
      </c>
      <c r="L16" s="944">
        <v>0</v>
      </c>
      <c r="M16" s="974" t="s">
        <v>2062</v>
      </c>
    </row>
    <row r="17" spans="1:17" ht="15.4">
      <c r="A17" s="940" t="s">
        <v>1461</v>
      </c>
      <c r="B17" s="956" t="s">
        <v>2065</v>
      </c>
      <c r="C17" s="956" t="s">
        <v>1432</v>
      </c>
      <c r="D17" s="962"/>
      <c r="E17" s="962"/>
      <c r="F17" s="956" t="s">
        <v>1428</v>
      </c>
      <c r="G17" s="967"/>
      <c r="H17" s="944" cm="1">
        <f t="array" ref="H17:L17">TOCROTROt</f>
        <v>0</v>
      </c>
      <c r="I17" s="944">
        <v>0</v>
      </c>
      <c r="J17" s="944">
        <v>0</v>
      </c>
      <c r="K17" s="944">
        <v>0</v>
      </c>
      <c r="L17" s="944">
        <v>0</v>
      </c>
      <c r="M17" s="974" t="s">
        <v>2031</v>
      </c>
    </row>
    <row r="18" spans="1:17" s="979" customFormat="1" ht="17.649999999999999">
      <c r="A18" s="976" t="s">
        <v>1462</v>
      </c>
      <c r="B18" s="978" t="s">
        <v>2066</v>
      </c>
      <c r="C18" s="978" t="s">
        <v>1432</v>
      </c>
      <c r="D18" s="977"/>
      <c r="E18" s="977"/>
      <c r="F18" s="978" t="s">
        <v>1428</v>
      </c>
      <c r="G18" s="995"/>
      <c r="H18" s="702">
        <f>H16-H17</f>
        <v>0</v>
      </c>
      <c r="I18" s="702">
        <f>I16-I17</f>
        <v>0</v>
      </c>
      <c r="J18" s="702">
        <f>J16-J17</f>
        <v>0</v>
      </c>
      <c r="K18" s="702">
        <f>K16-K17</f>
        <v>0</v>
      </c>
      <c r="L18" s="702">
        <f>L16-L17</f>
        <v>0</v>
      </c>
    </row>
    <row r="20" spans="1:17" ht="13.5">
      <c r="A20" s="990" t="s">
        <v>1463</v>
      </c>
      <c r="B20" s="956"/>
      <c r="D20" s="962"/>
      <c r="E20" s="962"/>
      <c r="G20" s="967"/>
      <c r="H20" s="992"/>
      <c r="I20" s="992"/>
      <c r="J20" s="949"/>
      <c r="K20" s="949"/>
      <c r="L20" s="949"/>
    </row>
    <row r="21" spans="1:17" ht="13.5">
      <c r="A21" s="990"/>
      <c r="B21" s="956"/>
      <c r="C21" s="956"/>
      <c r="D21" s="962"/>
      <c r="E21" s="962"/>
      <c r="F21" s="956"/>
      <c r="G21" s="967"/>
    </row>
    <row r="22" spans="1:17" ht="17.649999999999999">
      <c r="A22" s="940" t="s">
        <v>1426</v>
      </c>
      <c r="B22" s="956" t="s">
        <v>1464</v>
      </c>
      <c r="C22" s="956" t="s">
        <v>1436</v>
      </c>
      <c r="D22" s="962"/>
      <c r="E22" s="962"/>
      <c r="F22" s="956" t="s">
        <v>1428</v>
      </c>
      <c r="G22" s="967"/>
      <c r="H22" s="944" cm="1">
        <f t="array" ref="H22:L22">TOCRITOt</f>
        <v>0</v>
      </c>
      <c r="I22" s="944">
        <v>0</v>
      </c>
      <c r="J22" s="944">
        <v>0</v>
      </c>
      <c r="K22" s="944">
        <v>0</v>
      </c>
      <c r="L22" s="944">
        <v>0</v>
      </c>
      <c r="M22" s="974" t="s">
        <v>2062</v>
      </c>
    </row>
    <row r="23" spans="1:17" ht="15.4">
      <c r="A23" s="940" t="s">
        <v>1461</v>
      </c>
      <c r="B23" s="956" t="s">
        <v>2067</v>
      </c>
      <c r="C23" s="956" t="s">
        <v>1436</v>
      </c>
      <c r="D23" s="962"/>
      <c r="E23" s="962"/>
      <c r="F23" s="956" t="s">
        <v>1428</v>
      </c>
      <c r="G23" s="967"/>
      <c r="H23" s="944" cm="1">
        <f t="array" ref="H23:L23">TOCRITROt</f>
        <v>0</v>
      </c>
      <c r="I23" s="944">
        <v>0</v>
      </c>
      <c r="J23" s="944">
        <v>0</v>
      </c>
      <c r="K23" s="944">
        <v>0</v>
      </c>
      <c r="L23" s="944">
        <v>0</v>
      </c>
      <c r="M23" s="974" t="s">
        <v>2031</v>
      </c>
    </row>
    <row r="24" spans="1:17" s="979" customFormat="1" ht="15.4">
      <c r="A24" s="976" t="s">
        <v>1465</v>
      </c>
      <c r="B24" s="978" t="s">
        <v>2068</v>
      </c>
      <c r="C24" s="978" t="s">
        <v>1436</v>
      </c>
      <c r="D24" s="977"/>
      <c r="E24" s="977"/>
      <c r="F24" s="978" t="s">
        <v>1428</v>
      </c>
      <c r="G24" s="995"/>
      <c r="H24" s="702">
        <f>H22-H23</f>
        <v>0</v>
      </c>
      <c r="I24" s="702">
        <f>I22-I23</f>
        <v>0</v>
      </c>
      <c r="J24" s="702">
        <f>J22-J23</f>
        <v>0</v>
      </c>
      <c r="K24" s="702">
        <f>K22-K23</f>
        <v>0</v>
      </c>
      <c r="L24" s="702">
        <f>L22-L23</f>
        <v>0</v>
      </c>
    </row>
    <row r="26" spans="1:17" ht="13.5">
      <c r="A26" s="990" t="s">
        <v>1466</v>
      </c>
      <c r="B26" s="956"/>
      <c r="D26" s="962"/>
      <c r="E26" s="962"/>
      <c r="G26" s="967"/>
      <c r="H26" s="992"/>
      <c r="I26" s="992"/>
      <c r="J26" s="949"/>
      <c r="K26" s="949"/>
      <c r="L26" s="949"/>
    </row>
    <row r="27" spans="1:17" ht="13.5">
      <c r="A27" s="990"/>
      <c r="B27" s="956"/>
      <c r="C27" s="956"/>
      <c r="D27" s="962"/>
      <c r="E27" s="962"/>
      <c r="F27" s="956"/>
      <c r="G27" s="967"/>
    </row>
    <row r="28" spans="1:17" ht="15.4">
      <c r="A28" s="940" t="s">
        <v>1426</v>
      </c>
      <c r="B28" s="956" t="s">
        <v>2069</v>
      </c>
      <c r="C28" s="956" t="s">
        <v>1439</v>
      </c>
      <c r="D28" s="962"/>
      <c r="E28" s="962"/>
      <c r="F28" s="956" t="s">
        <v>1428</v>
      </c>
      <c r="G28" s="967"/>
      <c r="H28" s="944" cm="1">
        <f t="array" ref="H28:L28">TOPSUPOt</f>
        <v>0</v>
      </c>
      <c r="I28" s="944">
        <v>0</v>
      </c>
      <c r="J28" s="944">
        <v>0</v>
      </c>
      <c r="K28" s="944">
        <v>0</v>
      </c>
      <c r="L28" s="944">
        <v>0</v>
      </c>
      <c r="M28" s="974" t="s">
        <v>2062</v>
      </c>
    </row>
    <row r="29" spans="1:17" ht="15.4">
      <c r="A29" s="940" t="s">
        <v>1461</v>
      </c>
      <c r="B29" s="956" t="s">
        <v>2070</v>
      </c>
      <c r="C29" s="956" t="s">
        <v>1439</v>
      </c>
      <c r="D29" s="962"/>
      <c r="E29" s="962"/>
      <c r="F29" s="956" t="s">
        <v>1428</v>
      </c>
      <c r="G29" s="967"/>
      <c r="H29" s="944" cm="1">
        <f t="array" ref="H29:L29">TOPSUPROt</f>
        <v>0</v>
      </c>
      <c r="I29" s="944">
        <v>0</v>
      </c>
      <c r="J29" s="944">
        <v>0</v>
      </c>
      <c r="K29" s="944">
        <v>0</v>
      </c>
      <c r="L29" s="944">
        <v>0</v>
      </c>
      <c r="M29" s="974" t="s">
        <v>2031</v>
      </c>
    </row>
    <row r="30" spans="1:17" s="979" customFormat="1" ht="15.4">
      <c r="A30" s="976" t="s">
        <v>1467</v>
      </c>
      <c r="B30" s="978" t="s">
        <v>2071</v>
      </c>
      <c r="C30" s="978" t="s">
        <v>1439</v>
      </c>
      <c r="D30" s="977"/>
      <c r="E30" s="977"/>
      <c r="F30" s="978" t="s">
        <v>1428</v>
      </c>
      <c r="G30" s="995"/>
      <c r="H30" s="702">
        <f>H28-H29</f>
        <v>0</v>
      </c>
      <c r="I30" s="702">
        <f>I28-I29</f>
        <v>0</v>
      </c>
      <c r="J30" s="702">
        <f>J28-J29</f>
        <v>0</v>
      </c>
      <c r="K30" s="702">
        <f>K28-K29</f>
        <v>0</v>
      </c>
      <c r="L30" s="702">
        <f>L28-L29</f>
        <v>0</v>
      </c>
    </row>
    <row r="31" spans="1:17" s="950" customFormat="1" ht="13.5">
      <c r="A31" s="990"/>
      <c r="B31" s="956"/>
      <c r="C31" s="956"/>
      <c r="D31" s="962"/>
      <c r="E31" s="962"/>
      <c r="F31" s="956"/>
      <c r="G31" s="967"/>
      <c r="H31" s="967"/>
      <c r="I31" s="967"/>
      <c r="J31" s="967"/>
      <c r="K31" s="967"/>
      <c r="L31" s="967"/>
      <c r="M31" s="967"/>
      <c r="N31" s="967"/>
      <c r="O31" s="967"/>
      <c r="P31" s="967"/>
      <c r="Q31" s="967"/>
    </row>
    <row r="32" spans="1:17" s="950" customFormat="1" ht="17.45" customHeight="1">
      <c r="A32" s="990" t="s">
        <v>1468</v>
      </c>
      <c r="B32" s="939"/>
      <c r="C32" s="939"/>
      <c r="D32" s="962"/>
      <c r="E32" s="962"/>
      <c r="F32" s="939"/>
      <c r="G32" s="967"/>
      <c r="H32" s="991"/>
      <c r="I32" s="992"/>
      <c r="J32" s="949"/>
      <c r="K32" s="949"/>
      <c r="L32" s="949"/>
      <c r="M32" s="939"/>
      <c r="N32" s="962"/>
    </row>
    <row r="33" spans="1:14" s="950" customFormat="1" ht="17.45" customHeight="1">
      <c r="A33" s="993"/>
      <c r="B33" s="967"/>
      <c r="C33" s="956"/>
      <c r="D33" s="962"/>
      <c r="E33" s="962"/>
      <c r="F33" s="956"/>
      <c r="G33" s="967"/>
      <c r="H33" s="963"/>
      <c r="I33" s="963"/>
      <c r="J33" s="963"/>
      <c r="K33" s="963"/>
      <c r="L33" s="963"/>
      <c r="M33" s="963"/>
      <c r="N33" s="962"/>
    </row>
    <row r="34" spans="1:14" s="950" customFormat="1" ht="15.4">
      <c r="A34" s="940" t="s">
        <v>1426</v>
      </c>
      <c r="B34" s="956" t="s">
        <v>2072</v>
      </c>
      <c r="C34" s="956" t="s">
        <v>1920</v>
      </c>
      <c r="D34" s="962"/>
      <c r="E34" s="962"/>
      <c r="F34" s="956" t="s">
        <v>1428</v>
      </c>
      <c r="G34" s="939"/>
      <c r="H34" s="944" cm="1">
        <f t="array" ref="H34:L34">TONZOt</f>
        <v>0</v>
      </c>
      <c r="I34" s="944">
        <v>0</v>
      </c>
      <c r="J34" s="944">
        <v>0</v>
      </c>
      <c r="K34" s="944">
        <v>0</v>
      </c>
      <c r="L34" s="944">
        <v>0</v>
      </c>
      <c r="M34" s="974" t="s">
        <v>2062</v>
      </c>
      <c r="N34" s="962"/>
    </row>
    <row r="35" spans="1:14" s="950" customFormat="1" ht="15.4">
      <c r="A35" s="940" t="s">
        <v>1461</v>
      </c>
      <c r="B35" s="956" t="s">
        <v>2073</v>
      </c>
      <c r="C35" s="956" t="s">
        <v>1920</v>
      </c>
      <c r="D35" s="962"/>
      <c r="E35" s="962"/>
      <c r="F35" s="956" t="s">
        <v>1428</v>
      </c>
      <c r="G35" s="939"/>
      <c r="H35" s="944" cm="1">
        <f t="array" ref="H35:L35">TONZROt</f>
        <v>0</v>
      </c>
      <c r="I35" s="944">
        <v>0</v>
      </c>
      <c r="J35" s="944">
        <v>0</v>
      </c>
      <c r="K35" s="944">
        <v>0</v>
      </c>
      <c r="L35" s="944">
        <v>0</v>
      </c>
      <c r="M35" s="974" t="s">
        <v>2031</v>
      </c>
      <c r="N35" s="962"/>
    </row>
    <row r="36" spans="1:14" s="980" customFormat="1" ht="15.4">
      <c r="A36" s="976" t="s">
        <v>1442</v>
      </c>
      <c r="B36" s="978" t="s">
        <v>2074</v>
      </c>
      <c r="C36" s="978" t="s">
        <v>1920</v>
      </c>
      <c r="D36" s="977"/>
      <c r="E36" s="977"/>
      <c r="F36" s="978" t="s">
        <v>1428</v>
      </c>
      <c r="G36" s="979"/>
      <c r="H36" s="702">
        <f>H34-H35</f>
        <v>0</v>
      </c>
      <c r="I36" s="702">
        <f>I34-I35</f>
        <v>0</v>
      </c>
      <c r="J36" s="702">
        <f>J34-J35</f>
        <v>0</v>
      </c>
      <c r="K36" s="702">
        <f>K34-K35</f>
        <v>0</v>
      </c>
      <c r="L36" s="702">
        <f>L34-L35</f>
        <v>0</v>
      </c>
      <c r="M36" s="979"/>
      <c r="N36" s="977"/>
    </row>
    <row r="37" spans="1:14" s="950" customFormat="1">
      <c r="A37" s="939"/>
      <c r="B37" s="939"/>
      <c r="C37" s="956"/>
      <c r="D37" s="962"/>
      <c r="E37" s="962"/>
      <c r="F37" s="956"/>
      <c r="G37" s="939"/>
      <c r="H37" s="939"/>
      <c r="I37" s="939"/>
      <c r="J37" s="939"/>
      <c r="K37" s="939"/>
      <c r="L37" s="939"/>
      <c r="M37" s="939"/>
      <c r="N37" s="962"/>
    </row>
    <row r="38" spans="1:14" s="950" customFormat="1">
      <c r="A38" s="939"/>
      <c r="B38" s="939"/>
      <c r="C38" s="956"/>
      <c r="D38" s="962"/>
      <c r="E38" s="962"/>
      <c r="F38" s="956"/>
      <c r="G38" s="939"/>
      <c r="H38" s="939"/>
      <c r="I38" s="939"/>
      <c r="J38" s="939"/>
      <c r="K38" s="939"/>
      <c r="L38" s="939"/>
      <c r="M38" s="939"/>
      <c r="N38" s="962"/>
    </row>
    <row r="39" spans="1:14" ht="13.5">
      <c r="A39" s="990" t="s">
        <v>2075</v>
      </c>
      <c r="B39" s="967"/>
      <c r="C39" s="956"/>
      <c r="D39" s="962"/>
      <c r="E39" s="962"/>
      <c r="F39" s="956"/>
      <c r="G39" s="967"/>
      <c r="H39" s="963"/>
      <c r="I39" s="963"/>
      <c r="J39" s="963"/>
      <c r="K39" s="963"/>
      <c r="L39" s="963"/>
    </row>
    <row r="40" spans="1:14" ht="13.5">
      <c r="A40" s="996"/>
      <c r="B40" s="967"/>
      <c r="C40" s="956"/>
      <c r="D40" s="962"/>
      <c r="E40" s="962"/>
      <c r="F40" s="956"/>
      <c r="G40" s="967"/>
      <c r="H40" s="963"/>
      <c r="I40" s="963"/>
      <c r="J40" s="963"/>
      <c r="K40" s="963"/>
      <c r="L40" s="963"/>
    </row>
    <row r="41" spans="1:14" s="979" customFormat="1" ht="15.4">
      <c r="A41" s="976" t="s">
        <v>1426</v>
      </c>
      <c r="B41" s="975" t="s">
        <v>2076</v>
      </c>
      <c r="C41" s="976" t="s">
        <v>1489</v>
      </c>
      <c r="D41" s="977"/>
      <c r="E41" s="977"/>
      <c r="F41" s="978" t="s">
        <v>1428</v>
      </c>
      <c r="H41" s="944" cm="1">
        <f t="array" ref="H41:L41">TONOITt</f>
        <v>0</v>
      </c>
      <c r="I41" s="944">
        <v>0</v>
      </c>
      <c r="J41" s="944">
        <v>0</v>
      </c>
      <c r="K41" s="944">
        <v>0</v>
      </c>
      <c r="L41" s="944">
        <v>0</v>
      </c>
      <c r="M41" s="974" t="s">
        <v>2062</v>
      </c>
    </row>
    <row r="42" spans="1:14" s="979" customFormat="1" ht="12.75">
      <c r="A42" s="976"/>
      <c r="B42" s="975"/>
      <c r="C42" s="976"/>
      <c r="D42" s="977"/>
      <c r="E42" s="977"/>
      <c r="F42" s="978"/>
      <c r="G42" s="978"/>
      <c r="H42" s="978"/>
      <c r="I42" s="978"/>
      <c r="J42" s="978"/>
      <c r="K42" s="978"/>
      <c r="L42" s="978"/>
      <c r="M42" s="974"/>
    </row>
    <row r="43" spans="1:14" ht="13.5">
      <c r="A43" s="990" t="s">
        <v>1916</v>
      </c>
      <c r="B43" s="967"/>
      <c r="C43" s="956"/>
      <c r="D43" s="962"/>
      <c r="E43" s="962"/>
      <c r="F43" s="956"/>
      <c r="G43" s="967"/>
      <c r="H43" s="963"/>
      <c r="I43" s="963"/>
      <c r="J43" s="963"/>
      <c r="K43" s="963"/>
      <c r="L43" s="963"/>
    </row>
    <row r="44" spans="1:14" ht="13.5">
      <c r="A44" s="996"/>
      <c r="B44" s="967"/>
      <c r="C44" s="956"/>
      <c r="D44" s="962"/>
      <c r="E44" s="962"/>
      <c r="F44" s="956"/>
      <c r="G44" s="967"/>
      <c r="H44" s="963"/>
      <c r="I44" s="963"/>
      <c r="J44" s="963"/>
      <c r="K44" s="963"/>
      <c r="L44" s="963"/>
    </row>
    <row r="45" spans="1:14" s="979" customFormat="1" ht="12" customHeight="1">
      <c r="A45" s="976" t="s">
        <v>1426</v>
      </c>
      <c r="B45" s="975" t="s">
        <v>2077</v>
      </c>
      <c r="C45" s="976" t="s">
        <v>1917</v>
      </c>
      <c r="D45" s="977"/>
      <c r="E45" s="977"/>
      <c r="F45" s="978" t="s">
        <v>1428</v>
      </c>
      <c r="H45" s="944" cm="1">
        <f t="array" ref="H45:L45">TOCAMt</f>
        <v>0</v>
      </c>
      <c r="I45" s="944">
        <v>0</v>
      </c>
      <c r="J45" s="944">
        <v>0</v>
      </c>
      <c r="K45" s="944">
        <v>0</v>
      </c>
      <c r="L45" s="944">
        <v>0</v>
      </c>
      <c r="M45" s="974" t="s">
        <v>2062</v>
      </c>
    </row>
    <row r="48" spans="1:14" ht="13.5">
      <c r="A48" s="990" t="s">
        <v>1929</v>
      </c>
    </row>
    <row r="50" spans="1:14" s="979" customFormat="1" ht="15.4">
      <c r="A50" s="976" t="s">
        <v>1426</v>
      </c>
      <c r="B50" s="975" t="s">
        <v>2078</v>
      </c>
      <c r="C50" s="976" t="s">
        <v>1930</v>
      </c>
      <c r="D50" s="977"/>
      <c r="E50" s="977"/>
      <c r="F50" s="978" t="s">
        <v>1428</v>
      </c>
      <c r="H50" s="944" cm="1">
        <f t="array" ref="H50:L50">TONZPt</f>
        <v>0</v>
      </c>
      <c r="I50" s="944">
        <v>0</v>
      </c>
      <c r="J50" s="944">
        <v>0</v>
      </c>
      <c r="K50" s="944">
        <v>0</v>
      </c>
      <c r="L50" s="944">
        <v>0</v>
      </c>
      <c r="M50" s="974" t="s">
        <v>2062</v>
      </c>
    </row>
    <row r="51" spans="1:14" s="979" customFormat="1" ht="12.75">
      <c r="A51" s="976"/>
      <c r="B51" s="975"/>
      <c r="C51" s="976"/>
      <c r="D51" s="977"/>
      <c r="E51" s="977"/>
      <c r="F51" s="978"/>
      <c r="G51" s="978"/>
      <c r="H51" s="978"/>
      <c r="I51" s="978"/>
      <c r="J51" s="978"/>
      <c r="K51" s="978"/>
      <c r="L51" s="978"/>
      <c r="M51" s="974"/>
    </row>
    <row r="52" spans="1:14" s="950" customFormat="1" ht="17.45" customHeight="1">
      <c r="A52" s="990" t="s">
        <v>1469</v>
      </c>
      <c r="B52" s="939"/>
      <c r="C52" s="939"/>
      <c r="D52" s="962"/>
      <c r="E52" s="962"/>
      <c r="F52" s="939"/>
      <c r="G52" s="967"/>
      <c r="H52" s="991"/>
      <c r="I52" s="992"/>
      <c r="J52" s="949"/>
      <c r="K52" s="949"/>
      <c r="L52" s="949"/>
      <c r="M52" s="939"/>
      <c r="N52" s="962"/>
    </row>
    <row r="53" spans="1:14" s="950" customFormat="1" ht="17.45" customHeight="1">
      <c r="A53" s="993"/>
      <c r="B53" s="967"/>
      <c r="C53" s="956"/>
      <c r="D53" s="962"/>
      <c r="E53" s="962"/>
      <c r="F53" s="956"/>
      <c r="G53" s="967"/>
      <c r="H53" s="963"/>
      <c r="I53" s="963"/>
      <c r="J53" s="963"/>
      <c r="K53" s="963"/>
      <c r="L53" s="963"/>
      <c r="M53" s="963"/>
      <c r="N53" s="962"/>
    </row>
    <row r="54" spans="1:14" s="950" customFormat="1" ht="15.4">
      <c r="A54" s="940" t="s">
        <v>1426</v>
      </c>
      <c r="B54" s="956" t="s">
        <v>2079</v>
      </c>
      <c r="C54" s="940" t="s">
        <v>1444</v>
      </c>
      <c r="D54" s="962"/>
      <c r="E54" s="962"/>
      <c r="F54" s="956" t="s">
        <v>1428</v>
      </c>
      <c r="G54" s="939"/>
      <c r="H54" s="944" cm="1">
        <f t="array" ref="H54:L54">TOBTROt</f>
        <v>0</v>
      </c>
      <c r="I54" s="944">
        <v>0</v>
      </c>
      <c r="J54" s="944">
        <v>0</v>
      </c>
      <c r="K54" s="944">
        <v>0</v>
      </c>
      <c r="L54" s="944">
        <v>0</v>
      </c>
      <c r="M54" s="974" t="s">
        <v>2062</v>
      </c>
      <c r="N54" s="962"/>
    </row>
    <row r="55" spans="1:14" s="950" customFormat="1" ht="15.4">
      <c r="A55" s="940" t="s">
        <v>1461</v>
      </c>
      <c r="B55" s="956" t="s">
        <v>2080</v>
      </c>
      <c r="C55" s="940" t="s">
        <v>1444</v>
      </c>
      <c r="D55" s="962"/>
      <c r="E55" s="962"/>
      <c r="F55" s="956" t="s">
        <v>1428</v>
      </c>
      <c r="G55" s="939"/>
      <c r="H55" s="944" cm="1">
        <f t="array" ref="H55:L55">TOBTRROt</f>
        <v>0</v>
      </c>
      <c r="I55" s="944">
        <v>0</v>
      </c>
      <c r="J55" s="944">
        <v>0</v>
      </c>
      <c r="K55" s="944">
        <v>0</v>
      </c>
      <c r="L55" s="944">
        <v>0</v>
      </c>
      <c r="M55" s="974" t="s">
        <v>2031</v>
      </c>
      <c r="N55" s="962"/>
    </row>
    <row r="56" spans="1:14" s="980" customFormat="1" ht="15.4">
      <c r="A56" s="976" t="s">
        <v>1470</v>
      </c>
      <c r="B56" s="978" t="s">
        <v>2081</v>
      </c>
      <c r="C56" s="976" t="s">
        <v>1444</v>
      </c>
      <c r="D56" s="977"/>
      <c r="E56" s="977"/>
      <c r="F56" s="978" t="s">
        <v>1428</v>
      </c>
      <c r="G56" s="979"/>
      <c r="H56" s="702">
        <f>H54-H55</f>
        <v>0</v>
      </c>
      <c r="I56" s="702">
        <f>I54-I55</f>
        <v>0</v>
      </c>
      <c r="J56" s="702">
        <f>J54-J55</f>
        <v>0</v>
      </c>
      <c r="K56" s="702">
        <f>K54-K55</f>
        <v>0</v>
      </c>
      <c r="L56" s="702">
        <f>L54-L55</f>
        <v>0</v>
      </c>
      <c r="M56" s="979"/>
      <c r="N56" s="977"/>
    </row>
    <row r="57" spans="1:14" s="950" customFormat="1">
      <c r="A57" s="939"/>
      <c r="B57" s="939"/>
      <c r="C57" s="956"/>
      <c r="D57" s="962"/>
      <c r="E57" s="962"/>
      <c r="F57" s="956"/>
      <c r="G57" s="939"/>
      <c r="H57" s="939"/>
      <c r="I57" s="939"/>
      <c r="J57" s="939"/>
      <c r="K57" s="939"/>
      <c r="L57" s="939"/>
      <c r="M57" s="939"/>
      <c r="N57" s="962"/>
    </row>
    <row r="58" spans="1:14" s="950" customFormat="1" ht="17.45" customHeight="1">
      <c r="A58" s="990" t="s">
        <v>1471</v>
      </c>
      <c r="B58" s="939"/>
      <c r="C58" s="939"/>
      <c r="D58" s="962"/>
      <c r="E58" s="962"/>
      <c r="F58" s="939"/>
      <c r="G58" s="967"/>
      <c r="H58" s="991"/>
      <c r="I58" s="992"/>
      <c r="J58" s="949"/>
      <c r="K58" s="949"/>
      <c r="L58" s="949"/>
      <c r="M58" s="939"/>
      <c r="N58" s="962"/>
    </row>
    <row r="59" spans="1:14" s="950" customFormat="1" ht="17.45" customHeight="1">
      <c r="A59" s="993"/>
      <c r="B59" s="967"/>
      <c r="C59" s="956"/>
      <c r="D59" s="962"/>
      <c r="E59" s="962"/>
      <c r="F59" s="956"/>
      <c r="G59" s="967"/>
      <c r="H59" s="963"/>
      <c r="I59" s="963"/>
      <c r="J59" s="963"/>
      <c r="K59" s="963"/>
      <c r="L59" s="963"/>
      <c r="M59" s="963"/>
      <c r="N59" s="962"/>
    </row>
    <row r="60" spans="1:14" s="950" customFormat="1" ht="15.4">
      <c r="A60" s="940" t="s">
        <v>1426</v>
      </c>
      <c r="B60" s="956" t="s">
        <v>2082</v>
      </c>
      <c r="C60" s="940" t="s">
        <v>1447</v>
      </c>
      <c r="D60" s="962"/>
      <c r="E60" s="962"/>
      <c r="F60" s="956" t="s">
        <v>1428</v>
      </c>
      <c r="G60" s="939"/>
      <c r="H60" s="944" cm="1">
        <f t="array" ref="H60:L60">TOCEPOt</f>
        <v>0</v>
      </c>
      <c r="I60" s="944">
        <v>0</v>
      </c>
      <c r="J60" s="944">
        <v>0</v>
      </c>
      <c r="K60" s="944">
        <v>0</v>
      </c>
      <c r="L60" s="944">
        <v>0</v>
      </c>
      <c r="M60" s="974" t="s">
        <v>2062</v>
      </c>
      <c r="N60" s="962"/>
    </row>
    <row r="61" spans="1:14" s="950" customFormat="1" ht="15.4">
      <c r="A61" s="940" t="s">
        <v>1461</v>
      </c>
      <c r="B61" s="956" t="s">
        <v>2083</v>
      </c>
      <c r="C61" s="940" t="s">
        <v>1447</v>
      </c>
      <c r="D61" s="962"/>
      <c r="E61" s="962"/>
      <c r="F61" s="956" t="s">
        <v>1428</v>
      </c>
      <c r="G61" s="939"/>
      <c r="H61" s="944" cm="1">
        <f t="array" ref="H61:L61">TOCEPROt</f>
        <v>0</v>
      </c>
      <c r="I61" s="944">
        <v>0</v>
      </c>
      <c r="J61" s="944">
        <v>0</v>
      </c>
      <c r="K61" s="944">
        <v>0</v>
      </c>
      <c r="L61" s="944">
        <v>0</v>
      </c>
      <c r="M61" s="974" t="s">
        <v>2031</v>
      </c>
      <c r="N61" s="962"/>
    </row>
    <row r="62" spans="1:14" s="980" customFormat="1" ht="15.4">
      <c r="A62" s="976" t="s">
        <v>1472</v>
      </c>
      <c r="B62" s="978" t="s">
        <v>2084</v>
      </c>
      <c r="C62" s="976" t="s">
        <v>1447</v>
      </c>
      <c r="D62" s="977"/>
      <c r="E62" s="977"/>
      <c r="F62" s="978" t="s">
        <v>1428</v>
      </c>
      <c r="G62" s="979"/>
      <c r="H62" s="702">
        <f>H60-H61</f>
        <v>0</v>
      </c>
      <c r="I62" s="702">
        <f>I60-I61</f>
        <v>0</v>
      </c>
      <c r="J62" s="702">
        <f>J60-J61</f>
        <v>0</v>
      </c>
      <c r="K62" s="702">
        <f>K60-K61</f>
        <v>0</v>
      </c>
      <c r="L62" s="702">
        <f>L60-L61</f>
        <v>0</v>
      </c>
      <c r="M62" s="979"/>
      <c r="N62" s="977"/>
    </row>
    <row r="64" spans="1:14" s="950" customFormat="1" ht="17.45" customHeight="1">
      <c r="A64" s="990" t="s">
        <v>1473</v>
      </c>
      <c r="B64" s="939"/>
      <c r="C64" s="939"/>
      <c r="D64" s="962"/>
      <c r="E64" s="962"/>
      <c r="F64" s="939"/>
      <c r="G64" s="967"/>
      <c r="H64" s="991"/>
      <c r="I64" s="992"/>
      <c r="J64" s="949"/>
      <c r="K64" s="949"/>
      <c r="L64" s="949"/>
      <c r="M64" s="939"/>
      <c r="N64" s="962"/>
    </row>
    <row r="65" spans="1:14" s="950" customFormat="1" ht="17.45" customHeight="1">
      <c r="A65" s="993"/>
      <c r="B65" s="967"/>
      <c r="C65" s="956"/>
      <c r="D65" s="962"/>
      <c r="E65" s="962"/>
      <c r="F65" s="956"/>
      <c r="G65" s="967"/>
      <c r="H65" s="963"/>
      <c r="I65" s="963"/>
      <c r="J65" s="963"/>
      <c r="K65" s="963"/>
      <c r="L65" s="963"/>
      <c r="M65" s="963"/>
      <c r="N65" s="962"/>
    </row>
    <row r="66" spans="1:14" s="950" customFormat="1" ht="15.4">
      <c r="A66" s="940" t="s">
        <v>1426</v>
      </c>
      <c r="B66" s="956" t="s">
        <v>2085</v>
      </c>
      <c r="C66" s="940" t="s">
        <v>1449</v>
      </c>
      <c r="D66" s="962"/>
      <c r="E66" s="962"/>
      <c r="F66" s="956" t="s">
        <v>1428</v>
      </c>
      <c r="G66" s="939"/>
      <c r="H66" s="944" cm="1">
        <f t="array" ref="H66:L66">TOKLSOt</f>
        <v>0</v>
      </c>
      <c r="I66" s="944">
        <v>0</v>
      </c>
      <c r="J66" s="944">
        <v>0</v>
      </c>
      <c r="K66" s="944">
        <v>0</v>
      </c>
      <c r="L66" s="944">
        <v>0</v>
      </c>
      <c r="M66" s="974" t="s">
        <v>2062</v>
      </c>
      <c r="N66" s="962"/>
    </row>
    <row r="67" spans="1:14" s="950" customFormat="1" ht="15.4">
      <c r="A67" s="940" t="s">
        <v>1461</v>
      </c>
      <c r="B67" s="956" t="s">
        <v>2086</v>
      </c>
      <c r="C67" s="940" t="s">
        <v>1449</v>
      </c>
      <c r="D67" s="962"/>
      <c r="E67" s="962"/>
      <c r="F67" s="956" t="s">
        <v>1428</v>
      </c>
      <c r="G67" s="939"/>
      <c r="H67" s="944" cm="1">
        <f t="array" ref="H67:L67">TOKLSROt</f>
        <v>0</v>
      </c>
      <c r="I67" s="944">
        <v>0</v>
      </c>
      <c r="J67" s="944">
        <v>0</v>
      </c>
      <c r="K67" s="944">
        <v>0</v>
      </c>
      <c r="L67" s="944">
        <v>0</v>
      </c>
      <c r="M67" s="974" t="s">
        <v>2031</v>
      </c>
      <c r="N67" s="962"/>
    </row>
    <row r="68" spans="1:14" s="980" customFormat="1" ht="15.4">
      <c r="A68" s="976" t="s">
        <v>1473</v>
      </c>
      <c r="B68" s="978" t="s">
        <v>2087</v>
      </c>
      <c r="C68" s="976" t="s">
        <v>1449</v>
      </c>
      <c r="D68" s="977"/>
      <c r="E68" s="977"/>
      <c r="F68" s="978" t="s">
        <v>1428</v>
      </c>
      <c r="G68" s="979"/>
      <c r="H68" s="702">
        <f>H66-H67</f>
        <v>0</v>
      </c>
      <c r="I68" s="702">
        <f>I66-I67</f>
        <v>0</v>
      </c>
      <c r="J68" s="702">
        <f>J66-J67</f>
        <v>0</v>
      </c>
      <c r="K68" s="702">
        <f>K66-K67</f>
        <v>0</v>
      </c>
      <c r="L68" s="702">
        <f>L66-L67</f>
        <v>0</v>
      </c>
      <c r="M68" s="979"/>
      <c r="N68" s="977"/>
    </row>
    <row r="69" spans="1:14" s="950" customFormat="1">
      <c r="A69" s="939"/>
      <c r="B69" s="939"/>
      <c r="C69" s="956"/>
      <c r="D69" s="962"/>
      <c r="E69" s="962"/>
      <c r="F69" s="956"/>
      <c r="G69" s="939"/>
      <c r="H69" s="939"/>
      <c r="I69" s="939"/>
      <c r="J69" s="939"/>
      <c r="K69" s="939"/>
      <c r="L69" s="939"/>
      <c r="M69" s="939"/>
      <c r="N69" s="962"/>
    </row>
    <row r="70" spans="1:14" ht="13.5">
      <c r="A70" s="990" t="s">
        <v>1474</v>
      </c>
      <c r="D70" s="962"/>
      <c r="E70" s="962"/>
      <c r="G70" s="967"/>
      <c r="H70" s="991"/>
      <c r="I70" s="992"/>
      <c r="J70" s="949"/>
      <c r="K70" s="949"/>
      <c r="L70" s="949"/>
    </row>
    <row r="71" spans="1:14" ht="13.5">
      <c r="A71" s="993"/>
      <c r="B71" s="967"/>
      <c r="C71" s="956"/>
      <c r="D71" s="962"/>
      <c r="E71" s="962"/>
      <c r="F71" s="956"/>
      <c r="G71" s="967"/>
      <c r="H71" s="963"/>
      <c r="I71" s="963"/>
      <c r="J71" s="963"/>
      <c r="K71" s="963"/>
      <c r="L71" s="963"/>
    </row>
    <row r="72" spans="1:14" ht="15.4">
      <c r="A72" s="940" t="s">
        <v>1426</v>
      </c>
      <c r="B72" s="942" t="s">
        <v>2088</v>
      </c>
      <c r="C72" s="940" t="s">
        <v>1451</v>
      </c>
      <c r="D72" s="962"/>
      <c r="E72" s="962"/>
      <c r="F72" s="956" t="s">
        <v>1428</v>
      </c>
      <c r="H72" s="944" cm="1">
        <f t="array" ref="H72:L72">TOFIOCOt</f>
        <v>0</v>
      </c>
      <c r="I72" s="944">
        <v>0</v>
      </c>
      <c r="J72" s="944">
        <v>0</v>
      </c>
      <c r="K72" s="944">
        <v>0</v>
      </c>
      <c r="L72" s="944">
        <v>0</v>
      </c>
      <c r="M72" s="974" t="s">
        <v>2062</v>
      </c>
    </row>
    <row r="73" spans="1:14" ht="15.4">
      <c r="A73" s="940" t="s">
        <v>1461</v>
      </c>
      <c r="B73" s="942" t="s">
        <v>2089</v>
      </c>
      <c r="C73" s="940" t="s">
        <v>1451</v>
      </c>
      <c r="D73" s="962"/>
      <c r="E73" s="962"/>
      <c r="F73" s="956" t="s">
        <v>1428</v>
      </c>
      <c r="H73" s="944" cm="1">
        <f t="array" ref="H73:L73">TOFIOCROt</f>
        <v>0</v>
      </c>
      <c r="I73" s="944">
        <v>0</v>
      </c>
      <c r="J73" s="944">
        <v>0</v>
      </c>
      <c r="K73" s="944">
        <v>0</v>
      </c>
      <c r="L73" s="944">
        <v>0</v>
      </c>
      <c r="M73" s="974" t="s">
        <v>2031</v>
      </c>
    </row>
    <row r="74" spans="1:14" s="979" customFormat="1" ht="14.25" customHeight="1">
      <c r="A74" s="976" t="s">
        <v>1474</v>
      </c>
      <c r="B74" s="978" t="s">
        <v>2090</v>
      </c>
      <c r="C74" s="976" t="s">
        <v>1451</v>
      </c>
      <c r="D74" s="977"/>
      <c r="E74" s="977"/>
      <c r="F74" s="978" t="s">
        <v>1428</v>
      </c>
      <c r="H74" s="702">
        <f>H72-H73</f>
        <v>0</v>
      </c>
      <c r="I74" s="702">
        <f>I72-I73</f>
        <v>0</v>
      </c>
      <c r="J74" s="702">
        <f>J72-J73</f>
        <v>0</v>
      </c>
      <c r="K74" s="702">
        <f>K72-K73</f>
        <v>0</v>
      </c>
      <c r="L74" s="702">
        <f>L72-L73</f>
        <v>0</v>
      </c>
    </row>
    <row r="75" spans="1:14">
      <c r="C75" s="956"/>
      <c r="D75" s="962"/>
      <c r="E75" s="962"/>
      <c r="F75" s="956"/>
    </row>
    <row r="76" spans="1:14" ht="13.5">
      <c r="A76" s="990" t="s">
        <v>1922</v>
      </c>
      <c r="B76" s="967"/>
      <c r="C76" s="956"/>
      <c r="D76" s="962"/>
      <c r="E76" s="962"/>
      <c r="F76" s="956"/>
      <c r="G76" s="967"/>
      <c r="H76" s="963"/>
      <c r="I76" s="963"/>
      <c r="J76" s="963"/>
      <c r="K76" s="963"/>
      <c r="L76" s="963"/>
    </row>
    <row r="77" spans="1:14" ht="13.5">
      <c r="A77" s="996"/>
      <c r="B77" s="967"/>
      <c r="C77" s="956"/>
      <c r="D77" s="962"/>
      <c r="E77" s="962"/>
      <c r="F77" s="956"/>
      <c r="G77" s="967"/>
      <c r="H77" s="963"/>
      <c r="I77" s="963"/>
      <c r="J77" s="963"/>
      <c r="K77" s="963"/>
      <c r="L77" s="963"/>
    </row>
    <row r="78" spans="1:14" s="979" customFormat="1" ht="15.4">
      <c r="A78" s="976" t="s">
        <v>1426</v>
      </c>
      <c r="B78" s="975" t="s">
        <v>2091</v>
      </c>
      <c r="C78" s="976" t="s">
        <v>1923</v>
      </c>
      <c r="D78" s="977"/>
      <c r="E78" s="977"/>
      <c r="F78" s="978" t="s">
        <v>1428</v>
      </c>
      <c r="H78" s="944" cm="1">
        <f t="array" ref="H78:L78">TOAHt</f>
        <v>0</v>
      </c>
      <c r="I78" s="944">
        <v>0</v>
      </c>
      <c r="J78" s="944">
        <v>0</v>
      </c>
      <c r="K78" s="944">
        <v>0</v>
      </c>
      <c r="L78" s="944">
        <v>0</v>
      </c>
      <c r="M78" s="974" t="s">
        <v>2062</v>
      </c>
    </row>
    <row r="79" spans="1:14" ht="13.5">
      <c r="A79" s="962"/>
      <c r="B79" s="962"/>
      <c r="C79" s="962"/>
      <c r="D79" s="962"/>
      <c r="E79" s="962"/>
      <c r="F79" s="965"/>
      <c r="G79" s="965"/>
      <c r="H79" s="968"/>
      <c r="I79" s="968"/>
      <c r="J79" s="968"/>
      <c r="K79" s="968"/>
      <c r="L79" s="963"/>
    </row>
    <row r="80" spans="1:14" ht="13.5">
      <c r="A80" s="962"/>
      <c r="B80" s="962"/>
      <c r="C80" s="962"/>
      <c r="D80" s="962"/>
      <c r="E80" s="962"/>
      <c r="F80" s="965"/>
      <c r="G80" s="965"/>
      <c r="H80" s="968"/>
      <c r="I80" s="968"/>
      <c r="J80" s="968"/>
      <c r="K80" s="968"/>
      <c r="L80" s="963"/>
    </row>
    <row r="81" spans="1:13" ht="13.5">
      <c r="A81" s="990" t="s">
        <v>1476</v>
      </c>
      <c r="D81" s="962"/>
      <c r="E81" s="962"/>
      <c r="G81" s="967"/>
      <c r="H81" s="991"/>
      <c r="I81" s="992"/>
      <c r="J81" s="949"/>
      <c r="K81" s="949"/>
      <c r="L81" s="949"/>
    </row>
    <row r="82" spans="1:13" ht="13.5">
      <c r="A82" s="993"/>
      <c r="B82" s="967"/>
      <c r="C82" s="956"/>
      <c r="D82" s="962"/>
      <c r="E82" s="962"/>
      <c r="F82" s="956"/>
      <c r="G82" s="967"/>
      <c r="H82" s="963"/>
      <c r="I82" s="963"/>
      <c r="J82" s="963"/>
      <c r="K82" s="963"/>
      <c r="L82" s="963"/>
    </row>
    <row r="83" spans="1:13" ht="15.4">
      <c r="A83" s="940" t="s">
        <v>1426</v>
      </c>
      <c r="B83" s="942" t="s">
        <v>2092</v>
      </c>
      <c r="C83" s="940" t="s">
        <v>1454</v>
      </c>
      <c r="D83" s="962"/>
      <c r="E83" s="962"/>
      <c r="F83" s="956" t="s">
        <v>1428</v>
      </c>
      <c r="H83" s="944" cm="1">
        <f t="array" ref="H83:L83">TONLAHOt</f>
        <v>0</v>
      </c>
      <c r="I83" s="944">
        <v>0</v>
      </c>
      <c r="J83" s="944">
        <v>0</v>
      </c>
      <c r="K83" s="944">
        <v>0</v>
      </c>
      <c r="L83" s="944">
        <v>0</v>
      </c>
      <c r="M83" s="974" t="s">
        <v>2062</v>
      </c>
    </row>
    <row r="84" spans="1:13" ht="15.4">
      <c r="A84" s="940" t="s">
        <v>1461</v>
      </c>
      <c r="B84" s="942" t="s">
        <v>2093</v>
      </c>
      <c r="C84" s="940" t="s">
        <v>1454</v>
      </c>
      <c r="D84" s="962"/>
      <c r="E84" s="962"/>
      <c r="F84" s="956" t="s">
        <v>1428</v>
      </c>
      <c r="H84" s="944" cm="1">
        <f t="array" ref="H84:L84">TONLARt</f>
        <v>0</v>
      </c>
      <c r="I84" s="944">
        <v>0</v>
      </c>
      <c r="J84" s="944">
        <v>0</v>
      </c>
      <c r="K84" s="944">
        <v>0</v>
      </c>
      <c r="L84" s="944">
        <v>0</v>
      </c>
      <c r="M84" s="974" t="s">
        <v>2031</v>
      </c>
    </row>
    <row r="85" spans="1:13" s="979" customFormat="1" ht="15.4">
      <c r="A85" s="976" t="s">
        <v>1477</v>
      </c>
      <c r="B85" s="975" t="s">
        <v>2094</v>
      </c>
      <c r="C85" s="976" t="s">
        <v>1454</v>
      </c>
      <c r="D85" s="977"/>
      <c r="E85" s="977"/>
      <c r="F85" s="978" t="s">
        <v>1428</v>
      </c>
      <c r="H85" s="702">
        <f>H83-H84</f>
        <v>0</v>
      </c>
      <c r="I85" s="702">
        <f>I83-I84</f>
        <v>0</v>
      </c>
      <c r="J85" s="702">
        <f>J83-J84</f>
        <v>0</v>
      </c>
      <c r="K85" s="702">
        <f>K83-K84</f>
        <v>0</v>
      </c>
      <c r="L85" s="702">
        <f>L83-L84</f>
        <v>0</v>
      </c>
    </row>
    <row r="88" spans="1:13" ht="13.5">
      <c r="A88" s="990" t="s">
        <v>1926</v>
      </c>
    </row>
    <row r="90" spans="1:13" s="979" customFormat="1" ht="15.4">
      <c r="A90" s="976" t="s">
        <v>1426</v>
      </c>
      <c r="B90" s="979" t="s">
        <v>2095</v>
      </c>
      <c r="C90" s="979" t="s">
        <v>1927</v>
      </c>
      <c r="F90" s="978" t="s">
        <v>1428</v>
      </c>
      <c r="H90" s="944" cm="1">
        <f t="array" ref="H90:L90">TOQLt_and_PDt</f>
        <v>0</v>
      </c>
      <c r="I90" s="944">
        <v>0</v>
      </c>
      <c r="J90" s="944">
        <v>0</v>
      </c>
      <c r="K90" s="944">
        <v>0</v>
      </c>
      <c r="L90" s="944">
        <v>0</v>
      </c>
      <c r="M90" s="974" t="s">
        <v>2062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196"/>
  <sheetViews>
    <sheetView zoomScale="90" zoomScaleNormal="90" workbookViewId="0"/>
  </sheetViews>
  <sheetFormatPr defaultColWidth="0" defaultRowHeight="14.25" zeroHeight="1"/>
  <cols>
    <col min="1" max="1" width="14.59765625" customWidth="1"/>
    <col min="2" max="2" width="27" bestFit="1" customWidth="1"/>
    <col min="3" max="3" width="8.59765625" style="434" customWidth="1"/>
    <col min="4" max="4" width="31.59765625" customWidth="1"/>
    <col min="5" max="7" width="9.1328125" customWidth="1"/>
    <col min="8" max="8" width="17.86328125" customWidth="1"/>
    <col min="9" max="9" width="9.1328125" customWidth="1"/>
    <col min="10" max="16384" width="9.1328125" hidden="1"/>
  </cols>
  <sheetData>
    <row r="1" spans="1:8" s="73" customFormat="1" ht="23.25">
      <c r="A1" s="89" t="str">
        <f>'1.1 Cover'!A2</f>
        <v>Regulatory Reporting Pack</v>
      </c>
    </row>
    <row r="2" spans="1:8" s="73" customFormat="1" ht="23.25">
      <c r="A2" s="89" t="str">
        <f>'1.1 Cover'!A3</f>
        <v>Price base - 2018/19</v>
      </c>
    </row>
    <row r="3" spans="1:8" s="73" customFormat="1" ht="23.25">
      <c r="A3" s="89" t="str">
        <f>'1.1 Cover'!A4</f>
        <v>Regulatory Year: April 2021 - March 2022</v>
      </c>
    </row>
    <row r="4" spans="1:8" s="73" customFormat="1" ht="23.25">
      <c r="A4" s="89" t="s">
        <v>35</v>
      </c>
    </row>
    <row r="5" spans="1:8" s="19" customFormat="1" ht="14.65" thickBot="1">
      <c r="C5" s="429"/>
    </row>
    <row r="6" spans="1:8" s="19" customFormat="1">
      <c r="A6" s="31"/>
      <c r="B6" s="25"/>
      <c r="C6" s="430"/>
      <c r="D6" s="31"/>
      <c r="H6" s="1342" t="s">
        <v>16</v>
      </c>
    </row>
    <row r="7" spans="1:8" s="19" customFormat="1">
      <c r="A7" s="31"/>
      <c r="B7" s="31"/>
      <c r="C7" s="166"/>
      <c r="D7" s="31"/>
      <c r="H7" s="1343"/>
    </row>
    <row r="8" spans="1:8" s="19" customFormat="1">
      <c r="A8" s="31"/>
      <c r="B8" s="31"/>
      <c r="C8" s="166"/>
      <c r="D8" s="31"/>
      <c r="H8" s="1343"/>
    </row>
    <row r="9" spans="1:8" s="19" customFormat="1" ht="14.65" thickBot="1">
      <c r="A9" s="33"/>
      <c r="B9" s="41" t="s">
        <v>17</v>
      </c>
      <c r="C9" s="166"/>
      <c r="D9" s="31"/>
      <c r="H9" s="1344"/>
    </row>
    <row r="10" spans="1:8" s="19" customFormat="1">
      <c r="A10" s="34"/>
      <c r="B10" s="32"/>
      <c r="C10" s="430" t="s">
        <v>1864</v>
      </c>
      <c r="D10" s="20" t="s">
        <v>67</v>
      </c>
    </row>
    <row r="11" spans="1:8" s="19" customFormat="1">
      <c r="A11" s="33"/>
      <c r="B11" s="32"/>
      <c r="C11" s="430" t="s">
        <v>3087</v>
      </c>
      <c r="D11" s="20" t="s">
        <v>35</v>
      </c>
    </row>
    <row r="12" spans="1:8" s="19" customFormat="1">
      <c r="A12" s="33"/>
      <c r="B12" s="32"/>
      <c r="C12" s="430" t="s">
        <v>2494</v>
      </c>
      <c r="D12" s="20" t="s">
        <v>36</v>
      </c>
    </row>
    <row r="13" spans="1:8" s="19" customFormat="1">
      <c r="A13" s="33"/>
      <c r="B13" s="32"/>
      <c r="C13" s="430" t="s">
        <v>2495</v>
      </c>
      <c r="D13" s="20" t="s">
        <v>18</v>
      </c>
    </row>
    <row r="14" spans="1:8" s="19" customFormat="1">
      <c r="A14" s="33"/>
      <c r="B14" s="32"/>
      <c r="C14" s="430" t="s">
        <v>2496</v>
      </c>
      <c r="D14" s="20" t="s">
        <v>37</v>
      </c>
    </row>
    <row r="15" spans="1:8" s="19" customFormat="1">
      <c r="A15" s="33"/>
      <c r="B15" s="32"/>
      <c r="C15" s="430" t="s">
        <v>2811</v>
      </c>
      <c r="D15" s="20" t="s">
        <v>8</v>
      </c>
    </row>
    <row r="16" spans="1:8" s="19" customFormat="1">
      <c r="A16" s="33"/>
      <c r="B16" s="33"/>
      <c r="C16" s="431"/>
      <c r="D16" s="31"/>
    </row>
    <row r="17" spans="1:8" s="19" customFormat="1">
      <c r="A17" s="33"/>
      <c r="B17" s="1322" t="s">
        <v>1863</v>
      </c>
      <c r="C17" s="510" t="s">
        <v>1865</v>
      </c>
      <c r="D17" s="31" t="s">
        <v>2864</v>
      </c>
      <c r="H17" s="46"/>
    </row>
    <row r="18" spans="1:8" s="19" customFormat="1">
      <c r="A18" s="33"/>
      <c r="B18" s="33"/>
      <c r="C18" s="510" t="s">
        <v>1862</v>
      </c>
      <c r="D18" s="31" t="s">
        <v>2641</v>
      </c>
      <c r="H18" s="46"/>
    </row>
    <row r="19" spans="1:8" s="19" customFormat="1">
      <c r="A19" s="33"/>
      <c r="B19" s="33"/>
      <c r="C19" s="510" t="s">
        <v>1866</v>
      </c>
      <c r="D19" s="31" t="s">
        <v>3088</v>
      </c>
      <c r="H19" s="46"/>
    </row>
    <row r="20" spans="1:8" s="19" customFormat="1">
      <c r="A20" s="33"/>
      <c r="B20" s="33"/>
      <c r="C20" s="431"/>
      <c r="D20" s="31"/>
    </row>
    <row r="21" spans="1:8" s="19" customFormat="1">
      <c r="A21" s="34">
        <v>1</v>
      </c>
      <c r="B21" s="69" t="s">
        <v>38</v>
      </c>
      <c r="C21" s="430"/>
      <c r="D21" s="31"/>
      <c r="H21" s="21"/>
    </row>
    <row r="22" spans="1:8" s="19" customFormat="1">
      <c r="A22" s="33"/>
      <c r="B22" s="33"/>
      <c r="C22" s="510" t="s">
        <v>3089</v>
      </c>
      <c r="D22" s="20" t="s">
        <v>213</v>
      </c>
      <c r="H22" s="46"/>
    </row>
    <row r="23" spans="1:8" s="19" customFormat="1">
      <c r="A23" s="33"/>
      <c r="B23" s="33"/>
      <c r="C23" s="510" t="s">
        <v>3090</v>
      </c>
      <c r="D23" s="20" t="s">
        <v>244</v>
      </c>
      <c r="H23" s="46"/>
    </row>
    <row r="24" spans="1:8" s="19" customFormat="1">
      <c r="A24" s="33"/>
      <c r="B24" s="33"/>
      <c r="C24" s="510" t="s">
        <v>3091</v>
      </c>
      <c r="D24" s="20" t="s">
        <v>1756</v>
      </c>
      <c r="H24" s="46"/>
    </row>
    <row r="25" spans="1:8" s="19" customFormat="1">
      <c r="A25" s="33"/>
      <c r="B25" s="33"/>
      <c r="C25" s="510" t="s">
        <v>3092</v>
      </c>
      <c r="D25" s="20" t="s">
        <v>2493</v>
      </c>
      <c r="H25" s="46"/>
    </row>
    <row r="26" spans="1:8" s="19" customFormat="1">
      <c r="A26" s="33"/>
      <c r="B26" s="33"/>
      <c r="C26" s="510" t="s">
        <v>3093</v>
      </c>
      <c r="D26" s="20" t="s">
        <v>2812</v>
      </c>
      <c r="H26" s="46"/>
    </row>
    <row r="27" spans="1:8" s="19" customFormat="1">
      <c r="A27" s="33"/>
      <c r="B27" s="33"/>
      <c r="C27" s="431"/>
      <c r="D27" s="20"/>
    </row>
    <row r="28" spans="1:8" s="19" customFormat="1">
      <c r="A28" s="34">
        <v>2</v>
      </c>
      <c r="B28" s="511" t="s">
        <v>2436</v>
      </c>
      <c r="C28" s="431"/>
      <c r="D28" s="20"/>
    </row>
    <row r="29" spans="1:8" s="19" customFormat="1">
      <c r="A29" s="34"/>
      <c r="B29" s="33"/>
      <c r="C29" s="510" t="s">
        <v>1379</v>
      </c>
      <c r="D29" s="20" t="s">
        <v>2491</v>
      </c>
      <c r="H29" s="46"/>
    </row>
    <row r="30" spans="1:8" s="19" customFormat="1">
      <c r="A30" s="34"/>
      <c r="B30" s="33"/>
      <c r="C30" s="510" t="s">
        <v>1380</v>
      </c>
      <c r="D30" s="20" t="s">
        <v>2492</v>
      </c>
      <c r="H30" s="46"/>
    </row>
    <row r="31" spans="1:8" s="19" customFormat="1">
      <c r="A31" s="33"/>
      <c r="B31" s="33"/>
      <c r="C31" s="510" t="s">
        <v>1381</v>
      </c>
      <c r="D31" s="20" t="s">
        <v>1078</v>
      </c>
      <c r="H31" s="46"/>
    </row>
    <row r="32" spans="1:8" s="19" customFormat="1">
      <c r="A32" s="33"/>
      <c r="B32" s="33"/>
      <c r="C32" s="510" t="s">
        <v>1382</v>
      </c>
      <c r="D32" s="20" t="s">
        <v>1079</v>
      </c>
      <c r="H32" s="46"/>
    </row>
    <row r="33" spans="1:8" s="19" customFormat="1">
      <c r="A33" s="33"/>
      <c r="B33" s="33"/>
      <c r="C33" s="510" t="s">
        <v>1383</v>
      </c>
      <c r="D33" s="20" t="s">
        <v>1080</v>
      </c>
      <c r="H33" s="46"/>
    </row>
    <row r="34" spans="1:8" s="19" customFormat="1">
      <c r="A34" s="33"/>
      <c r="B34" s="33"/>
      <c r="C34" s="510" t="s">
        <v>1384</v>
      </c>
      <c r="D34" s="20" t="s">
        <v>1081</v>
      </c>
      <c r="H34" s="46"/>
    </row>
    <row r="35" spans="1:8" s="19" customFormat="1">
      <c r="A35" s="33"/>
      <c r="B35" s="33"/>
      <c r="C35" s="510" t="s">
        <v>1385</v>
      </c>
      <c r="D35" s="20" t="s">
        <v>1082</v>
      </c>
      <c r="H35" s="46"/>
    </row>
    <row r="36" spans="1:8" s="19" customFormat="1">
      <c r="A36" s="33"/>
      <c r="B36" s="33"/>
      <c r="C36" s="510" t="s">
        <v>1386</v>
      </c>
      <c r="D36" s="20" t="s">
        <v>1083</v>
      </c>
      <c r="H36" s="46"/>
    </row>
    <row r="37" spans="1:8" s="19" customFormat="1">
      <c r="A37" s="33"/>
      <c r="B37" s="33"/>
      <c r="C37" s="510" t="s">
        <v>3094</v>
      </c>
      <c r="D37" s="20" t="s">
        <v>1483</v>
      </c>
      <c r="H37" s="46"/>
    </row>
    <row r="38" spans="1:8" s="19" customFormat="1">
      <c r="A38" s="33"/>
      <c r="B38" s="33"/>
      <c r="C38" s="510" t="s">
        <v>3095</v>
      </c>
      <c r="D38" s="20" t="s">
        <v>1689</v>
      </c>
      <c r="H38" s="46"/>
    </row>
    <row r="39" spans="1:8" s="19" customFormat="1">
      <c r="A39" s="33"/>
      <c r="B39" s="33"/>
      <c r="C39" s="510" t="s">
        <v>3096</v>
      </c>
      <c r="D39" s="20" t="s">
        <v>2685</v>
      </c>
      <c r="H39" s="46"/>
    </row>
    <row r="40" spans="1:8" s="19" customFormat="1">
      <c r="A40" s="33"/>
      <c r="B40" s="33"/>
      <c r="C40" s="510" t="s">
        <v>3097</v>
      </c>
      <c r="D40" s="20" t="s">
        <v>2686</v>
      </c>
      <c r="H40" s="46"/>
    </row>
    <row r="41" spans="1:8" s="19" customFormat="1">
      <c r="A41" s="33"/>
      <c r="B41" s="33"/>
      <c r="C41" s="510" t="s">
        <v>3098</v>
      </c>
      <c r="D41" s="20" t="s">
        <v>2489</v>
      </c>
      <c r="H41" s="46"/>
    </row>
    <row r="42" spans="1:8" s="19" customFormat="1">
      <c r="A42" s="33"/>
      <c r="B42" s="33"/>
      <c r="C42" s="510" t="s">
        <v>3099</v>
      </c>
      <c r="D42" s="20" t="s">
        <v>2490</v>
      </c>
      <c r="H42" s="46"/>
    </row>
    <row r="43" spans="1:8" s="19" customFormat="1">
      <c r="A43" s="33"/>
      <c r="B43" s="33"/>
      <c r="C43" s="431"/>
      <c r="D43" s="31"/>
    </row>
    <row r="44" spans="1:8" s="19" customFormat="1">
      <c r="A44" s="34">
        <v>3</v>
      </c>
      <c r="B44" s="70" t="s">
        <v>1</v>
      </c>
      <c r="C44" s="430"/>
      <c r="D44" s="30"/>
    </row>
    <row r="45" spans="1:8" s="19" customFormat="1">
      <c r="A45" s="33"/>
      <c r="B45" s="33"/>
      <c r="C45" s="510" t="s">
        <v>1387</v>
      </c>
      <c r="D45" s="20" t="s">
        <v>1084</v>
      </c>
      <c r="H45" s="46"/>
    </row>
    <row r="46" spans="1:8" s="19" customFormat="1">
      <c r="A46" s="33"/>
      <c r="B46" s="33"/>
      <c r="C46" s="510" t="s">
        <v>1388</v>
      </c>
      <c r="D46" s="20" t="s">
        <v>1085</v>
      </c>
      <c r="H46" s="46"/>
    </row>
    <row r="47" spans="1:8" s="19" customFormat="1">
      <c r="A47" s="33"/>
      <c r="B47" s="33"/>
      <c r="C47" s="510" t="s">
        <v>1389</v>
      </c>
      <c r="D47" s="20" t="s">
        <v>208</v>
      </c>
      <c r="H47" s="46"/>
    </row>
    <row r="48" spans="1:8" s="19" customFormat="1">
      <c r="A48" s="33"/>
      <c r="B48" s="33"/>
      <c r="C48" s="510" t="s">
        <v>1390</v>
      </c>
      <c r="D48" s="20" t="s">
        <v>270</v>
      </c>
      <c r="H48" s="46"/>
    </row>
    <row r="49" spans="1:8" s="19" customFormat="1">
      <c r="A49" s="33"/>
      <c r="B49" s="33"/>
      <c r="C49" s="510" t="s">
        <v>1391</v>
      </c>
      <c r="D49" s="20" t="s">
        <v>180</v>
      </c>
      <c r="H49" s="46"/>
    </row>
    <row r="50" spans="1:8" s="19" customFormat="1">
      <c r="A50" s="33"/>
      <c r="B50" s="33"/>
      <c r="C50" s="510" t="s">
        <v>1392</v>
      </c>
      <c r="D50" s="20" t="s">
        <v>2688</v>
      </c>
      <c r="H50" s="46"/>
    </row>
    <row r="51" spans="1:8" s="19" customFormat="1">
      <c r="A51" s="33"/>
      <c r="B51" s="33"/>
      <c r="C51" s="510" t="s">
        <v>1393</v>
      </c>
      <c r="D51" s="20" t="s">
        <v>2689</v>
      </c>
      <c r="H51" s="46"/>
    </row>
    <row r="52" spans="1:8" s="19" customFormat="1">
      <c r="A52" s="33"/>
      <c r="B52" s="33"/>
      <c r="C52" s="510" t="s">
        <v>1394</v>
      </c>
      <c r="D52" s="20" t="s">
        <v>182</v>
      </c>
      <c r="H52" s="46"/>
    </row>
    <row r="53" spans="1:8" s="19" customFormat="1">
      <c r="A53" s="33"/>
      <c r="B53" s="33"/>
      <c r="C53" s="510" t="s">
        <v>3100</v>
      </c>
      <c r="D53" s="20" t="s">
        <v>2687</v>
      </c>
      <c r="H53" s="46"/>
    </row>
    <row r="54" spans="1:8" s="19" customFormat="1">
      <c r="A54" s="33"/>
      <c r="B54" s="33"/>
      <c r="C54" s="431"/>
      <c r="D54" s="31"/>
    </row>
    <row r="55" spans="1:8" s="19" customFormat="1">
      <c r="A55" s="34">
        <v>4</v>
      </c>
      <c r="B55" s="71" t="s">
        <v>7</v>
      </c>
      <c r="C55" s="430"/>
      <c r="D55" s="31"/>
    </row>
    <row r="56" spans="1:8" s="19" customFormat="1">
      <c r="A56" s="33"/>
      <c r="B56" s="32"/>
      <c r="C56" s="430" t="s">
        <v>1395</v>
      </c>
      <c r="D56" s="20" t="s">
        <v>1064</v>
      </c>
      <c r="H56" s="46"/>
    </row>
    <row r="57" spans="1:8" s="19" customFormat="1">
      <c r="A57" s="33"/>
      <c r="B57" s="32"/>
      <c r="C57" s="430" t="s">
        <v>1396</v>
      </c>
      <c r="D57" s="20" t="s">
        <v>70</v>
      </c>
      <c r="H57" s="46"/>
    </row>
    <row r="58" spans="1:8" s="19" customFormat="1">
      <c r="A58" s="33"/>
      <c r="B58" s="32"/>
      <c r="C58" s="430" t="s">
        <v>1397</v>
      </c>
      <c r="D58" s="20" t="s">
        <v>1867</v>
      </c>
      <c r="H58" s="46"/>
    </row>
    <row r="59" spans="1:8" s="19" customFormat="1">
      <c r="A59" s="33"/>
      <c r="B59" s="32"/>
      <c r="C59" s="430" t="s">
        <v>1398</v>
      </c>
      <c r="D59" s="20" t="s">
        <v>1868</v>
      </c>
      <c r="H59" s="46"/>
    </row>
    <row r="60" spans="1:8" s="19" customFormat="1">
      <c r="A60" s="33"/>
      <c r="B60" s="32"/>
      <c r="C60" s="430" t="s">
        <v>1399</v>
      </c>
      <c r="D60" s="20" t="s">
        <v>263</v>
      </c>
      <c r="H60" s="46"/>
    </row>
    <row r="61" spans="1:8" s="19" customFormat="1">
      <c r="A61" s="33"/>
      <c r="B61" s="32"/>
      <c r="C61" s="430" t="s">
        <v>1400</v>
      </c>
      <c r="D61" s="20" t="s">
        <v>1060</v>
      </c>
      <c r="H61" s="46"/>
    </row>
    <row r="62" spans="1:8" s="19" customFormat="1">
      <c r="A62" s="33"/>
      <c r="B62" s="32"/>
      <c r="C62" s="430" t="s">
        <v>1401</v>
      </c>
      <c r="D62" s="20" t="s">
        <v>2690</v>
      </c>
      <c r="H62" s="46"/>
    </row>
    <row r="63" spans="1:8" s="19" customFormat="1">
      <c r="A63" s="33"/>
      <c r="B63" s="33"/>
      <c r="C63" s="430" t="s">
        <v>1402</v>
      </c>
      <c r="D63" s="20" t="s">
        <v>2813</v>
      </c>
      <c r="H63" s="46"/>
    </row>
    <row r="64" spans="1:8" s="19" customFormat="1">
      <c r="A64" s="33"/>
      <c r="B64" s="33"/>
      <c r="C64" s="431"/>
      <c r="D64" s="31"/>
      <c r="H64" s="21"/>
    </row>
    <row r="65" spans="1:8" s="19" customFormat="1">
      <c r="A65" s="34">
        <v>5</v>
      </c>
      <c r="B65" s="72" t="s">
        <v>181</v>
      </c>
      <c r="C65" s="430"/>
      <c r="D65" s="31"/>
      <c r="H65" s="21"/>
    </row>
    <row r="66" spans="1:8" s="19" customFormat="1">
      <c r="A66" s="31"/>
      <c r="B66" s="31"/>
      <c r="C66" s="166" t="s">
        <v>3101</v>
      </c>
      <c r="D66" s="20" t="s">
        <v>1087</v>
      </c>
      <c r="H66" s="46"/>
    </row>
    <row r="67" spans="1:8" s="19" customFormat="1">
      <c r="A67" s="31"/>
      <c r="B67" s="31"/>
      <c r="C67" s="166" t="s">
        <v>3102</v>
      </c>
      <c r="D67" s="20" t="s">
        <v>183</v>
      </c>
      <c r="H67" s="46"/>
    </row>
    <row r="68" spans="1:8" s="19" customFormat="1">
      <c r="A68" s="31"/>
      <c r="B68" s="31"/>
      <c r="C68" s="166" t="s">
        <v>3103</v>
      </c>
      <c r="D68" s="20" t="s">
        <v>1088</v>
      </c>
      <c r="H68" s="46"/>
    </row>
    <row r="69" spans="1:8" s="19" customFormat="1">
      <c r="A69" s="31"/>
      <c r="B69" s="31"/>
      <c r="C69" s="166" t="s">
        <v>3104</v>
      </c>
      <c r="D69" s="20" t="s">
        <v>1089</v>
      </c>
      <c r="H69" s="46"/>
    </row>
    <row r="70" spans="1:8" s="19" customFormat="1">
      <c r="A70" s="31"/>
      <c r="B70" s="31"/>
      <c r="C70" s="166" t="s">
        <v>3105</v>
      </c>
      <c r="D70" s="20" t="s">
        <v>2691</v>
      </c>
      <c r="H70" s="46"/>
    </row>
    <row r="71" spans="1:8" s="19" customFormat="1">
      <c r="A71" s="31"/>
      <c r="B71" s="31"/>
      <c r="C71" s="166" t="s">
        <v>3106</v>
      </c>
      <c r="D71" s="20" t="s">
        <v>1090</v>
      </c>
      <c r="H71" s="46"/>
    </row>
    <row r="72" spans="1:8" s="19" customFormat="1">
      <c r="A72" s="31"/>
      <c r="B72" s="31"/>
      <c r="C72" s="166" t="s">
        <v>3107</v>
      </c>
      <c r="D72" s="20" t="s">
        <v>1091</v>
      </c>
      <c r="H72" s="46"/>
    </row>
    <row r="73" spans="1:8" s="19" customFormat="1">
      <c r="A73" s="31"/>
      <c r="B73" s="31"/>
      <c r="C73" s="166" t="s">
        <v>3108</v>
      </c>
      <c r="D73" s="20" t="s">
        <v>934</v>
      </c>
      <c r="H73" s="46"/>
    </row>
    <row r="74" spans="1:8" s="19" customFormat="1">
      <c r="A74" s="22"/>
      <c r="B74" s="23"/>
      <c r="C74" s="432"/>
    </row>
    <row r="75" spans="1:8" s="19" customFormat="1">
      <c r="A75" s="34">
        <v>6</v>
      </c>
      <c r="B75" s="68" t="s">
        <v>69</v>
      </c>
      <c r="C75" s="430"/>
      <c r="D75" s="31"/>
      <c r="H75" s="21"/>
    </row>
    <row r="76" spans="1:8" s="19" customFormat="1">
      <c r="A76" s="31"/>
      <c r="B76" s="31"/>
      <c r="C76" s="166" t="s">
        <v>3109</v>
      </c>
      <c r="D76" s="20" t="s">
        <v>1094</v>
      </c>
      <c r="E76" s="451"/>
      <c r="H76" s="46"/>
    </row>
    <row r="77" spans="1:8" s="19" customFormat="1">
      <c r="A77" s="31"/>
      <c r="B77" s="31"/>
      <c r="C77" s="166" t="s">
        <v>3110</v>
      </c>
      <c r="D77" s="20" t="s">
        <v>1095</v>
      </c>
      <c r="E77" s="451"/>
      <c r="H77" s="46"/>
    </row>
    <row r="78" spans="1:8" s="19" customFormat="1">
      <c r="A78" s="31"/>
      <c r="B78" s="31"/>
      <c r="C78" s="166" t="s">
        <v>3111</v>
      </c>
      <c r="D78" s="20" t="s">
        <v>2814</v>
      </c>
      <c r="E78" s="451"/>
      <c r="H78" s="46"/>
    </row>
    <row r="79" spans="1:8" s="19" customFormat="1">
      <c r="A79" s="31"/>
      <c r="B79" s="31"/>
      <c r="C79" s="166" t="s">
        <v>3112</v>
      </c>
      <c r="D79" s="20" t="s">
        <v>1377</v>
      </c>
      <c r="H79" s="46"/>
    </row>
    <row r="80" spans="1:8" s="19" customFormat="1">
      <c r="A80" s="31"/>
      <c r="B80" s="31"/>
      <c r="C80" s="166" t="s">
        <v>3113</v>
      </c>
      <c r="D80" s="20" t="s">
        <v>1378</v>
      </c>
      <c r="H80" s="46"/>
    </row>
    <row r="81" spans="1:8" s="19" customFormat="1">
      <c r="A81" s="31"/>
      <c r="B81" s="31"/>
      <c r="C81" s="166" t="s">
        <v>3114</v>
      </c>
      <c r="D81" s="20" t="s">
        <v>1092</v>
      </c>
      <c r="H81" s="46"/>
    </row>
    <row r="82" spans="1:8" s="19" customFormat="1">
      <c r="A82" s="31"/>
      <c r="B82" s="31"/>
      <c r="C82" s="166" t="s">
        <v>3115</v>
      </c>
      <c r="D82" s="20" t="s">
        <v>1096</v>
      </c>
      <c r="H82" s="46"/>
    </row>
    <row r="83" spans="1:8" s="19" customFormat="1">
      <c r="A83" s="31"/>
      <c r="B83" s="31"/>
      <c r="C83" s="166" t="s">
        <v>3116</v>
      </c>
      <c r="D83" s="20" t="s">
        <v>1534</v>
      </c>
      <c r="H83" s="46"/>
    </row>
    <row r="84" spans="1:8" s="19" customFormat="1">
      <c r="A84" s="31"/>
      <c r="B84" s="31"/>
      <c r="C84" s="166" t="s">
        <v>3117</v>
      </c>
      <c r="D84" s="20" t="s">
        <v>1093</v>
      </c>
      <c r="H84" s="46"/>
    </row>
    <row r="85" spans="1:8" s="19" customFormat="1">
      <c r="A85" s="31"/>
      <c r="B85" s="31"/>
      <c r="C85" s="166" t="s">
        <v>3118</v>
      </c>
      <c r="D85" s="20" t="s">
        <v>1097</v>
      </c>
      <c r="H85" s="46"/>
    </row>
    <row r="86" spans="1:8" s="19" customFormat="1">
      <c r="A86" s="22"/>
      <c r="B86" s="23"/>
      <c r="C86" s="432"/>
    </row>
    <row r="87" spans="1:8" s="19" customFormat="1">
      <c r="A87" s="34">
        <v>7</v>
      </c>
      <c r="B87" s="165" t="s">
        <v>2682</v>
      </c>
      <c r="C87" s="430"/>
      <c r="D87" s="31"/>
      <c r="H87" s="21"/>
    </row>
    <row r="88" spans="1:8" s="19" customFormat="1">
      <c r="A88" s="31"/>
      <c r="B88" s="31"/>
      <c r="C88" s="166" t="s">
        <v>3119</v>
      </c>
      <c r="D88" s="20" t="s">
        <v>1073</v>
      </c>
      <c r="H88" s="46"/>
    </row>
    <row r="89" spans="1:8" s="19" customFormat="1">
      <c r="A89" s="31"/>
      <c r="B89" s="31"/>
      <c r="C89" s="166" t="s">
        <v>3120</v>
      </c>
      <c r="D89" s="20" t="s">
        <v>3131</v>
      </c>
      <c r="H89" s="46"/>
    </row>
    <row r="90" spans="1:8" s="19" customFormat="1">
      <c r="A90" s="31"/>
      <c r="B90" s="31"/>
      <c r="C90" s="166" t="s">
        <v>3121</v>
      </c>
      <c r="D90" s="20" t="s">
        <v>3132</v>
      </c>
      <c r="H90" s="46"/>
    </row>
    <row r="91" spans="1:8" s="19" customFormat="1">
      <c r="A91" s="31"/>
      <c r="B91" s="31"/>
      <c r="C91" s="166" t="s">
        <v>3122</v>
      </c>
      <c r="D91" s="20" t="s">
        <v>1075</v>
      </c>
      <c r="H91" s="46"/>
    </row>
    <row r="92" spans="1:8" s="19" customFormat="1">
      <c r="A92" s="31"/>
      <c r="B92" s="31"/>
      <c r="C92" s="166" t="s">
        <v>3123</v>
      </c>
      <c r="D92" s="20" t="s">
        <v>1076</v>
      </c>
      <c r="H92" s="46"/>
    </row>
    <row r="93" spans="1:8" s="19" customFormat="1">
      <c r="A93" s="31"/>
      <c r="B93" s="31"/>
      <c r="C93" s="166" t="s">
        <v>3124</v>
      </c>
      <c r="D93" s="20" t="s">
        <v>3133</v>
      </c>
      <c r="H93" s="46"/>
    </row>
    <row r="94" spans="1:8" s="19" customFormat="1">
      <c r="A94" s="31"/>
      <c r="B94" s="31"/>
      <c r="C94" s="166" t="s">
        <v>3125</v>
      </c>
      <c r="D94" s="20" t="s">
        <v>3136</v>
      </c>
      <c r="H94" s="46"/>
    </row>
    <row r="95" spans="1:8" s="19" customFormat="1">
      <c r="A95" s="31"/>
      <c r="B95" s="31"/>
      <c r="C95" s="166" t="s">
        <v>3126</v>
      </c>
      <c r="D95" s="20" t="s">
        <v>1325</v>
      </c>
      <c r="H95" s="46"/>
    </row>
    <row r="96" spans="1:8" s="19" customFormat="1">
      <c r="A96" s="31"/>
      <c r="B96" s="31"/>
      <c r="C96" s="166" t="s">
        <v>3127</v>
      </c>
      <c r="D96" s="20" t="s">
        <v>3137</v>
      </c>
      <c r="H96" s="46"/>
    </row>
    <row r="97" spans="1:8" s="19" customFormat="1">
      <c r="A97" s="31"/>
      <c r="B97" s="31"/>
      <c r="C97" s="166" t="s">
        <v>3128</v>
      </c>
      <c r="D97" s="20" t="s">
        <v>3134</v>
      </c>
      <c r="H97" s="46"/>
    </row>
    <row r="98" spans="1:8" s="19" customFormat="1">
      <c r="A98" s="31"/>
      <c r="B98" s="31"/>
      <c r="C98" s="166" t="s">
        <v>3129</v>
      </c>
      <c r="D98" s="20" t="s">
        <v>1077</v>
      </c>
      <c r="H98" s="46"/>
    </row>
    <row r="99" spans="1:8" s="19" customFormat="1">
      <c r="A99" s="31"/>
      <c r="B99" s="31"/>
      <c r="C99" s="166" t="s">
        <v>3130</v>
      </c>
      <c r="D99" s="20" t="s">
        <v>3135</v>
      </c>
      <c r="H99" s="46"/>
    </row>
    <row r="100" spans="1:8" s="19" customFormat="1">
      <c r="A100" s="31"/>
      <c r="B100" s="31"/>
      <c r="C100" s="166"/>
      <c r="D100" s="20"/>
    </row>
    <row r="101" spans="1:8" s="19" customFormat="1">
      <c r="B101" s="24"/>
      <c r="C101" s="433"/>
      <c r="D101" s="25" t="s">
        <v>39</v>
      </c>
      <c r="F101" s="24"/>
      <c r="G101" s="24"/>
      <c r="H101" s="29" t="s">
        <v>40</v>
      </c>
    </row>
    <row r="102" spans="1:8" s="19" customFormat="1">
      <c r="C102" s="429"/>
      <c r="D102" s="46" t="s">
        <v>19</v>
      </c>
      <c r="E102" s="24"/>
      <c r="G102" s="24"/>
      <c r="H102" s="46"/>
    </row>
    <row r="103" spans="1:8" s="19" customFormat="1">
      <c r="C103" s="429"/>
      <c r="D103" s="46" t="s">
        <v>19</v>
      </c>
      <c r="E103" s="24"/>
      <c r="F103" s="24"/>
      <c r="G103" s="24"/>
      <c r="H103" s="46"/>
    </row>
    <row r="104" spans="1:8" s="19" customFormat="1">
      <c r="C104" s="429"/>
      <c r="D104" s="46" t="s">
        <v>19</v>
      </c>
      <c r="E104" s="24"/>
      <c r="F104" s="24"/>
      <c r="G104" s="24"/>
      <c r="H104" s="46"/>
    </row>
    <row r="105" spans="1:8" s="19" customFormat="1">
      <c r="C105" s="429"/>
      <c r="D105" s="24"/>
      <c r="E105" s="24"/>
      <c r="F105" s="24"/>
      <c r="G105" s="24"/>
      <c r="H105" s="21"/>
    </row>
    <row r="106" spans="1:8" s="19" customFormat="1" ht="38.25">
      <c r="B106" s="24"/>
      <c r="C106" s="433"/>
      <c r="D106" s="26" t="s">
        <v>20</v>
      </c>
      <c r="E106" s="27"/>
      <c r="G106" s="24"/>
      <c r="H106" s="24"/>
    </row>
    <row r="107" spans="1:8" s="19" customFormat="1">
      <c r="C107" s="429"/>
      <c r="D107" s="24" t="s">
        <v>21</v>
      </c>
      <c r="E107" s="28"/>
      <c r="F107" s="28"/>
      <c r="G107" s="24"/>
      <c r="H107" s="46"/>
    </row>
    <row r="108" spans="1:8" s="19" customFormat="1">
      <c r="C108" s="429"/>
      <c r="D108" s="24" t="s">
        <v>22</v>
      </c>
      <c r="E108" s="24"/>
      <c r="F108" s="24"/>
      <c r="G108" s="24"/>
      <c r="H108" s="46"/>
    </row>
    <row r="109" spans="1:8" s="19" customFormat="1">
      <c r="C109" s="429"/>
      <c r="D109" s="24" t="s">
        <v>23</v>
      </c>
      <c r="E109" s="24"/>
      <c r="F109" s="24"/>
      <c r="G109" s="24"/>
      <c r="H109" s="46"/>
    </row>
    <row r="110" spans="1:8" s="19" customFormat="1">
      <c r="C110" s="429"/>
      <c r="D110" s="24" t="s">
        <v>24</v>
      </c>
      <c r="E110" s="24"/>
      <c r="F110" s="24"/>
      <c r="G110" s="24"/>
      <c r="H110" s="46"/>
    </row>
    <row r="111" spans="1:8" s="19" customFormat="1">
      <c r="C111" s="429"/>
      <c r="D111" s="24" t="s">
        <v>25</v>
      </c>
      <c r="E111" s="24"/>
      <c r="F111" s="24"/>
      <c r="G111" s="24"/>
      <c r="H111" s="46"/>
    </row>
    <row r="112" spans="1:8" s="19" customFormat="1">
      <c r="C112" s="429"/>
      <c r="D112" s="24" t="s">
        <v>26</v>
      </c>
      <c r="E112" s="24"/>
      <c r="F112" s="24"/>
      <c r="G112" s="24"/>
      <c r="H112" s="46"/>
    </row>
    <row r="113" spans="3:8" s="19" customFormat="1">
      <c r="C113" s="429"/>
      <c r="D113" s="24" t="s">
        <v>27</v>
      </c>
      <c r="E113" s="24"/>
      <c r="F113" s="24"/>
      <c r="G113" s="24"/>
      <c r="H113" s="46"/>
    </row>
    <row r="114" spans="3:8" s="19" customFormat="1">
      <c r="C114" s="429"/>
      <c r="D114" s="24" t="s">
        <v>28</v>
      </c>
      <c r="E114" s="24"/>
      <c r="F114" s="24"/>
      <c r="G114" s="24"/>
      <c r="H114" s="46"/>
    </row>
    <row r="115" spans="3:8" s="19" customFormat="1">
      <c r="C115" s="429"/>
      <c r="D115" s="24" t="s">
        <v>29</v>
      </c>
      <c r="E115" s="24"/>
      <c r="F115" s="24"/>
      <c r="G115" s="24"/>
      <c r="H115" s="46"/>
    </row>
    <row r="116" spans="3:8" s="19" customFormat="1">
      <c r="C116" s="429"/>
      <c r="D116" s="24" t="s">
        <v>30</v>
      </c>
      <c r="E116" s="24"/>
      <c r="F116" s="24"/>
      <c r="G116" s="24"/>
      <c r="H116" s="46"/>
    </row>
    <row r="117" spans="3:8" s="19" customFormat="1">
      <c r="C117" s="429"/>
      <c r="D117" s="24" t="s">
        <v>31</v>
      </c>
      <c r="E117" s="24"/>
      <c r="F117" s="24"/>
      <c r="G117" s="24"/>
      <c r="H117" s="46"/>
    </row>
    <row r="118" spans="3:8" s="19" customFormat="1">
      <c r="C118" s="429"/>
      <c r="D118" s="24" t="s">
        <v>32</v>
      </c>
      <c r="E118" s="24"/>
      <c r="F118" s="24"/>
      <c r="G118" s="24"/>
      <c r="H118" s="46"/>
    </row>
    <row r="119" spans="3:8" s="19" customFormat="1">
      <c r="C119" s="429"/>
      <c r="D119" s="24" t="s">
        <v>33</v>
      </c>
      <c r="E119" s="24"/>
      <c r="F119" s="24"/>
      <c r="G119" s="24"/>
      <c r="H119" s="46"/>
    </row>
    <row r="120" spans="3:8" s="19" customFormat="1">
      <c r="C120" s="429"/>
      <c r="D120" s="24" t="s">
        <v>34</v>
      </c>
      <c r="E120" s="24"/>
      <c r="F120" s="24"/>
      <c r="G120" s="24"/>
      <c r="H120" s="46"/>
    </row>
    <row r="121" spans="3:8" s="19" customFormat="1">
      <c r="C121" s="429"/>
      <c r="D121" s="24"/>
      <c r="E121" s="24"/>
      <c r="F121" s="24"/>
      <c r="G121" s="24"/>
      <c r="H121" s="24"/>
    </row>
    <row r="122" spans="3:8" s="19" customFormat="1">
      <c r="C122" s="429"/>
    </row>
    <row r="123" spans="3:8" s="19" customFormat="1" hidden="1">
      <c r="C123" s="429"/>
    </row>
    <row r="124" spans="3:8" s="19" customFormat="1" hidden="1">
      <c r="C124" s="429"/>
    </row>
    <row r="125" spans="3:8" s="19" customFormat="1" hidden="1">
      <c r="C125" s="429"/>
    </row>
    <row r="126" spans="3:8" s="19" customFormat="1" hidden="1">
      <c r="C126" s="429"/>
    </row>
    <row r="127" spans="3:8" s="19" customFormat="1" hidden="1">
      <c r="C127" s="429"/>
    </row>
    <row r="128" spans="3:8" s="19" customFormat="1" hidden="1">
      <c r="C128" s="429"/>
    </row>
    <row r="129" spans="3:3" s="19" customFormat="1" hidden="1">
      <c r="C129" s="429"/>
    </row>
    <row r="130" spans="3:3" s="19" customFormat="1" hidden="1">
      <c r="C130" s="429"/>
    </row>
    <row r="131" spans="3:3" s="19" customFormat="1" hidden="1">
      <c r="C131" s="429"/>
    </row>
    <row r="132" spans="3:3" s="19" customFormat="1" hidden="1">
      <c r="C132" s="429"/>
    </row>
    <row r="133" spans="3:3" s="19" customFormat="1" hidden="1">
      <c r="C133" s="429"/>
    </row>
    <row r="134" spans="3:3" s="19" customFormat="1" hidden="1">
      <c r="C134" s="429"/>
    </row>
    <row r="135" spans="3:3" s="19" customFormat="1" hidden="1">
      <c r="C135" s="429"/>
    </row>
    <row r="136" spans="3:3" s="19" customFormat="1" hidden="1">
      <c r="C136" s="429"/>
    </row>
    <row r="137" spans="3:3" s="19" customFormat="1" hidden="1">
      <c r="C137" s="429"/>
    </row>
    <row r="138" spans="3:3" s="19" customFormat="1" hidden="1">
      <c r="C138" s="429"/>
    </row>
    <row r="139" spans="3:3" s="19" customFormat="1" hidden="1">
      <c r="C139" s="429"/>
    </row>
    <row r="140" spans="3:3" s="19" customFormat="1" hidden="1">
      <c r="C140" s="429"/>
    </row>
    <row r="141" spans="3:3" s="19" customFormat="1" hidden="1">
      <c r="C141" s="429"/>
    </row>
    <row r="142" spans="3:3" s="19" customFormat="1" hidden="1">
      <c r="C142" s="429"/>
    </row>
    <row r="143" spans="3:3" s="19" customFormat="1" hidden="1">
      <c r="C143" s="429"/>
    </row>
    <row r="144" spans="3:3" s="19" customFormat="1" hidden="1">
      <c r="C144" s="429"/>
    </row>
    <row r="145" spans="3:3" s="19" customFormat="1" hidden="1">
      <c r="C145" s="429"/>
    </row>
    <row r="146" spans="3:3" s="19" customFormat="1" hidden="1">
      <c r="C146" s="429"/>
    </row>
    <row r="147" spans="3:3" s="19" customFormat="1" hidden="1">
      <c r="C147" s="429"/>
    </row>
    <row r="148" spans="3:3" s="19" customFormat="1" hidden="1">
      <c r="C148" s="429"/>
    </row>
    <row r="149" spans="3:3" s="19" customFormat="1" hidden="1">
      <c r="C149" s="429"/>
    </row>
    <row r="150" spans="3:3" s="19" customFormat="1" hidden="1">
      <c r="C150" s="429"/>
    </row>
    <row r="151" spans="3:3" s="19" customFormat="1" hidden="1">
      <c r="C151" s="429"/>
    </row>
    <row r="152" spans="3:3" s="19" customFormat="1" hidden="1">
      <c r="C152" s="429"/>
    </row>
    <row r="153" spans="3:3" s="19" customFormat="1" hidden="1">
      <c r="C153" s="429"/>
    </row>
    <row r="154" spans="3:3" s="19" customFormat="1" hidden="1">
      <c r="C154" s="429"/>
    </row>
    <row r="155" spans="3:3" s="19" customFormat="1" hidden="1">
      <c r="C155" s="429"/>
    </row>
    <row r="156" spans="3:3" s="19" customFormat="1" hidden="1">
      <c r="C156" s="429"/>
    </row>
    <row r="157" spans="3:3" s="19" customFormat="1" hidden="1">
      <c r="C157" s="429"/>
    </row>
    <row r="158" spans="3:3" s="19" customFormat="1" hidden="1">
      <c r="C158" s="429"/>
    </row>
    <row r="159" spans="3:3" s="19" customFormat="1" hidden="1">
      <c r="C159" s="429"/>
    </row>
    <row r="160" spans="3:3" s="19" customFormat="1" hidden="1">
      <c r="C160" s="429"/>
    </row>
    <row r="161" spans="3:3" s="19" customFormat="1" hidden="1">
      <c r="C161" s="429"/>
    </row>
    <row r="162" spans="3:3" s="19" customFormat="1" hidden="1">
      <c r="C162" s="429"/>
    </row>
    <row r="163" spans="3:3" s="19" customFormat="1" hidden="1">
      <c r="C163" s="429"/>
    </row>
    <row r="164" spans="3:3" s="19" customFormat="1" hidden="1">
      <c r="C164" s="429"/>
    </row>
    <row r="165" spans="3:3" s="19" customFormat="1" hidden="1">
      <c r="C165" s="429"/>
    </row>
    <row r="166" spans="3:3" s="19" customFormat="1" hidden="1">
      <c r="C166" s="429"/>
    </row>
    <row r="167" spans="3:3" s="19" customFormat="1" hidden="1">
      <c r="C167" s="429"/>
    </row>
    <row r="168" spans="3:3" s="19" customFormat="1" hidden="1">
      <c r="C168" s="429"/>
    </row>
    <row r="169" spans="3:3" s="19" customFormat="1" hidden="1">
      <c r="C169" s="429"/>
    </row>
    <row r="170" spans="3:3" s="19" customFormat="1" hidden="1">
      <c r="C170" s="429"/>
    </row>
    <row r="171" spans="3:3" s="19" customFormat="1" hidden="1">
      <c r="C171" s="429"/>
    </row>
    <row r="172" spans="3:3"/>
    <row r="173" spans="3:3"/>
    <row r="174" spans="3:3"/>
    <row r="175" spans="3:3"/>
    <row r="176" spans="3:3"/>
    <row r="177"/>
    <row r="178"/>
    <row r="179"/>
    <row r="180"/>
    <row r="181"/>
    <row r="182"/>
    <row r="183"/>
    <row r="184"/>
    <row r="185"/>
    <row r="186"/>
    <row r="187"/>
    <row r="188"/>
    <row r="189"/>
    <row r="190"/>
    <row r="191"/>
    <row r="192"/>
    <row r="193"/>
    <row r="194"/>
    <row r="195"/>
    <row r="196"/>
  </sheetData>
  <mergeCells count="1">
    <mergeCell ref="H6:H9"/>
  </mergeCells>
  <phoneticPr fontId="5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N36"/>
  <sheetViews>
    <sheetView showGridLines="0" zoomScale="90" zoomScaleNormal="90" workbookViewId="0">
      <pane ySplit="5" topLeftCell="A6" activePane="bottomLeft" state="frozen"/>
      <selection activeCell="F30" sqref="F30"/>
      <selection pane="bottomLeft"/>
    </sheetView>
  </sheetViews>
  <sheetFormatPr defaultColWidth="10.1328125" defaultRowHeight="12.4"/>
  <cols>
    <col min="1" max="1" width="56.1328125" style="939" customWidth="1"/>
    <col min="2" max="2" width="13.86328125" style="939" customWidth="1"/>
    <col min="3" max="7" width="10.1328125" style="939"/>
    <col min="8" max="12" width="12.265625" style="939" customWidth="1"/>
    <col min="13" max="16384" width="10.1328125" style="939"/>
  </cols>
  <sheetData>
    <row r="1" spans="1:14" ht="14.65">
      <c r="A1" s="930" t="s">
        <v>1418</v>
      </c>
      <c r="B1" s="931"/>
      <c r="C1" s="931"/>
      <c r="D1" s="931"/>
      <c r="E1" s="932"/>
      <c r="F1" s="932"/>
      <c r="G1" s="932"/>
      <c r="H1" s="932"/>
      <c r="I1" s="930"/>
      <c r="J1" s="930"/>
      <c r="K1" s="930"/>
      <c r="L1" s="930"/>
    </row>
    <row r="2" spans="1:14" ht="14.65">
      <c r="A2" s="930" t="str">
        <f>'1.1 Cover'!A3</f>
        <v>Price base - 2018/19</v>
      </c>
      <c r="B2" s="935"/>
      <c r="C2" s="935"/>
      <c r="D2" s="935"/>
      <c r="E2" s="930"/>
      <c r="F2" s="930"/>
      <c r="G2" s="930"/>
      <c r="H2" s="930"/>
      <c r="I2" s="930"/>
      <c r="J2" s="930"/>
      <c r="K2" s="930"/>
      <c r="L2" s="930"/>
    </row>
    <row r="3" spans="1:14" ht="33.950000000000003" customHeight="1">
      <c r="A3" s="935" t="s">
        <v>1478</v>
      </c>
      <c r="B3" s="935"/>
      <c r="C3" s="935"/>
      <c r="D3" s="935"/>
      <c r="E3" s="930"/>
      <c r="F3" s="930"/>
      <c r="G3" s="930"/>
      <c r="H3" s="930"/>
      <c r="I3" s="930"/>
      <c r="J3" s="930"/>
      <c r="K3" s="930"/>
      <c r="L3" s="930"/>
    </row>
    <row r="4" spans="1:14" s="950" customFormat="1" ht="13.5">
      <c r="A4" s="961"/>
      <c r="B4" s="961"/>
      <c r="C4" s="961"/>
      <c r="D4" s="962"/>
      <c r="E4" s="933"/>
      <c r="F4" s="933"/>
      <c r="G4" s="933"/>
      <c r="H4" s="933"/>
      <c r="I4" s="933"/>
      <c r="J4" s="933"/>
      <c r="K4" s="933"/>
      <c r="L4" s="933"/>
      <c r="M4" s="963"/>
    </row>
    <row r="5" spans="1:14" s="950" customFormat="1" ht="17.649999999999999">
      <c r="A5" s="964"/>
      <c r="B5" s="961"/>
      <c r="C5" s="961"/>
      <c r="D5" s="961"/>
      <c r="F5" s="965"/>
      <c r="G5" s="965"/>
      <c r="H5" s="966" t="s">
        <v>1420</v>
      </c>
      <c r="I5" s="966" t="s">
        <v>1421</v>
      </c>
      <c r="J5" s="966" t="s">
        <v>1422</v>
      </c>
      <c r="K5" s="966" t="s">
        <v>1423</v>
      </c>
      <c r="L5" s="966" t="s">
        <v>1424</v>
      </c>
      <c r="M5" s="967"/>
    </row>
    <row r="6" spans="1:14" s="950" customFormat="1">
      <c r="A6" s="962"/>
      <c r="B6" s="962"/>
      <c r="C6" s="962"/>
      <c r="D6" s="962"/>
      <c r="E6" s="962"/>
      <c r="F6" s="957"/>
      <c r="G6" s="957"/>
      <c r="H6" s="981"/>
      <c r="I6" s="981"/>
      <c r="J6" s="981"/>
      <c r="K6" s="981"/>
      <c r="L6" s="939"/>
      <c r="M6" s="936"/>
      <c r="N6" s="962"/>
    </row>
    <row r="7" spans="1:14" s="950" customFormat="1">
      <c r="A7" s="997" t="s">
        <v>1459</v>
      </c>
      <c r="B7" s="956"/>
      <c r="C7" s="939"/>
      <c r="D7" s="962"/>
      <c r="E7" s="962"/>
      <c r="F7" s="939"/>
      <c r="G7" s="936"/>
      <c r="H7" s="936"/>
      <c r="I7" s="936"/>
      <c r="J7" s="936"/>
      <c r="K7" s="936"/>
      <c r="L7" s="936"/>
      <c r="M7" s="939"/>
      <c r="N7" s="962"/>
    </row>
    <row r="8" spans="1:14">
      <c r="A8" s="997"/>
      <c r="B8" s="956"/>
      <c r="C8" s="956"/>
      <c r="D8" s="962"/>
      <c r="E8" s="962"/>
      <c r="F8" s="956"/>
      <c r="G8" s="936"/>
    </row>
    <row r="9" spans="1:14" ht="15.4">
      <c r="A9" s="940" t="s">
        <v>1426</v>
      </c>
      <c r="B9" s="956" t="s">
        <v>1479</v>
      </c>
      <c r="C9" s="956" t="s">
        <v>1432</v>
      </c>
      <c r="D9" s="962"/>
      <c r="E9" s="962"/>
      <c r="F9" s="956" t="s">
        <v>1428</v>
      </c>
      <c r="G9" s="936"/>
      <c r="H9" s="944" cm="1">
        <f t="array" ref="H9:L9">SOCROTOt</f>
        <v>0</v>
      </c>
      <c r="I9" s="944">
        <v>0</v>
      </c>
      <c r="J9" s="944">
        <v>0</v>
      </c>
      <c r="K9" s="944">
        <v>0</v>
      </c>
      <c r="L9" s="944">
        <v>0</v>
      </c>
      <c r="M9" s="974" t="s">
        <v>2031</v>
      </c>
    </row>
    <row r="10" spans="1:14" ht="15.4">
      <c r="A10" s="940" t="s">
        <v>1429</v>
      </c>
      <c r="B10" s="956" t="s">
        <v>2065</v>
      </c>
      <c r="C10" s="956" t="s">
        <v>1432</v>
      </c>
      <c r="D10" s="962"/>
      <c r="E10" s="962"/>
      <c r="F10" s="956" t="s">
        <v>1428</v>
      </c>
      <c r="G10" s="936"/>
      <c r="H10" s="944" cm="1">
        <f t="array" ref="H10:L10">SOCROTROt</f>
        <v>0</v>
      </c>
      <c r="I10" s="944">
        <v>0</v>
      </c>
      <c r="J10" s="944">
        <v>0</v>
      </c>
      <c r="K10" s="944">
        <v>0</v>
      </c>
      <c r="L10" s="944">
        <v>0</v>
      </c>
      <c r="M10" s="974" t="s">
        <v>2096</v>
      </c>
    </row>
    <row r="11" spans="1:14" s="979" customFormat="1" ht="15.4">
      <c r="A11" s="976" t="s">
        <v>1462</v>
      </c>
      <c r="B11" s="978" t="s">
        <v>2097</v>
      </c>
      <c r="C11" s="978" t="s">
        <v>1432</v>
      </c>
      <c r="D11" s="977"/>
      <c r="E11" s="977"/>
      <c r="F11" s="978" t="s">
        <v>1428</v>
      </c>
      <c r="G11" s="984"/>
      <c r="H11" s="702">
        <f>H9-H10</f>
        <v>0</v>
      </c>
      <c r="I11" s="702">
        <f>I9-I10</f>
        <v>0</v>
      </c>
      <c r="J11" s="702">
        <f>J9-J10</f>
        <v>0</v>
      </c>
      <c r="K11" s="702">
        <f>K9-K10</f>
        <v>0</v>
      </c>
      <c r="L11" s="702">
        <f>L9-L10</f>
        <v>0</v>
      </c>
    </row>
    <row r="13" spans="1:14">
      <c r="A13" s="969" t="s">
        <v>1463</v>
      </c>
      <c r="B13" s="956"/>
      <c r="D13" s="962"/>
      <c r="E13" s="962"/>
      <c r="G13" s="936"/>
      <c r="H13" s="971"/>
      <c r="I13" s="971"/>
      <c r="J13" s="972"/>
      <c r="K13" s="972"/>
      <c r="L13" s="972"/>
    </row>
    <row r="14" spans="1:14">
      <c r="A14" s="969"/>
      <c r="B14" s="956"/>
      <c r="C14" s="956"/>
      <c r="D14" s="962"/>
      <c r="E14" s="962"/>
      <c r="F14" s="956"/>
      <c r="G14" s="936"/>
    </row>
    <row r="15" spans="1:14" ht="15.4">
      <c r="A15" s="940" t="s">
        <v>1426</v>
      </c>
      <c r="B15" s="956" t="s">
        <v>1481</v>
      </c>
      <c r="C15" s="956" t="s">
        <v>1436</v>
      </c>
      <c r="D15" s="962"/>
      <c r="E15" s="962"/>
      <c r="F15" s="956" t="s">
        <v>1428</v>
      </c>
      <c r="G15" s="936"/>
      <c r="H15" s="944" cm="1">
        <f t="array" ref="H15:L15">SOCRITOt</f>
        <v>0</v>
      </c>
      <c r="I15" s="944">
        <v>0</v>
      </c>
      <c r="J15" s="944">
        <v>0</v>
      </c>
      <c r="K15" s="944">
        <v>0</v>
      </c>
      <c r="L15" s="944">
        <v>0</v>
      </c>
      <c r="M15" s="974" t="s">
        <v>2031</v>
      </c>
    </row>
    <row r="16" spans="1:14" ht="15.4">
      <c r="A16" s="940" t="s">
        <v>1429</v>
      </c>
      <c r="B16" s="956" t="s">
        <v>2067</v>
      </c>
      <c r="C16" s="956" t="s">
        <v>1436</v>
      </c>
      <c r="D16" s="962"/>
      <c r="E16" s="962"/>
      <c r="F16" s="956" t="s">
        <v>1428</v>
      </c>
      <c r="G16" s="936"/>
      <c r="H16" s="944" cm="1">
        <f t="array" ref="H16:L16">SOCROTROt</f>
        <v>0</v>
      </c>
      <c r="I16" s="944">
        <v>0</v>
      </c>
      <c r="J16" s="944">
        <v>0</v>
      </c>
      <c r="K16" s="944">
        <v>0</v>
      </c>
      <c r="L16" s="944">
        <v>0</v>
      </c>
      <c r="M16" s="974" t="s">
        <v>2096</v>
      </c>
    </row>
    <row r="17" spans="1:14" s="979" customFormat="1" ht="15.4">
      <c r="A17" s="976" t="s">
        <v>1465</v>
      </c>
      <c r="B17" s="978" t="s">
        <v>2068</v>
      </c>
      <c r="C17" s="978" t="s">
        <v>1436</v>
      </c>
      <c r="D17" s="977"/>
      <c r="E17" s="977"/>
      <c r="F17" s="978" t="s">
        <v>1428</v>
      </c>
      <c r="G17" s="984"/>
      <c r="H17" s="702">
        <f>H15-H16</f>
        <v>0</v>
      </c>
      <c r="I17" s="702">
        <f>I15-I16</f>
        <v>0</v>
      </c>
      <c r="J17" s="702">
        <f>J15-J16</f>
        <v>0</v>
      </c>
      <c r="K17" s="702">
        <f>K15-K16</f>
        <v>0</v>
      </c>
      <c r="L17" s="702">
        <f>L15-L16</f>
        <v>0</v>
      </c>
    </row>
    <row r="19" spans="1:14" s="950" customFormat="1">
      <c r="A19" s="969" t="s">
        <v>1468</v>
      </c>
      <c r="B19" s="939"/>
      <c r="C19" s="939"/>
      <c r="D19" s="962"/>
      <c r="E19" s="962"/>
      <c r="F19" s="939"/>
      <c r="G19" s="936"/>
      <c r="H19" s="970"/>
      <c r="I19" s="971"/>
      <c r="J19" s="972"/>
      <c r="K19" s="972"/>
      <c r="L19" s="972"/>
      <c r="M19" s="939"/>
      <c r="N19" s="962"/>
    </row>
    <row r="20" spans="1:14" s="950" customFormat="1">
      <c r="A20" s="973"/>
      <c r="B20" s="936"/>
      <c r="C20" s="956"/>
      <c r="D20" s="962"/>
      <c r="E20" s="962"/>
      <c r="F20" s="956"/>
      <c r="G20" s="936"/>
      <c r="H20" s="939"/>
      <c r="I20" s="939"/>
      <c r="J20" s="939"/>
      <c r="K20" s="939"/>
      <c r="L20" s="939"/>
      <c r="M20" s="939"/>
      <c r="N20" s="962"/>
    </row>
    <row r="21" spans="1:14" s="950" customFormat="1" ht="15.4">
      <c r="A21" s="940" t="s">
        <v>1426</v>
      </c>
      <c r="B21" s="956" t="s">
        <v>2072</v>
      </c>
      <c r="C21" s="956" t="s">
        <v>1441</v>
      </c>
      <c r="D21" s="962"/>
      <c r="E21" s="962"/>
      <c r="F21" s="956" t="s">
        <v>1428</v>
      </c>
      <c r="G21" s="939"/>
      <c r="H21" s="944" cm="1">
        <f t="array" ref="H21:L21">SONZOt</f>
        <v>0</v>
      </c>
      <c r="I21" s="944">
        <v>0</v>
      </c>
      <c r="J21" s="944">
        <v>0</v>
      </c>
      <c r="K21" s="944">
        <v>0</v>
      </c>
      <c r="L21" s="944">
        <v>0</v>
      </c>
      <c r="M21" s="974" t="s">
        <v>2031</v>
      </c>
      <c r="N21" s="962"/>
    </row>
    <row r="22" spans="1:14" s="950" customFormat="1" ht="15.4">
      <c r="A22" s="940" t="s">
        <v>1429</v>
      </c>
      <c r="B22" s="956" t="s">
        <v>2073</v>
      </c>
      <c r="C22" s="956" t="s">
        <v>1441</v>
      </c>
      <c r="D22" s="962"/>
      <c r="E22" s="962"/>
      <c r="F22" s="956" t="s">
        <v>1428</v>
      </c>
      <c r="G22" s="939"/>
      <c r="H22" s="944" cm="1">
        <f t="array" ref="H22:L22">SONZROt</f>
        <v>0</v>
      </c>
      <c r="I22" s="944">
        <v>0</v>
      </c>
      <c r="J22" s="944">
        <v>0</v>
      </c>
      <c r="K22" s="944">
        <v>0</v>
      </c>
      <c r="L22" s="944">
        <v>0</v>
      </c>
      <c r="M22" s="974" t="s">
        <v>2096</v>
      </c>
      <c r="N22" s="962"/>
    </row>
    <row r="23" spans="1:14" s="980" customFormat="1" ht="15.4">
      <c r="A23" s="976" t="s">
        <v>2098</v>
      </c>
      <c r="B23" s="978" t="s">
        <v>2074</v>
      </c>
      <c r="C23" s="978" t="s">
        <v>1441</v>
      </c>
      <c r="D23" s="977"/>
      <c r="E23" s="977"/>
      <c r="F23" s="978" t="s">
        <v>1428</v>
      </c>
      <c r="G23" s="979"/>
      <c r="H23" s="702">
        <f>H21-H22</f>
        <v>0</v>
      </c>
      <c r="I23" s="702">
        <f>I21-I22</f>
        <v>0</v>
      </c>
      <c r="J23" s="702">
        <f>J21-J22</f>
        <v>0</v>
      </c>
      <c r="K23" s="702">
        <f>K21-K22</f>
        <v>0</v>
      </c>
      <c r="L23" s="702">
        <f>L21-L22</f>
        <v>0</v>
      </c>
      <c r="M23" s="979"/>
      <c r="N23" s="977"/>
    </row>
    <row r="24" spans="1:14" s="950" customFormat="1">
      <c r="A24" s="939"/>
      <c r="B24" s="939"/>
      <c r="C24" s="956"/>
      <c r="D24" s="962"/>
      <c r="E24" s="962"/>
      <c r="F24" s="956"/>
      <c r="G24" s="939"/>
      <c r="H24" s="939"/>
      <c r="I24" s="939"/>
      <c r="J24" s="939"/>
      <c r="K24" s="939"/>
      <c r="L24" s="939"/>
      <c r="M24" s="939"/>
      <c r="N24" s="962"/>
    </row>
    <row r="25" spans="1:14" s="950" customFormat="1">
      <c r="A25" s="939"/>
      <c r="B25" s="939"/>
      <c r="C25" s="956"/>
      <c r="D25" s="962"/>
      <c r="E25" s="962"/>
      <c r="F25" s="956"/>
      <c r="G25" s="939"/>
      <c r="H25" s="939"/>
      <c r="I25" s="939"/>
      <c r="J25" s="939"/>
      <c r="K25" s="939"/>
      <c r="L25" s="939"/>
      <c r="M25" s="939"/>
      <c r="N25" s="962"/>
    </row>
    <row r="26" spans="1:14" ht="13.5">
      <c r="A26" s="990" t="s">
        <v>1997</v>
      </c>
      <c r="B26" s="967"/>
      <c r="C26" s="956"/>
      <c r="D26" s="962"/>
      <c r="E26" s="962"/>
      <c r="F26" s="956"/>
      <c r="G26" s="967"/>
      <c r="H26" s="963"/>
      <c r="I26" s="963"/>
      <c r="J26" s="963"/>
      <c r="K26" s="963"/>
      <c r="L26" s="963"/>
    </row>
    <row r="27" spans="1:14" ht="13.5">
      <c r="A27" s="996"/>
      <c r="B27" s="967"/>
      <c r="C27" s="956"/>
      <c r="D27" s="962"/>
      <c r="E27" s="962"/>
      <c r="F27" s="956"/>
      <c r="G27" s="967"/>
      <c r="H27" s="963"/>
      <c r="I27" s="963"/>
      <c r="J27" s="963"/>
      <c r="K27" s="963"/>
      <c r="L27" s="963"/>
    </row>
    <row r="28" spans="1:14" s="979" customFormat="1" ht="15.4">
      <c r="A28" s="976" t="s">
        <v>1426</v>
      </c>
      <c r="B28" s="975" t="s">
        <v>2076</v>
      </c>
      <c r="C28" s="976" t="s">
        <v>1489</v>
      </c>
      <c r="D28" s="977"/>
      <c r="E28" s="977"/>
      <c r="F28" s="978" t="s">
        <v>1428</v>
      </c>
      <c r="H28" s="944" cm="1">
        <f t="array" ref="H28:L28">SONOITt</f>
        <v>0</v>
      </c>
      <c r="I28" s="944">
        <v>0</v>
      </c>
      <c r="J28" s="944">
        <v>0</v>
      </c>
      <c r="K28" s="944">
        <v>0</v>
      </c>
      <c r="L28" s="944">
        <v>0</v>
      </c>
      <c r="M28" s="974" t="s">
        <v>2062</v>
      </c>
    </row>
    <row r="29" spans="1:14" s="979" customFormat="1" ht="12.75">
      <c r="A29" s="976"/>
      <c r="B29" s="975"/>
      <c r="C29" s="976"/>
      <c r="D29" s="977"/>
      <c r="E29" s="977"/>
      <c r="F29" s="978"/>
      <c r="M29" s="974"/>
    </row>
    <row r="30" spans="1:14" s="979" customFormat="1" ht="12.75">
      <c r="A30" s="976"/>
      <c r="B30" s="975"/>
      <c r="C30" s="976"/>
      <c r="D30" s="977"/>
      <c r="E30" s="977"/>
      <c r="F30" s="978"/>
      <c r="M30" s="974"/>
    </row>
    <row r="31" spans="1:14">
      <c r="A31" s="969" t="s">
        <v>1474</v>
      </c>
      <c r="D31" s="962"/>
      <c r="E31" s="962"/>
      <c r="G31" s="979"/>
      <c r="H31" s="979"/>
      <c r="I31" s="979"/>
      <c r="J31" s="979"/>
      <c r="K31" s="979"/>
      <c r="L31" s="979"/>
    </row>
    <row r="32" spans="1:14">
      <c r="A32" s="973"/>
      <c r="B32" s="936"/>
      <c r="C32" s="956"/>
      <c r="D32" s="962"/>
      <c r="E32" s="962"/>
      <c r="F32" s="956"/>
      <c r="G32" s="936"/>
    </row>
    <row r="33" spans="1:13" ht="15.4">
      <c r="A33" s="940" t="s">
        <v>1426</v>
      </c>
      <c r="B33" s="942" t="s">
        <v>2088</v>
      </c>
      <c r="C33" s="940" t="s">
        <v>1451</v>
      </c>
      <c r="D33" s="962"/>
      <c r="E33" s="962"/>
      <c r="F33" s="956" t="s">
        <v>1428</v>
      </c>
      <c r="H33" s="944" cm="1">
        <f t="array" ref="H33:L33">SOFIOCOt</f>
        <v>0</v>
      </c>
      <c r="I33" s="944">
        <v>0</v>
      </c>
      <c r="J33" s="944">
        <v>0</v>
      </c>
      <c r="K33" s="944">
        <v>0</v>
      </c>
      <c r="L33" s="944">
        <v>0</v>
      </c>
      <c r="M33" s="974" t="s">
        <v>2031</v>
      </c>
    </row>
    <row r="34" spans="1:13" ht="15.4">
      <c r="A34" s="940" t="s">
        <v>1429</v>
      </c>
      <c r="B34" s="942" t="s">
        <v>2089</v>
      </c>
      <c r="C34" s="940" t="s">
        <v>1451</v>
      </c>
      <c r="D34" s="962"/>
      <c r="E34" s="962"/>
      <c r="F34" s="956" t="s">
        <v>1428</v>
      </c>
      <c r="H34" s="944" cm="1">
        <f t="array" ref="H34:L34">SOFIOCROt</f>
        <v>0</v>
      </c>
      <c r="I34" s="944">
        <v>0</v>
      </c>
      <c r="J34" s="944">
        <v>0</v>
      </c>
      <c r="K34" s="944">
        <v>0</v>
      </c>
      <c r="L34" s="944">
        <v>0</v>
      </c>
      <c r="M34" s="974" t="s">
        <v>2096</v>
      </c>
    </row>
    <row r="35" spans="1:13" s="979" customFormat="1" ht="15.4">
      <c r="A35" s="976" t="s">
        <v>1474</v>
      </c>
      <c r="B35" s="978" t="s">
        <v>2090</v>
      </c>
      <c r="C35" s="976" t="s">
        <v>1451</v>
      </c>
      <c r="D35" s="977"/>
      <c r="E35" s="977"/>
      <c r="F35" s="978" t="s">
        <v>1428</v>
      </c>
      <c r="H35" s="702">
        <f>H33-H34</f>
        <v>0</v>
      </c>
      <c r="I35" s="702">
        <f>I33-I34</f>
        <v>0</v>
      </c>
      <c r="J35" s="702">
        <f>J33-J34</f>
        <v>0</v>
      </c>
      <c r="K35" s="702">
        <f>K33-K34</f>
        <v>0</v>
      </c>
      <c r="L35" s="702">
        <f>L33-L34</f>
        <v>0</v>
      </c>
    </row>
    <row r="36" spans="1:13">
      <c r="C36" s="956"/>
      <c r="D36" s="962"/>
      <c r="E36" s="962"/>
      <c r="F36" s="95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E70C2-1FEA-462D-8397-CD614C65468C}">
  <sheetPr>
    <tabColor theme="4" tint="0.79998168889431442"/>
    <pageSetUpPr fitToPage="1"/>
  </sheetPr>
  <dimension ref="A1:P67"/>
  <sheetViews>
    <sheetView showGridLines="0" zoomScale="90" zoomScaleNormal="90" workbookViewId="0">
      <pane ySplit="5" topLeftCell="A6" activePane="bottomLeft" state="frozen"/>
      <selection activeCell="F30" sqref="F30"/>
      <selection pane="bottomLeft"/>
    </sheetView>
  </sheetViews>
  <sheetFormatPr defaultColWidth="10.265625" defaultRowHeight="12.75"/>
  <cols>
    <col min="1" max="1" width="63.1328125" style="1007" customWidth="1"/>
    <col min="2" max="2" width="11" style="1007" bestFit="1" customWidth="1"/>
    <col min="3" max="3" width="8.265625" style="1007" customWidth="1"/>
    <col min="4" max="4" width="5.1328125" style="1007" customWidth="1"/>
    <col min="5" max="5" width="10.59765625" style="1007" bestFit="1" customWidth="1"/>
    <col min="6" max="7" width="11.59765625" style="1007" bestFit="1" customWidth="1"/>
    <col min="8" max="12" width="10.86328125" style="1007" bestFit="1" customWidth="1"/>
    <col min="13" max="16384" width="10.265625" style="1007"/>
  </cols>
  <sheetData>
    <row r="1" spans="1:14" s="1001" customFormat="1" ht="15">
      <c r="A1" s="930" t="s">
        <v>1418</v>
      </c>
      <c r="B1" s="998"/>
      <c r="C1" s="998"/>
      <c r="D1" s="998"/>
      <c r="E1" s="999"/>
      <c r="F1" s="999"/>
      <c r="G1" s="999"/>
      <c r="H1" s="999"/>
      <c r="I1" s="1000"/>
      <c r="J1" s="1000"/>
      <c r="K1" s="1000"/>
      <c r="L1" s="1000"/>
    </row>
    <row r="2" spans="1:14" s="1001" customFormat="1" ht="15">
      <c r="A2" s="930" t="str">
        <f>'1.1 Cover'!A3</f>
        <v>Price base - 2018/19</v>
      </c>
      <c r="B2" s="1002"/>
      <c r="C2" s="1002"/>
      <c r="D2" s="1002"/>
      <c r="E2" s="1000"/>
      <c r="F2" s="1000"/>
      <c r="G2" s="1000"/>
      <c r="H2" s="1000"/>
      <c r="I2" s="1000"/>
      <c r="J2" s="1000"/>
      <c r="K2" s="1000"/>
      <c r="L2" s="1000"/>
    </row>
    <row r="3" spans="1:14" s="1001" customFormat="1" ht="33.950000000000003" customHeight="1">
      <c r="A3" s="1002" t="s">
        <v>1490</v>
      </c>
      <c r="B3" s="1002"/>
      <c r="C3" s="1002"/>
      <c r="D3" s="1002"/>
      <c r="E3" s="1000"/>
      <c r="F3" s="1000"/>
      <c r="G3" s="1000"/>
      <c r="H3" s="1000"/>
      <c r="I3" s="1000"/>
      <c r="J3" s="1000"/>
      <c r="K3" s="1000"/>
      <c r="L3" s="1000"/>
    </row>
    <row r="4" spans="1:14" ht="15.4">
      <c r="A4" s="936" t="s">
        <v>2099</v>
      </c>
      <c r="B4" s="1003"/>
      <c r="C4" s="1003"/>
      <c r="D4" s="1004"/>
      <c r="E4" s="1005"/>
      <c r="F4" s="1005"/>
      <c r="G4" s="1005"/>
      <c r="H4" s="1005"/>
      <c r="I4" s="1005"/>
      <c r="J4" s="1005"/>
      <c r="K4" s="1005"/>
      <c r="L4" s="1005"/>
      <c r="M4" s="1006"/>
    </row>
    <row r="5" spans="1:14" ht="17.649999999999999">
      <c r="A5" s="1008"/>
      <c r="B5" s="1003"/>
      <c r="C5" s="1003"/>
      <c r="D5" s="1003"/>
      <c r="F5" s="1009"/>
      <c r="G5" s="1009"/>
      <c r="H5" s="1010" t="s">
        <v>1420</v>
      </c>
      <c r="I5" s="1010" t="s">
        <v>1421</v>
      </c>
      <c r="J5" s="1010" t="s">
        <v>1422</v>
      </c>
      <c r="K5" s="1010" t="s">
        <v>1423</v>
      </c>
      <c r="L5" s="1010" t="s">
        <v>1424</v>
      </c>
      <c r="M5" s="1011"/>
    </row>
    <row r="6" spans="1:14" ht="13.5">
      <c r="A6" s="1004"/>
      <c r="B6" s="1004"/>
      <c r="C6" s="1004"/>
      <c r="D6" s="1004"/>
      <c r="E6" s="1004"/>
      <c r="F6" s="1009"/>
      <c r="G6" s="1009"/>
      <c r="H6" s="1012"/>
      <c r="I6" s="1012"/>
      <c r="J6" s="1012"/>
      <c r="K6" s="1012"/>
      <c r="L6" s="1006"/>
      <c r="M6" s="1013"/>
      <c r="N6" s="1004"/>
    </row>
    <row r="7" spans="1:14" ht="13.9">
      <c r="A7" s="1014" t="s">
        <v>1491</v>
      </c>
      <c r="B7" s="1015"/>
      <c r="C7" s="1001"/>
      <c r="D7" s="1004"/>
      <c r="E7" s="1004"/>
      <c r="F7" s="1001"/>
      <c r="G7" s="1011"/>
      <c r="H7" s="1011"/>
      <c r="I7" s="1011"/>
      <c r="J7" s="1011"/>
      <c r="K7" s="1011"/>
      <c r="L7" s="1011"/>
      <c r="M7" s="1001"/>
      <c r="N7" s="1004"/>
    </row>
    <row r="8" spans="1:14" ht="13.9">
      <c r="A8" s="1016"/>
      <c r="B8" s="1015"/>
      <c r="C8" s="1001"/>
      <c r="D8" s="1004"/>
      <c r="E8" s="1004"/>
      <c r="F8" s="1001"/>
      <c r="G8" s="1011"/>
      <c r="H8" s="1011"/>
      <c r="I8" s="1011"/>
      <c r="J8" s="1011"/>
      <c r="K8" s="1011"/>
      <c r="L8" s="1011"/>
      <c r="M8" s="1001"/>
      <c r="N8" s="1004"/>
    </row>
    <row r="9" spans="1:14" ht="15">
      <c r="A9" s="1017" t="s">
        <v>1492</v>
      </c>
      <c r="B9" s="1017" t="s">
        <v>2100</v>
      </c>
      <c r="C9" s="1017" t="s">
        <v>1493</v>
      </c>
      <c r="E9" s="1001"/>
      <c r="F9" s="1018" t="s">
        <v>2003</v>
      </c>
      <c r="G9" s="1001"/>
      <c r="H9" s="1020" cm="1">
        <f t="array" ref="H9:L9">TOLFt</f>
        <v>0</v>
      </c>
      <c r="I9" s="1020">
        <v>0</v>
      </c>
      <c r="J9" s="1020">
        <v>0</v>
      </c>
      <c r="K9" s="1020">
        <v>0</v>
      </c>
      <c r="L9" s="1020">
        <v>0</v>
      </c>
      <c r="M9" s="1019" t="s">
        <v>2101</v>
      </c>
    </row>
    <row r="10" spans="1:14" ht="15">
      <c r="A10" s="1017" t="s">
        <v>1494</v>
      </c>
      <c r="B10" s="1017" t="s">
        <v>2102</v>
      </c>
      <c r="C10" s="1017" t="s">
        <v>1493</v>
      </c>
      <c r="E10" s="1001"/>
      <c r="F10" s="1018" t="s">
        <v>2003</v>
      </c>
      <c r="G10" s="1001"/>
      <c r="H10" s="1020" cm="1">
        <f t="array" ref="H10:L10">TORBt</f>
        <v>0</v>
      </c>
      <c r="I10" s="1020">
        <v>0</v>
      </c>
      <c r="J10" s="1020">
        <v>0</v>
      </c>
      <c r="K10" s="1020">
        <v>0</v>
      </c>
      <c r="L10" s="1020">
        <v>0</v>
      </c>
      <c r="M10" s="1019" t="s">
        <v>2101</v>
      </c>
    </row>
    <row r="11" spans="1:14" ht="15">
      <c r="A11" s="1018" t="s">
        <v>1495</v>
      </c>
      <c r="B11" s="1018" t="s">
        <v>2103</v>
      </c>
      <c r="C11" s="1017" t="s">
        <v>1493</v>
      </c>
      <c r="E11" s="1001"/>
      <c r="F11" s="1018" t="s">
        <v>2003</v>
      </c>
      <c r="G11" s="1001"/>
      <c r="H11" s="1020" cm="1">
        <f t="array" ref="H11:L11">TOEDEt</f>
        <v>0</v>
      </c>
      <c r="I11" s="1020">
        <v>0</v>
      </c>
      <c r="J11" s="1020">
        <v>0</v>
      </c>
      <c r="K11" s="1020">
        <v>0</v>
      </c>
      <c r="L11" s="1020">
        <v>0</v>
      </c>
      <c r="M11" s="1019" t="s">
        <v>2101</v>
      </c>
    </row>
    <row r="12" spans="1:14" ht="15">
      <c r="A12" s="1018" t="s">
        <v>1496</v>
      </c>
      <c r="B12" s="1018" t="s">
        <v>2104</v>
      </c>
      <c r="C12" s="1017" t="s">
        <v>1493</v>
      </c>
      <c r="E12" s="1001"/>
      <c r="F12" s="1018" t="s">
        <v>1428</v>
      </c>
      <c r="G12" s="1001"/>
      <c r="H12" s="1020">
        <f>H27</f>
        <v>0</v>
      </c>
      <c r="I12" s="1020">
        <f t="shared" ref="I12:L12" si="0">I27</f>
        <v>0</v>
      </c>
      <c r="J12" s="1020">
        <f t="shared" si="0"/>
        <v>0</v>
      </c>
      <c r="K12" s="1020">
        <f t="shared" si="0"/>
        <v>0</v>
      </c>
      <c r="L12" s="1020">
        <f t="shared" si="0"/>
        <v>0</v>
      </c>
    </row>
    <row r="13" spans="1:14" ht="15">
      <c r="A13" s="1018" t="s">
        <v>1497</v>
      </c>
      <c r="B13" s="1018" t="s">
        <v>2105</v>
      </c>
      <c r="C13" s="1017" t="s">
        <v>1493</v>
      </c>
      <c r="E13" s="1001"/>
      <c r="F13" s="1018" t="s">
        <v>2003</v>
      </c>
      <c r="G13" s="1001"/>
      <c r="H13" s="1020" cm="1">
        <f t="array" ref="H13:L13">TOOPTCt</f>
        <v>0</v>
      </c>
      <c r="I13" s="1020">
        <v>0</v>
      </c>
      <c r="J13" s="1020">
        <v>0</v>
      </c>
      <c r="K13" s="1020">
        <v>0</v>
      </c>
      <c r="L13" s="1020">
        <v>0</v>
      </c>
      <c r="M13" s="1019" t="s">
        <v>2101</v>
      </c>
    </row>
    <row r="14" spans="1:14" ht="15">
      <c r="A14" s="1018" t="s">
        <v>1498</v>
      </c>
      <c r="B14" s="1018" t="s">
        <v>2106</v>
      </c>
      <c r="C14" s="1017" t="s">
        <v>1493</v>
      </c>
      <c r="E14" s="1001"/>
      <c r="F14" s="1018" t="s">
        <v>2003</v>
      </c>
      <c r="G14" s="1001"/>
      <c r="H14" s="1020" cm="1">
        <f t="array" ref="H14:L14">TOPTVt</f>
        <v>0</v>
      </c>
      <c r="I14" s="1020">
        <v>0</v>
      </c>
      <c r="J14" s="1020">
        <v>0</v>
      </c>
      <c r="K14" s="1020">
        <v>0</v>
      </c>
      <c r="L14" s="1020">
        <v>0</v>
      </c>
      <c r="M14" s="1019" t="s">
        <v>2101</v>
      </c>
    </row>
    <row r="15" spans="1:14" ht="15">
      <c r="A15" s="1018" t="s">
        <v>1499</v>
      </c>
      <c r="B15" s="1018" t="s">
        <v>2107</v>
      </c>
      <c r="C15" s="1017" t="s">
        <v>1500</v>
      </c>
      <c r="E15" s="1001"/>
      <c r="F15" s="1018" t="s">
        <v>1428</v>
      </c>
      <c r="G15" s="1001"/>
      <c r="H15" s="1020">
        <f>H38</f>
        <v>6.5662095682106445</v>
      </c>
      <c r="I15" s="1020">
        <f t="shared" ref="I15:L15" si="1">I38</f>
        <v>6.3651571684263457</v>
      </c>
      <c r="J15" s="1020">
        <f t="shared" si="1"/>
        <v>6.2766211162093901</v>
      </c>
      <c r="K15" s="1020">
        <f t="shared" si="1"/>
        <v>6.3356670516854097</v>
      </c>
      <c r="L15" s="1020">
        <f t="shared" si="1"/>
        <v>6.2120807552946236</v>
      </c>
    </row>
    <row r="16" spans="1:14" ht="15">
      <c r="A16" s="1017" t="s">
        <v>1501</v>
      </c>
      <c r="B16" s="1017" t="s">
        <v>2108</v>
      </c>
      <c r="C16" s="1017" t="s">
        <v>1493</v>
      </c>
      <c r="E16" s="1001"/>
      <c r="F16" s="1018" t="s">
        <v>1428</v>
      </c>
      <c r="G16" s="1001"/>
      <c r="H16" s="1020">
        <f>H63</f>
        <v>4.05</v>
      </c>
      <c r="I16" s="1020">
        <f t="shared" ref="I16:L16" si="2">I63</f>
        <v>4.05</v>
      </c>
      <c r="J16" s="1020">
        <f t="shared" si="2"/>
        <v>4.05</v>
      </c>
      <c r="K16" s="1020">
        <f t="shared" si="2"/>
        <v>0</v>
      </c>
      <c r="L16" s="1020">
        <f t="shared" si="2"/>
        <v>0</v>
      </c>
    </row>
    <row r="17" spans="1:16" ht="15">
      <c r="A17" s="1017" t="s">
        <v>1954</v>
      </c>
      <c r="B17" s="1017" t="s">
        <v>2109</v>
      </c>
      <c r="C17" s="1017" t="s">
        <v>1493</v>
      </c>
      <c r="E17" s="1001"/>
      <c r="F17" s="1018" t="s">
        <v>2003</v>
      </c>
      <c r="G17" s="1001"/>
      <c r="H17" s="1020" cm="1">
        <f t="array" ref="H17:L17">TONZPSt</f>
        <v>0</v>
      </c>
      <c r="I17" s="1020">
        <v>0</v>
      </c>
      <c r="J17" s="1020">
        <v>0</v>
      </c>
      <c r="K17" s="1020">
        <v>0</v>
      </c>
      <c r="L17" s="1020">
        <v>0</v>
      </c>
      <c r="M17" s="1019" t="s">
        <v>2101</v>
      </c>
    </row>
    <row r="19" spans="1:16" ht="13.15" thickBot="1">
      <c r="B19" s="1021"/>
    </row>
    <row r="20" spans="1:16" ht="13.9">
      <c r="A20" s="1022" t="s">
        <v>1502</v>
      </c>
      <c r="B20" s="1023"/>
      <c r="C20" s="1024"/>
      <c r="D20" s="1024"/>
      <c r="E20" s="1024"/>
      <c r="F20" s="1025"/>
      <c r="G20" s="1025"/>
      <c r="H20" s="1025"/>
      <c r="I20" s="1025"/>
      <c r="J20" s="1025"/>
      <c r="K20" s="1025"/>
      <c r="L20" s="1025"/>
      <c r="M20" s="1025"/>
      <c r="N20" s="1025"/>
      <c r="O20" s="1024"/>
      <c r="P20" s="1026"/>
    </row>
    <row r="21" spans="1:16">
      <c r="A21" s="1027"/>
      <c r="B21" s="1021"/>
      <c r="F21" s="1001"/>
      <c r="G21" s="1001"/>
      <c r="N21" s="1001"/>
      <c r="P21" s="1028"/>
    </row>
    <row r="22" spans="1:16">
      <c r="A22" s="1027" t="s">
        <v>1503</v>
      </c>
      <c r="B22" s="1021"/>
      <c r="F22" s="1015" t="s">
        <v>2110</v>
      </c>
      <c r="H22" s="1020" cm="1">
        <f t="array" ref="H22:L22">TOProvisionalBadDebtcost</f>
        <v>0</v>
      </c>
      <c r="I22" s="1020">
        <v>0</v>
      </c>
      <c r="J22" s="1020">
        <v>0</v>
      </c>
      <c r="K22" s="1020">
        <v>0</v>
      </c>
      <c r="L22" s="1020">
        <v>0</v>
      </c>
      <c r="M22" s="974" t="s">
        <v>2111</v>
      </c>
      <c r="P22" s="1028"/>
    </row>
    <row r="23" spans="1:16">
      <c r="A23" s="1027" t="s">
        <v>1504</v>
      </c>
      <c r="B23" s="1001"/>
      <c r="F23" s="1015" t="s">
        <v>2110</v>
      </c>
      <c r="H23" s="1020" cm="1">
        <f t="array" ref="H23:L23">TOActualBadDebtcostincurred</f>
        <v>0</v>
      </c>
      <c r="I23" s="1020">
        <v>0</v>
      </c>
      <c r="J23" s="1020">
        <v>0</v>
      </c>
      <c r="K23" s="1020">
        <v>0</v>
      </c>
      <c r="L23" s="1020">
        <v>0</v>
      </c>
      <c r="M23" s="974" t="s">
        <v>2111</v>
      </c>
      <c r="P23" s="1028"/>
    </row>
    <row r="24" spans="1:16">
      <c r="A24" s="1029" t="s">
        <v>1505</v>
      </c>
      <c r="B24" s="1001"/>
      <c r="F24" s="1015" t="s">
        <v>2110</v>
      </c>
      <c r="H24" s="1020" cm="1">
        <f t="array" ref="H24:L24">TOInterestincomeaccruedadjustment</f>
        <v>0</v>
      </c>
      <c r="I24" s="1020">
        <v>0</v>
      </c>
      <c r="J24" s="1020">
        <v>0</v>
      </c>
      <c r="K24" s="1020">
        <v>0</v>
      </c>
      <c r="L24" s="1020">
        <v>0</v>
      </c>
      <c r="M24" s="974" t="s">
        <v>2111</v>
      </c>
      <c r="P24" s="1028"/>
    </row>
    <row r="25" spans="1:16" ht="15">
      <c r="A25" s="1029" t="s">
        <v>1506</v>
      </c>
      <c r="B25" s="1030" t="s">
        <v>1507</v>
      </c>
      <c r="C25" s="1017" t="s">
        <v>1493</v>
      </c>
      <c r="F25" s="1015" t="s">
        <v>2110</v>
      </c>
      <c r="H25" s="1031">
        <f>SUM(H22:H24)</f>
        <v>0</v>
      </c>
      <c r="I25" s="1031">
        <f t="shared" ref="I25:L25" si="3">SUM(I22:I24)</f>
        <v>0</v>
      </c>
      <c r="J25" s="1031">
        <f t="shared" si="3"/>
        <v>0</v>
      </c>
      <c r="K25" s="1031">
        <f t="shared" si="3"/>
        <v>0</v>
      </c>
      <c r="L25" s="1031">
        <f t="shared" si="3"/>
        <v>0</v>
      </c>
      <c r="P25" s="1028"/>
    </row>
    <row r="26" spans="1:16" ht="15">
      <c r="A26" s="1029" t="s">
        <v>1508</v>
      </c>
      <c r="B26" s="1032" t="s">
        <v>1509</v>
      </c>
      <c r="C26" s="1017" t="s">
        <v>1493</v>
      </c>
      <c r="F26" s="1015" t="s">
        <v>2110</v>
      </c>
      <c r="H26" s="1020" cm="1">
        <f t="array" ref="H26:L26">TORBDt</f>
        <v>0</v>
      </c>
      <c r="I26" s="1020">
        <v>0</v>
      </c>
      <c r="J26" s="1020">
        <v>0</v>
      </c>
      <c r="K26" s="1020">
        <v>0</v>
      </c>
      <c r="L26" s="1020">
        <v>0</v>
      </c>
      <c r="M26" s="974" t="s">
        <v>2111</v>
      </c>
      <c r="P26" s="1028"/>
    </row>
    <row r="27" spans="1:16" ht="14.65">
      <c r="A27" s="1033" t="s">
        <v>1510</v>
      </c>
      <c r="B27" s="1034" t="s">
        <v>1511</v>
      </c>
      <c r="C27" s="1035" t="s">
        <v>1493</v>
      </c>
      <c r="D27" s="1014"/>
      <c r="E27" s="1014"/>
      <c r="F27" s="1036" t="s">
        <v>1428</v>
      </c>
      <c r="G27" s="1014"/>
      <c r="H27" s="1031">
        <f>H25-H26*VLOOKUP(H$5,'1.5 Universal Data'!$C$28:$F$39,4,FALSE)</f>
        <v>0</v>
      </c>
      <c r="I27" s="1031">
        <f>I25-I26*VLOOKUP(I$5,'1.5 Universal Data'!$C$28:$F$39,4,FALSE)</f>
        <v>0</v>
      </c>
      <c r="J27" s="1031">
        <f>J25-J26*VLOOKUP(J$5,'1.5 Universal Data'!$C$28:$F$39,4,FALSE)</f>
        <v>0</v>
      </c>
      <c r="K27" s="1031">
        <f>K25-K26*VLOOKUP(K$5,'1.5 Universal Data'!$C$28:$F$39,4,FALSE)</f>
        <v>0</v>
      </c>
      <c r="L27" s="1031">
        <f>L25-L26*VLOOKUP(L$5,'1.5 Universal Data'!$C$28:$F$39,4,FALSE)</f>
        <v>0</v>
      </c>
      <c r="P27" s="1028"/>
    </row>
    <row r="28" spans="1:16" ht="13.15" thickBot="1">
      <c r="A28" s="1037"/>
      <c r="B28" s="1038"/>
      <c r="C28" s="1038"/>
      <c r="D28" s="1038"/>
      <c r="E28" s="1038"/>
      <c r="F28" s="1038"/>
      <c r="G28" s="1038"/>
      <c r="H28" s="1038"/>
      <c r="I28" s="1038"/>
      <c r="J28" s="1038"/>
      <c r="K28" s="1038"/>
      <c r="L28" s="1038"/>
      <c r="M28" s="1038"/>
      <c r="N28" s="1038"/>
      <c r="O28" s="1038"/>
      <c r="P28" s="1039"/>
    </row>
    <row r="29" spans="1:16" ht="13.15" thickBot="1"/>
    <row r="30" spans="1:16" ht="13.9">
      <c r="A30" s="1022" t="s">
        <v>1512</v>
      </c>
      <c r="B30" s="1024"/>
      <c r="C30" s="1024"/>
      <c r="D30" s="1024"/>
      <c r="E30" s="1024"/>
      <c r="F30" s="1024"/>
      <c r="G30" s="1024"/>
      <c r="H30" s="1024"/>
      <c r="I30" s="1024"/>
      <c r="J30" s="1024"/>
      <c r="K30" s="1024"/>
      <c r="L30" s="1024"/>
      <c r="M30" s="1024"/>
      <c r="N30" s="1024"/>
      <c r="O30" s="1024"/>
      <c r="P30" s="1026"/>
    </row>
    <row r="31" spans="1:16" ht="13.9">
      <c r="A31" s="1040"/>
      <c r="P31" s="1028"/>
    </row>
    <row r="32" spans="1:16" ht="13.9">
      <c r="A32" s="1040"/>
      <c r="P32" s="1028"/>
    </row>
    <row r="33" spans="1:16">
      <c r="A33" s="1041"/>
      <c r="P33" s="1028"/>
    </row>
    <row r="34" spans="1:16">
      <c r="A34" s="1041"/>
      <c r="P34" s="1028"/>
    </row>
    <row r="35" spans="1:16" ht="15">
      <c r="A35" s="1027" t="s">
        <v>1513</v>
      </c>
      <c r="B35" s="1021" t="s">
        <v>2112</v>
      </c>
      <c r="C35" s="1042" t="s">
        <v>1500</v>
      </c>
      <c r="F35" s="1007" t="s">
        <v>2003</v>
      </c>
      <c r="H35" s="1020" cm="1">
        <f t="array" ref="H35:L35">TOBPDt</f>
        <v>0</v>
      </c>
      <c r="I35" s="1020">
        <v>0</v>
      </c>
      <c r="J35" s="1020">
        <v>0</v>
      </c>
      <c r="K35" s="1020">
        <v>0</v>
      </c>
      <c r="L35" s="1020">
        <v>0</v>
      </c>
      <c r="M35" s="974" t="s">
        <v>2113</v>
      </c>
      <c r="P35" s="1028"/>
    </row>
    <row r="36" spans="1:16" ht="15">
      <c r="A36" s="1041" t="s">
        <v>1514</v>
      </c>
      <c r="B36" s="1001" t="s">
        <v>2114</v>
      </c>
      <c r="C36" s="1042" t="s">
        <v>1500</v>
      </c>
      <c r="F36" s="1007" t="s">
        <v>2003</v>
      </c>
      <c r="H36" s="1043">
        <f>H46</f>
        <v>6.9887735126849977</v>
      </c>
      <c r="I36" s="1043">
        <f>I46</f>
        <v>7.0148914138404859</v>
      </c>
      <c r="J36" s="1043">
        <f t="shared" ref="J36:L36" si="4">J46</f>
        <v>7.0853989832502284</v>
      </c>
      <c r="K36" s="1043">
        <f t="shared" si="4"/>
        <v>7.3000279849035028</v>
      </c>
      <c r="L36" s="1043">
        <f t="shared" si="4"/>
        <v>7.2986713508040797</v>
      </c>
      <c r="P36" s="1028"/>
    </row>
    <row r="37" spans="1:16" ht="15">
      <c r="A37" s="1041" t="s">
        <v>1515</v>
      </c>
      <c r="B37" s="1001" t="s">
        <v>2115</v>
      </c>
      <c r="C37" s="1042" t="s">
        <v>1500</v>
      </c>
      <c r="F37" s="1007" t="s">
        <v>2003</v>
      </c>
      <c r="H37" s="1043">
        <f>H54</f>
        <v>0.10525261314284635</v>
      </c>
      <c r="I37" s="1043">
        <f t="shared" ref="I37:L37" si="5">I54</f>
        <v>0.10693432033293425</v>
      </c>
      <c r="J37" s="1043">
        <f t="shared" si="5"/>
        <v>0.10883869405914331</v>
      </c>
      <c r="K37" s="1043">
        <f t="shared" si="5"/>
        <v>0.11094267454260642</v>
      </c>
      <c r="L37" s="1043">
        <f t="shared" si="5"/>
        <v>0.11315769536130356</v>
      </c>
      <c r="P37" s="1028"/>
    </row>
    <row r="38" spans="1:16" ht="14.65">
      <c r="A38" s="1033" t="s">
        <v>1517</v>
      </c>
      <c r="B38" s="1014" t="s">
        <v>2116</v>
      </c>
      <c r="C38" s="1044" t="s">
        <v>1500</v>
      </c>
      <c r="D38" s="1014"/>
      <c r="E38" s="1014"/>
      <c r="F38" s="1036" t="s">
        <v>1428</v>
      </c>
      <c r="G38" s="1014"/>
      <c r="H38" s="1045">
        <f>(H35+H36+H37)*VLOOKUP(H$5,'1.5 Universal Data'!$C$28:$F$39,4,FALSE)</f>
        <v>6.5662095682106445</v>
      </c>
      <c r="I38" s="1045">
        <f>(I35+I36+I37)*VLOOKUP(I$5,'1.5 Universal Data'!$C$28:$F$39,4,FALSE)</f>
        <v>6.3651571684263457</v>
      </c>
      <c r="J38" s="1045">
        <f>(J35+J36+J37)*VLOOKUP(J$5,'1.5 Universal Data'!$C$28:$F$39,4,FALSE)</f>
        <v>6.2766211162093901</v>
      </c>
      <c r="K38" s="1045">
        <f>(K35+K36+K37)*VLOOKUP(K$5,'1.5 Universal Data'!$C$28:$F$39,4,FALSE)</f>
        <v>6.3356670516854097</v>
      </c>
      <c r="L38" s="1045">
        <f>(L35+L36+L37)*VLOOKUP(L$5,'1.5 Universal Data'!$C$28:$F$39,4,FALSE)</f>
        <v>6.2120807552946236</v>
      </c>
      <c r="P38" s="1028"/>
    </row>
    <row r="39" spans="1:16">
      <c r="A39" s="1041"/>
      <c r="P39" s="1028"/>
    </row>
    <row r="40" spans="1:16" ht="13.5">
      <c r="A40" s="1046" t="s">
        <v>1518</v>
      </c>
      <c r="P40" s="1028"/>
    </row>
    <row r="41" spans="1:16">
      <c r="A41" s="1041"/>
      <c r="P41" s="1028"/>
    </row>
    <row r="42" spans="1:16">
      <c r="A42" s="1041"/>
      <c r="P42" s="1028"/>
    </row>
    <row r="43" spans="1:16" ht="15">
      <c r="A43" s="1041" t="s">
        <v>1519</v>
      </c>
      <c r="B43" s="1007" t="s">
        <v>2117</v>
      </c>
      <c r="C43" s="1042" t="s">
        <v>1500</v>
      </c>
      <c r="F43" s="1007" t="s">
        <v>1428</v>
      </c>
      <c r="H43" s="1047">
        <v>6.64</v>
      </c>
      <c r="I43" s="1047">
        <v>6.56</v>
      </c>
      <c r="J43" s="1047">
        <v>6.51</v>
      </c>
      <c r="K43" s="1047">
        <v>6.58</v>
      </c>
      <c r="L43" s="1047">
        <v>6.45</v>
      </c>
      <c r="P43" s="1028"/>
    </row>
    <row r="44" spans="1:16" ht="15">
      <c r="A44" s="1027" t="s">
        <v>1520</v>
      </c>
      <c r="B44" s="1007" t="s">
        <v>2118</v>
      </c>
      <c r="C44" s="1042" t="s">
        <v>1500</v>
      </c>
      <c r="H44" s="1020">
        <v>298.18942408477898</v>
      </c>
      <c r="I44" s="1020">
        <v>302.95384069656376</v>
      </c>
      <c r="J44" s="1020">
        <v>308.34909016072459</v>
      </c>
      <c r="K44" s="1020">
        <v>314.30984220208256</v>
      </c>
      <c r="L44" s="1020">
        <v>320.58518076651978</v>
      </c>
      <c r="M44" s="974" t="s">
        <v>2119</v>
      </c>
      <c r="P44" s="1028"/>
    </row>
    <row r="45" spans="1:16" ht="15">
      <c r="A45" s="1027" t="s">
        <v>1516</v>
      </c>
      <c r="B45" s="1007" t="s">
        <v>2120</v>
      </c>
      <c r="C45" s="1042" t="s">
        <v>1500</v>
      </c>
      <c r="H45" s="1020">
        <v>283.30833333333334</v>
      </c>
      <c r="I45" s="1020">
        <v>283.30833333333334</v>
      </c>
      <c r="J45" s="1020">
        <v>283.30833333333334</v>
      </c>
      <c r="K45" s="1020">
        <v>283.30833333333334</v>
      </c>
      <c r="L45" s="1020">
        <v>283.30833333333334</v>
      </c>
      <c r="M45" s="974" t="s">
        <v>2119</v>
      </c>
      <c r="P45" s="1028"/>
    </row>
    <row r="46" spans="1:16" ht="15">
      <c r="A46" s="1007" t="s">
        <v>1514</v>
      </c>
      <c r="B46" s="1001" t="s">
        <v>2114</v>
      </c>
      <c r="C46" s="1042" t="s">
        <v>1500</v>
      </c>
      <c r="F46" s="1007" t="s">
        <v>2003</v>
      </c>
      <c r="H46" s="1048">
        <f>IFERROR(H43*(H44/H45),0)</f>
        <v>6.9887735126849977</v>
      </c>
      <c r="I46" s="1048">
        <f t="shared" ref="I46:L46" si="6">IFERROR(I43*(I44/I45),0)</f>
        <v>7.0148914138404859</v>
      </c>
      <c r="J46" s="1048">
        <f t="shared" si="6"/>
        <v>7.0853989832502284</v>
      </c>
      <c r="K46" s="1048">
        <f t="shared" si="6"/>
        <v>7.3000279849035028</v>
      </c>
      <c r="L46" s="1048">
        <f t="shared" si="6"/>
        <v>7.2986713508040797</v>
      </c>
      <c r="P46" s="1028"/>
    </row>
    <row r="47" spans="1:16">
      <c r="A47" s="1041"/>
      <c r="P47" s="1028"/>
    </row>
    <row r="48" spans="1:16" ht="13.5">
      <c r="A48" s="1046" t="s">
        <v>1521</v>
      </c>
      <c r="P48" s="1028"/>
    </row>
    <row r="49" spans="1:16">
      <c r="A49" s="1041"/>
      <c r="P49" s="1028"/>
    </row>
    <row r="50" spans="1:16">
      <c r="A50" s="1041"/>
      <c r="P50" s="1028"/>
    </row>
    <row r="51" spans="1:16" ht="15">
      <c r="A51" s="1041" t="s">
        <v>1522</v>
      </c>
      <c r="B51" s="1007" t="s">
        <v>2121</v>
      </c>
      <c r="C51" s="1042" t="s">
        <v>1500</v>
      </c>
      <c r="F51" s="1007" t="s">
        <v>1428</v>
      </c>
      <c r="H51" s="1047">
        <v>0.1</v>
      </c>
      <c r="I51" s="1047">
        <v>0.1</v>
      </c>
      <c r="J51" s="1047">
        <v>0.1</v>
      </c>
      <c r="K51" s="1047">
        <v>0.1</v>
      </c>
      <c r="L51" s="1047">
        <v>0.1</v>
      </c>
      <c r="P51" s="1028"/>
    </row>
    <row r="52" spans="1:16" ht="15">
      <c r="A52" s="1027" t="s">
        <v>1520</v>
      </c>
      <c r="B52" s="1007" t="s">
        <v>2118</v>
      </c>
      <c r="C52" s="1042" t="s">
        <v>1500</v>
      </c>
      <c r="H52" s="1020">
        <v>298.18942408477898</v>
      </c>
      <c r="I52" s="1020">
        <v>302.95384069656376</v>
      </c>
      <c r="J52" s="1020">
        <v>308.34909016072459</v>
      </c>
      <c r="K52" s="1020">
        <v>314.30984220208256</v>
      </c>
      <c r="L52" s="1020">
        <v>320.58518076651978</v>
      </c>
      <c r="M52" s="974" t="s">
        <v>2119</v>
      </c>
      <c r="P52" s="1028"/>
    </row>
    <row r="53" spans="1:16" ht="15">
      <c r="A53" s="1027" t="s">
        <v>1516</v>
      </c>
      <c r="B53" s="1007" t="s">
        <v>2120</v>
      </c>
      <c r="C53" s="1042" t="s">
        <v>1500</v>
      </c>
      <c r="H53" s="1020">
        <v>283.30833333333334</v>
      </c>
      <c r="I53" s="1020">
        <v>283.30833333333334</v>
      </c>
      <c r="J53" s="1020">
        <v>283.30833333333334</v>
      </c>
      <c r="K53" s="1020">
        <v>283.30833333333334</v>
      </c>
      <c r="L53" s="1020">
        <v>283.30833333333334</v>
      </c>
      <c r="M53" s="974" t="s">
        <v>2119</v>
      </c>
      <c r="P53" s="1028"/>
    </row>
    <row r="54" spans="1:16" ht="15">
      <c r="A54" s="1007" t="s">
        <v>1515</v>
      </c>
      <c r="B54" s="1001" t="s">
        <v>2115</v>
      </c>
      <c r="C54" s="1042" t="s">
        <v>1500</v>
      </c>
      <c r="F54" s="1007" t="s">
        <v>2003</v>
      </c>
      <c r="H54" s="1049">
        <f>IFERROR(H51*(H52/H53),0)</f>
        <v>0.10525261314284635</v>
      </c>
      <c r="I54" s="1049">
        <f t="shared" ref="I54:L54" si="7">IFERROR(I51*(I52/I53),0)</f>
        <v>0.10693432033293425</v>
      </c>
      <c r="J54" s="1049">
        <f t="shared" si="7"/>
        <v>0.10883869405914331</v>
      </c>
      <c r="K54" s="1049">
        <f t="shared" si="7"/>
        <v>0.11094267454260642</v>
      </c>
      <c r="L54" s="1049">
        <f t="shared" si="7"/>
        <v>0.11315769536130356</v>
      </c>
      <c r="P54" s="1028"/>
    </row>
    <row r="55" spans="1:16" ht="13.15" thickBot="1">
      <c r="A55" s="1037"/>
      <c r="B55" s="1038"/>
      <c r="C55" s="1038"/>
      <c r="D55" s="1038"/>
      <c r="E55" s="1038"/>
      <c r="F55" s="1038"/>
      <c r="G55" s="1038"/>
      <c r="H55" s="1038"/>
      <c r="I55" s="1038"/>
      <c r="J55" s="1038"/>
      <c r="K55" s="1038"/>
      <c r="L55" s="1038"/>
      <c r="M55" s="1038"/>
      <c r="N55" s="1038"/>
      <c r="O55" s="1038"/>
      <c r="P55" s="1039"/>
    </row>
    <row r="56" spans="1:16" ht="13.15" thickBot="1"/>
    <row r="57" spans="1:16">
      <c r="A57" s="1050"/>
      <c r="B57" s="1024"/>
      <c r="C57" s="1024"/>
      <c r="D57" s="1024"/>
      <c r="E57" s="1024"/>
      <c r="F57" s="1024"/>
      <c r="G57" s="1024"/>
      <c r="H57" s="1024"/>
      <c r="I57" s="1024"/>
      <c r="J57" s="1024"/>
      <c r="K57" s="1024"/>
      <c r="L57" s="1024"/>
      <c r="M57" s="1024"/>
      <c r="N57" s="1024"/>
      <c r="O57" s="1024"/>
      <c r="P57" s="1026"/>
    </row>
    <row r="58" spans="1:16">
      <c r="A58" s="1041"/>
      <c r="P58" s="1028"/>
    </row>
    <row r="59" spans="1:16" ht="13.9">
      <c r="A59" s="1040" t="s">
        <v>1523</v>
      </c>
      <c r="B59" s="1021"/>
      <c r="F59" s="1001"/>
      <c r="G59" s="1001"/>
      <c r="H59" s="1001"/>
      <c r="I59" s="1001"/>
      <c r="J59" s="1001"/>
      <c r="K59" s="1001"/>
      <c r="L59" s="1001"/>
      <c r="M59" s="1001"/>
      <c r="P59" s="1028"/>
    </row>
    <row r="60" spans="1:16">
      <c r="A60" s="1027"/>
      <c r="B60" s="1021"/>
      <c r="F60" s="1001"/>
      <c r="G60" s="1001"/>
      <c r="P60" s="1028"/>
    </row>
    <row r="61" spans="1:16" s="1001" customFormat="1" ht="15">
      <c r="A61" s="1051" t="s">
        <v>1426</v>
      </c>
      <c r="B61" s="1018" t="s">
        <v>2122</v>
      </c>
      <c r="C61" s="1042" t="s">
        <v>1493</v>
      </c>
      <c r="D61" s="1004"/>
      <c r="E61" s="1004"/>
      <c r="F61" s="1015" t="s">
        <v>1428</v>
      </c>
      <c r="H61" s="444">
        <v>4.05</v>
      </c>
      <c r="I61" s="444">
        <v>4.05</v>
      </c>
      <c r="J61" s="444">
        <v>4.05</v>
      </c>
      <c r="K61" s="444">
        <v>0</v>
      </c>
      <c r="L61" s="444">
        <v>0</v>
      </c>
      <c r="P61" s="1052"/>
    </row>
    <row r="62" spans="1:16" s="1001" customFormat="1" ht="15">
      <c r="A62" s="1051" t="s">
        <v>1461</v>
      </c>
      <c r="B62" s="1018" t="s">
        <v>2123</v>
      </c>
      <c r="C62" s="1042" t="s">
        <v>1493</v>
      </c>
      <c r="D62" s="1004"/>
      <c r="E62" s="1004"/>
      <c r="F62" s="1015" t="s">
        <v>1428</v>
      </c>
      <c r="H62" s="1020" cm="1">
        <f t="array" ref="H62:L62">TOALTt</f>
        <v>0</v>
      </c>
      <c r="I62" s="1020">
        <v>0</v>
      </c>
      <c r="J62" s="1020">
        <v>0</v>
      </c>
      <c r="K62" s="1020">
        <v>0</v>
      </c>
      <c r="L62" s="1020">
        <v>0</v>
      </c>
      <c r="M62" s="974" t="s">
        <v>2124</v>
      </c>
      <c r="P62" s="1052"/>
    </row>
    <row r="63" spans="1:16" s="1001" customFormat="1" ht="14.65">
      <c r="A63" s="1053" t="s">
        <v>1524</v>
      </c>
      <c r="B63" s="1054" t="s">
        <v>2125</v>
      </c>
      <c r="C63" s="1044" t="s">
        <v>1493</v>
      </c>
      <c r="D63" s="1055"/>
      <c r="E63" s="1055"/>
      <c r="F63" s="1036" t="s">
        <v>1428</v>
      </c>
      <c r="G63" s="1056"/>
      <c r="H63" s="445">
        <f>H61-H62</f>
        <v>4.05</v>
      </c>
      <c r="I63" s="445">
        <f>I61-I62</f>
        <v>4.05</v>
      </c>
      <c r="J63" s="445">
        <f>J61-J62</f>
        <v>4.05</v>
      </c>
      <c r="K63" s="445">
        <f>K61-K62</f>
        <v>0</v>
      </c>
      <c r="L63" s="445">
        <f>L61-L62</f>
        <v>0</v>
      </c>
      <c r="P63" s="1052"/>
    </row>
    <row r="64" spans="1:16">
      <c r="A64" s="1041"/>
      <c r="P64" s="1028"/>
    </row>
    <row r="65" spans="1:16">
      <c r="A65" s="1041"/>
      <c r="P65" s="1028"/>
    </row>
    <row r="66" spans="1:16">
      <c r="A66" s="1041"/>
      <c r="P66" s="1028"/>
    </row>
    <row r="67" spans="1:16" ht="13.15" thickBot="1">
      <c r="A67" s="1037"/>
      <c r="B67" s="1038"/>
      <c r="C67" s="1038"/>
      <c r="D67" s="1038"/>
      <c r="E67" s="1038"/>
      <c r="F67" s="1038"/>
      <c r="G67" s="1038"/>
      <c r="H67" s="1038"/>
      <c r="I67" s="1038"/>
      <c r="J67" s="1038"/>
      <c r="K67" s="1038"/>
      <c r="L67" s="1038"/>
      <c r="M67" s="1038"/>
      <c r="N67" s="1038"/>
      <c r="O67" s="1038"/>
      <c r="P67" s="1039"/>
    </row>
  </sheetData>
  <pageMargins left="0.17" right="0.16" top="0.5" bottom="0.74803149606299213" header="0.31496062992125984" footer="0.31496062992125984"/>
  <pageSetup paperSize="9" scale="36" orientation="portrait" r:id="rId1"/>
  <headerFooter>
    <oddFooter>&amp;C&amp;D&amp;R&amp;F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83423-ECA3-4B07-BAD0-E99B478336EC}">
  <sheetPr>
    <tabColor theme="4" tint="0.79998168889431442"/>
    <pageSetUpPr fitToPage="1"/>
  </sheetPr>
  <dimension ref="A1:N27"/>
  <sheetViews>
    <sheetView showGridLines="0" zoomScale="90" zoomScaleNormal="90" workbookViewId="0">
      <pane ySplit="5" topLeftCell="A6" activePane="bottomLeft" state="frozen"/>
      <selection activeCell="F30" sqref="F30"/>
      <selection pane="bottomLeft"/>
    </sheetView>
  </sheetViews>
  <sheetFormatPr defaultColWidth="10.265625" defaultRowHeight="12.4"/>
  <cols>
    <col min="1" max="1" width="45" style="950" customWidth="1"/>
    <col min="2" max="2" width="11" style="950" bestFit="1" customWidth="1"/>
    <col min="3" max="3" width="8.265625" style="950" customWidth="1"/>
    <col min="4" max="4" width="5.1328125" style="950" customWidth="1"/>
    <col min="5" max="5" width="10.59765625" style="950" bestFit="1" customWidth="1"/>
    <col min="6" max="7" width="11.59765625" style="950" bestFit="1" customWidth="1"/>
    <col min="8" max="12" width="10.86328125" style="950" bestFit="1" customWidth="1"/>
    <col min="13" max="16384" width="10.265625" style="950"/>
  </cols>
  <sheetData>
    <row r="1" spans="1:14" s="939" customFormat="1" ht="14.65">
      <c r="A1" s="930" t="s">
        <v>1418</v>
      </c>
      <c r="B1" s="931"/>
      <c r="C1" s="931"/>
      <c r="D1" s="931"/>
      <c r="E1" s="932"/>
      <c r="F1" s="932"/>
      <c r="G1" s="932"/>
      <c r="H1" s="932"/>
      <c r="I1" s="930"/>
      <c r="J1" s="930"/>
      <c r="K1" s="930"/>
      <c r="L1" s="930"/>
      <c r="M1" s="930"/>
    </row>
    <row r="2" spans="1:14" s="939" customFormat="1" ht="14.65">
      <c r="A2" s="930" t="str">
        <f>'1.1 Cover'!A3</f>
        <v>Price base - 2018/19</v>
      </c>
      <c r="B2" s="935"/>
      <c r="C2" s="935"/>
      <c r="D2" s="935"/>
      <c r="E2" s="930"/>
      <c r="F2" s="930"/>
      <c r="G2" s="930"/>
      <c r="H2" s="930"/>
      <c r="I2" s="930"/>
      <c r="J2" s="930"/>
      <c r="K2" s="930"/>
      <c r="L2" s="930"/>
      <c r="M2" s="930"/>
    </row>
    <row r="3" spans="1:14" s="939" customFormat="1" ht="33.950000000000003" customHeight="1">
      <c r="A3" s="935" t="s">
        <v>1525</v>
      </c>
      <c r="B3" s="935"/>
      <c r="C3" s="935"/>
      <c r="D3" s="935"/>
      <c r="E3" s="930"/>
      <c r="F3" s="930"/>
      <c r="G3" s="930"/>
      <c r="H3" s="930"/>
      <c r="I3" s="930"/>
      <c r="J3" s="930"/>
      <c r="K3" s="930"/>
      <c r="L3" s="930"/>
      <c r="M3" s="930"/>
    </row>
    <row r="4" spans="1:14" ht="15.4">
      <c r="A4" s="936" t="s">
        <v>2126</v>
      </c>
      <c r="B4" s="961"/>
      <c r="C4" s="961"/>
      <c r="D4" s="962"/>
      <c r="E4" s="933"/>
      <c r="F4" s="933"/>
      <c r="G4" s="933"/>
      <c r="H4" s="933"/>
      <c r="I4" s="933"/>
      <c r="J4" s="933"/>
      <c r="K4" s="933"/>
      <c r="L4" s="933"/>
      <c r="M4" s="963"/>
    </row>
    <row r="5" spans="1:14" ht="17.649999999999999">
      <c r="A5" s="964"/>
      <c r="B5" s="961"/>
      <c r="C5" s="961"/>
      <c r="D5" s="961"/>
      <c r="F5" s="965"/>
      <c r="G5" s="965"/>
      <c r="H5" s="966" t="s">
        <v>1420</v>
      </c>
      <c r="I5" s="966" t="s">
        <v>1421</v>
      </c>
      <c r="J5" s="966" t="s">
        <v>1422</v>
      </c>
      <c r="K5" s="966" t="s">
        <v>1423</v>
      </c>
      <c r="L5" s="966" t="s">
        <v>1424</v>
      </c>
      <c r="M5" s="967"/>
    </row>
    <row r="6" spans="1:14" ht="13.9" thickBot="1">
      <c r="A6" s="962"/>
      <c r="B6" s="962"/>
      <c r="C6" s="962"/>
      <c r="D6" s="962"/>
      <c r="E6" s="962"/>
      <c r="F6" s="965"/>
      <c r="G6" s="965"/>
      <c r="H6" s="968"/>
      <c r="I6" s="968"/>
      <c r="J6" s="968"/>
      <c r="K6" s="968"/>
      <c r="L6" s="963"/>
      <c r="M6" s="936"/>
      <c r="N6" s="962"/>
    </row>
    <row r="7" spans="1:14">
      <c r="A7" s="1057" t="s">
        <v>1526</v>
      </c>
      <c r="B7" s="1058"/>
      <c r="C7" s="1059"/>
      <c r="D7" s="1060"/>
      <c r="E7" s="1060"/>
      <c r="F7" s="1059"/>
      <c r="G7" s="1061"/>
      <c r="H7" s="1061"/>
      <c r="I7" s="1061"/>
      <c r="J7" s="1061"/>
      <c r="K7" s="1061"/>
      <c r="L7" s="1061"/>
      <c r="M7" s="1062"/>
      <c r="N7" s="962"/>
    </row>
    <row r="8" spans="1:14">
      <c r="A8" s="997"/>
      <c r="B8" s="956"/>
      <c r="C8" s="939"/>
      <c r="D8" s="962"/>
      <c r="E8" s="962"/>
      <c r="F8" s="939"/>
      <c r="G8" s="936"/>
      <c r="H8" s="936"/>
      <c r="I8" s="936"/>
      <c r="J8" s="936"/>
      <c r="K8" s="936"/>
      <c r="L8" s="936"/>
      <c r="M8" s="1063"/>
      <c r="N8" s="962"/>
    </row>
    <row r="9" spans="1:14" ht="15.4">
      <c r="A9" s="1064" t="s">
        <v>1527</v>
      </c>
      <c r="B9" s="941" t="s">
        <v>1999</v>
      </c>
      <c r="C9" s="941" t="s">
        <v>1528</v>
      </c>
      <c r="E9" s="939"/>
      <c r="F9" s="1018" t="s">
        <v>2003</v>
      </c>
      <c r="G9" s="939"/>
      <c r="H9" s="1020" cm="1">
        <f t="array" ref="H9:L9">SOCDSPt</f>
        <v>0</v>
      </c>
      <c r="I9" s="1020">
        <v>0</v>
      </c>
      <c r="J9" s="1020">
        <v>0</v>
      </c>
      <c r="K9" s="1020">
        <v>0</v>
      </c>
      <c r="L9" s="1020">
        <v>0</v>
      </c>
      <c r="M9" s="1019" t="s">
        <v>2101</v>
      </c>
    </row>
    <row r="10" spans="1:14" ht="15.4">
      <c r="A10" s="1064" t="s">
        <v>1496</v>
      </c>
      <c r="B10" s="941" t="s">
        <v>2001</v>
      </c>
      <c r="C10" s="941" t="s">
        <v>1528</v>
      </c>
      <c r="E10" s="939"/>
      <c r="F10" s="1018" t="s">
        <v>1428</v>
      </c>
      <c r="G10" s="939"/>
      <c r="H10" s="1065">
        <f>H22</f>
        <v>0</v>
      </c>
      <c r="I10" s="1065">
        <f t="shared" ref="I10:L10" si="0">I22</f>
        <v>0</v>
      </c>
      <c r="J10" s="1065">
        <f t="shared" si="0"/>
        <v>0</v>
      </c>
      <c r="K10" s="1065">
        <f t="shared" si="0"/>
        <v>0</v>
      </c>
      <c r="L10" s="1065">
        <f t="shared" si="0"/>
        <v>0</v>
      </c>
      <c r="M10" s="1066"/>
    </row>
    <row r="11" spans="1:14" ht="15.4">
      <c r="A11" s="1067" t="s">
        <v>1529</v>
      </c>
      <c r="B11" s="942" t="s">
        <v>2002</v>
      </c>
      <c r="C11" s="941" t="s">
        <v>1528</v>
      </c>
      <c r="E11" s="939"/>
      <c r="F11" s="1018" t="s">
        <v>2003</v>
      </c>
      <c r="G11" s="939"/>
      <c r="H11" s="1020" cm="1">
        <f t="array" ref="H11:L11">SOSOEDEt</f>
        <v>0</v>
      </c>
      <c r="I11" s="1020">
        <v>0</v>
      </c>
      <c r="J11" s="1020">
        <v>0</v>
      </c>
      <c r="K11" s="1020">
        <v>0</v>
      </c>
      <c r="L11" s="1020">
        <v>0</v>
      </c>
      <c r="M11" s="1019" t="s">
        <v>2101</v>
      </c>
    </row>
    <row r="12" spans="1:14" ht="12.75" thickBot="1">
      <c r="A12" s="1068"/>
      <c r="B12" s="1069"/>
      <c r="C12" s="1070"/>
      <c r="D12" s="1071"/>
      <c r="E12" s="1070"/>
      <c r="F12" s="1070"/>
      <c r="G12" s="1070"/>
      <c r="H12" s="1072"/>
      <c r="I12" s="1072"/>
      <c r="J12" s="1072"/>
      <c r="K12" s="1072"/>
      <c r="L12" s="1072"/>
      <c r="M12" s="1073"/>
    </row>
    <row r="13" spans="1:14" ht="12.75" thickBot="1"/>
    <row r="14" spans="1:14">
      <c r="A14" s="1074"/>
      <c r="B14" s="1075"/>
      <c r="C14" s="1076"/>
      <c r="D14" s="1076"/>
      <c r="E14" s="1076"/>
      <c r="F14" s="1076"/>
      <c r="G14" s="1076"/>
      <c r="H14" s="1076"/>
      <c r="I14" s="1076"/>
      <c r="J14" s="1076"/>
      <c r="K14" s="1076"/>
      <c r="L14" s="1076"/>
      <c r="M14" s="1077"/>
    </row>
    <row r="15" spans="1:14">
      <c r="A15" s="1078" t="s">
        <v>1530</v>
      </c>
      <c r="B15" s="1079"/>
      <c r="F15" s="939"/>
      <c r="G15" s="939"/>
      <c r="H15" s="939"/>
      <c r="I15" s="939"/>
      <c r="J15" s="939"/>
      <c r="K15" s="939"/>
      <c r="L15" s="939"/>
      <c r="M15" s="1063"/>
      <c r="N15" s="939"/>
    </row>
    <row r="16" spans="1:14">
      <c r="A16" s="1080"/>
      <c r="B16" s="1079"/>
      <c r="F16" s="939"/>
      <c r="G16" s="939"/>
      <c r="M16" s="1066"/>
      <c r="N16" s="939"/>
    </row>
    <row r="17" spans="1:13" ht="12.75">
      <c r="A17" s="1080" t="s">
        <v>1503</v>
      </c>
      <c r="B17" s="1079"/>
      <c r="F17" s="956" t="s">
        <v>2127</v>
      </c>
      <c r="H17" s="1020" cm="1">
        <f t="array" ref="H17:L17">SOProvisionalBadDebtcost</f>
        <v>0</v>
      </c>
      <c r="I17" s="1020">
        <v>0</v>
      </c>
      <c r="J17" s="1020">
        <v>0</v>
      </c>
      <c r="K17" s="1020">
        <v>0</v>
      </c>
      <c r="L17" s="1020">
        <v>0</v>
      </c>
      <c r="M17" s="1019" t="s">
        <v>2111</v>
      </c>
    </row>
    <row r="18" spans="1:13" ht="12.75">
      <c r="A18" s="1080" t="s">
        <v>1504</v>
      </c>
      <c r="B18" s="939"/>
      <c r="F18" s="956" t="s">
        <v>2127</v>
      </c>
      <c r="H18" s="1020" cm="1">
        <f t="array" ref="H18:L18">SOActualBadDebtcostincurred</f>
        <v>0</v>
      </c>
      <c r="I18" s="1020">
        <v>0</v>
      </c>
      <c r="J18" s="1020">
        <v>0</v>
      </c>
      <c r="K18" s="1020">
        <v>0</v>
      </c>
      <c r="L18" s="1020">
        <v>0</v>
      </c>
      <c r="M18" s="1019" t="s">
        <v>2111</v>
      </c>
    </row>
    <row r="19" spans="1:13" ht="12.75">
      <c r="A19" s="1081" t="s">
        <v>1505</v>
      </c>
      <c r="B19" s="939"/>
      <c r="F19" s="956" t="s">
        <v>2127</v>
      </c>
      <c r="H19" s="1020" cm="1">
        <f t="array" ref="H19:L19">SOInterestincomeaccruedadjustment</f>
        <v>0</v>
      </c>
      <c r="I19" s="1020">
        <v>0</v>
      </c>
      <c r="J19" s="1020">
        <v>0</v>
      </c>
      <c r="K19" s="1020">
        <v>0</v>
      </c>
      <c r="L19" s="1020">
        <v>0</v>
      </c>
      <c r="M19" s="1019" t="s">
        <v>2111</v>
      </c>
    </row>
    <row r="20" spans="1:13" ht="15.4">
      <c r="A20" s="1081" t="s">
        <v>1506</v>
      </c>
      <c r="B20" s="1082" t="s">
        <v>1531</v>
      </c>
      <c r="C20" s="941" t="s">
        <v>1528</v>
      </c>
      <c r="F20" s="956" t="s">
        <v>2127</v>
      </c>
      <c r="H20" s="1083">
        <f>SUM(H17:H19)</f>
        <v>0</v>
      </c>
      <c r="I20" s="1083">
        <f t="shared" ref="I20:L20" si="1">SUM(I17:I19)</f>
        <v>0</v>
      </c>
      <c r="J20" s="1083">
        <f t="shared" si="1"/>
        <v>0</v>
      </c>
      <c r="K20" s="1083">
        <f t="shared" si="1"/>
        <v>0</v>
      </c>
      <c r="L20" s="1083">
        <f t="shared" si="1"/>
        <v>0</v>
      </c>
      <c r="M20" s="1066"/>
    </row>
    <row r="21" spans="1:13" ht="15.4">
      <c r="A21" s="1081" t="s">
        <v>1508</v>
      </c>
      <c r="B21" s="1084" t="s">
        <v>1532</v>
      </c>
      <c r="C21" s="941" t="s">
        <v>1528</v>
      </c>
      <c r="F21" s="956" t="s">
        <v>2127</v>
      </c>
      <c r="H21" s="1020" cm="1">
        <f t="array" ref="H21:L21">SOSORBDt</f>
        <v>0</v>
      </c>
      <c r="I21" s="1020">
        <v>0</v>
      </c>
      <c r="J21" s="1020">
        <v>0</v>
      </c>
      <c r="K21" s="1020">
        <v>0</v>
      </c>
      <c r="L21" s="1020">
        <v>0</v>
      </c>
      <c r="M21" s="1019" t="s">
        <v>2111</v>
      </c>
    </row>
    <row r="22" spans="1:13" ht="15.4">
      <c r="A22" s="1085" t="s">
        <v>1510</v>
      </c>
      <c r="B22" s="1086" t="s">
        <v>1533</v>
      </c>
      <c r="C22" s="1087" t="s">
        <v>1528</v>
      </c>
      <c r="D22" s="980"/>
      <c r="E22" s="980"/>
      <c r="F22" s="978" t="s">
        <v>1428</v>
      </c>
      <c r="G22" s="980"/>
      <c r="H22" s="1083">
        <f>H20-H21*VLOOKUP(H$5,'1.5 Universal Data'!$C$28:$F$39,4,FALSE)</f>
        <v>0</v>
      </c>
      <c r="I22" s="1083">
        <f>I20-I21*VLOOKUP(I$5,'1.5 Universal Data'!$C$28:$F$39,4,FALSE)</f>
        <v>0</v>
      </c>
      <c r="J22" s="1083">
        <f>J20-J21*VLOOKUP(J$5,'1.5 Universal Data'!$C$28:$F$39,4,FALSE)</f>
        <v>0</v>
      </c>
      <c r="K22" s="1083">
        <f>K20-K21*VLOOKUP(K$5,'1.5 Universal Data'!$C$28:$F$39,4,FALSE)</f>
        <v>0</v>
      </c>
      <c r="L22" s="1083">
        <f>L20-L21*VLOOKUP(L$5,'1.5 Universal Data'!$C$28:$F$39,4,FALSE)</f>
        <v>0</v>
      </c>
      <c r="M22" s="1066"/>
    </row>
    <row r="23" spans="1:13">
      <c r="A23" s="1088"/>
      <c r="M23" s="1066"/>
    </row>
    <row r="24" spans="1:13">
      <c r="A24" s="1088"/>
      <c r="M24" s="1066"/>
    </row>
    <row r="25" spans="1:13">
      <c r="A25" s="1088"/>
      <c r="M25" s="1066"/>
    </row>
    <row r="26" spans="1:13">
      <c r="A26" s="1088"/>
      <c r="M26" s="1066"/>
    </row>
    <row r="27" spans="1:13" ht="12.75" thickBot="1">
      <c r="A27" s="1089"/>
      <c r="B27" s="1071"/>
      <c r="C27" s="1071"/>
      <c r="D27" s="1071"/>
      <c r="E27" s="1071"/>
      <c r="F27" s="1071"/>
      <c r="G27" s="1071"/>
      <c r="H27" s="1071"/>
      <c r="I27" s="1071"/>
      <c r="J27" s="1071"/>
      <c r="K27" s="1071"/>
      <c r="L27" s="1071"/>
      <c r="M27" s="1073"/>
    </row>
  </sheetData>
  <pageMargins left="0.17" right="0.16" top="0.5" bottom="0.74803149606299213" header="0.31496062992125984" footer="0.31496062992125984"/>
  <pageSetup paperSize="9" scale="38" orientation="portrait" r:id="rId1"/>
  <headerFooter>
    <oddFooter>&amp;C&amp;D&amp;R&amp;F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3"/>
  <sheetViews>
    <sheetView zoomScale="90" zoomScaleNormal="90" workbookViewId="0"/>
  </sheetViews>
  <sheetFormatPr defaultColWidth="10.1328125" defaultRowHeight="12.4"/>
  <cols>
    <col min="1" max="1" width="57" style="936" customWidth="1"/>
    <col min="2" max="2" width="13.59765625" style="936" customWidth="1"/>
    <col min="3" max="6" width="10.1328125" style="936"/>
    <col min="7" max="11" width="11.265625" style="936" customWidth="1"/>
    <col min="12" max="16384" width="10.1328125" style="936"/>
  </cols>
  <sheetData>
    <row r="1" spans="1:12" ht="13.5">
      <c r="A1" s="930" t="s">
        <v>1418</v>
      </c>
      <c r="B1" s="930"/>
      <c r="C1" s="930"/>
      <c r="D1" s="930"/>
      <c r="E1" s="930"/>
      <c r="F1" s="930"/>
      <c r="G1" s="930"/>
      <c r="H1" s="930"/>
      <c r="I1" s="930"/>
      <c r="J1" s="930"/>
      <c r="K1" s="930"/>
      <c r="L1" s="930"/>
    </row>
    <row r="2" spans="1:12" ht="13.5">
      <c r="A2" s="930" t="str">
        <f>'1.1 Cover'!A3</f>
        <v>Price base - 2018/19</v>
      </c>
      <c r="B2" s="930"/>
      <c r="C2" s="930"/>
      <c r="D2" s="930"/>
      <c r="E2" s="930"/>
      <c r="F2" s="930"/>
      <c r="G2" s="930"/>
      <c r="H2" s="930"/>
      <c r="I2" s="930"/>
      <c r="J2" s="930"/>
      <c r="K2" s="930"/>
      <c r="L2" s="930"/>
    </row>
    <row r="3" spans="1:12" ht="33.950000000000003" customHeight="1">
      <c r="A3" s="935" t="s">
        <v>1940</v>
      </c>
      <c r="B3" s="930"/>
      <c r="C3" s="930"/>
      <c r="D3" s="930"/>
      <c r="E3" s="930"/>
      <c r="F3" s="930"/>
      <c r="G3" s="930"/>
      <c r="H3" s="930"/>
      <c r="I3" s="930"/>
      <c r="J3" s="930"/>
      <c r="K3" s="930"/>
      <c r="L3" s="930"/>
    </row>
    <row r="4" spans="1:12" ht="12.75" thickBot="1"/>
    <row r="5" spans="1:12">
      <c r="A5" s="1090"/>
      <c r="B5" s="1091"/>
      <c r="C5" s="1061"/>
      <c r="D5" s="1092"/>
      <c r="E5" s="1061"/>
      <c r="F5" s="1061"/>
      <c r="G5" s="1061"/>
      <c r="H5" s="1061"/>
      <c r="I5" s="1061"/>
      <c r="J5" s="1061"/>
      <c r="K5" s="1061"/>
      <c r="L5" s="1093"/>
    </row>
    <row r="6" spans="1:12">
      <c r="A6" s="1094"/>
      <c r="B6" s="1095"/>
      <c r="D6" s="1096"/>
      <c r="L6" s="1097"/>
    </row>
    <row r="7" spans="1:12" ht="13.5">
      <c r="A7" s="990" t="s">
        <v>1483</v>
      </c>
      <c r="B7" s="1095"/>
      <c r="D7" s="1096"/>
      <c r="L7" s="1097"/>
    </row>
    <row r="8" spans="1:12" ht="13.5">
      <c r="A8" s="1094"/>
      <c r="B8" s="1095"/>
      <c r="D8" s="1096"/>
      <c r="G8" s="937" t="s">
        <v>1420</v>
      </c>
      <c r="H8" s="937" t="s">
        <v>1421</v>
      </c>
      <c r="I8" s="937" t="s">
        <v>1422</v>
      </c>
      <c r="J8" s="937" t="s">
        <v>1423</v>
      </c>
      <c r="K8" s="937" t="s">
        <v>1424</v>
      </c>
      <c r="L8" s="1097"/>
    </row>
    <row r="9" spans="1:12">
      <c r="A9" s="1094"/>
      <c r="B9" s="1095"/>
      <c r="D9" s="1096"/>
      <c r="L9" s="1097"/>
    </row>
    <row r="10" spans="1:12">
      <c r="A10" s="1094"/>
      <c r="B10" s="1095"/>
      <c r="D10" s="1096"/>
      <c r="L10" s="1097"/>
    </row>
    <row r="11" spans="1:12">
      <c r="B11" s="1095"/>
      <c r="D11" s="1096"/>
      <c r="L11" s="1097"/>
    </row>
    <row r="12" spans="1:12">
      <c r="A12" s="969"/>
      <c r="B12" s="1095"/>
      <c r="D12" s="1096"/>
      <c r="L12" s="1097"/>
    </row>
    <row r="13" spans="1:12" ht="15.4">
      <c r="A13" s="1098"/>
      <c r="B13" s="1099" t="s">
        <v>2128</v>
      </c>
      <c r="C13" s="1100" t="s">
        <v>1484</v>
      </c>
      <c r="D13" s="1096"/>
      <c r="E13" s="1095" t="s">
        <v>1428</v>
      </c>
      <c r="G13" s="1101">
        <f>G31</f>
        <v>0</v>
      </c>
      <c r="H13" s="1101">
        <f t="shared" ref="H13:K13" si="0">H31</f>
        <v>0</v>
      </c>
      <c r="I13" s="1101">
        <f t="shared" si="0"/>
        <v>0</v>
      </c>
      <c r="J13" s="1101">
        <f t="shared" si="0"/>
        <v>0</v>
      </c>
      <c r="K13" s="1101">
        <f t="shared" si="0"/>
        <v>0</v>
      </c>
      <c r="L13" s="1097"/>
    </row>
    <row r="14" spans="1:12" ht="14.25">
      <c r="A14" s="1098" t="s">
        <v>2129</v>
      </c>
      <c r="B14" s="1099" t="s">
        <v>1485</v>
      </c>
      <c r="C14" s="1100" t="s">
        <v>1484</v>
      </c>
      <c r="D14" s="1096"/>
      <c r="E14" s="1095" t="s">
        <v>1428</v>
      </c>
      <c r="G14" s="1102">
        <v>239.26</v>
      </c>
      <c r="H14" s="1102">
        <v>239.26</v>
      </c>
      <c r="I14" s="1102">
        <v>239.26</v>
      </c>
      <c r="J14" s="1102">
        <v>239.26</v>
      </c>
      <c r="K14" s="1102">
        <v>239.26</v>
      </c>
      <c r="L14" s="1097"/>
    </row>
    <row r="15" spans="1:12" ht="14.25">
      <c r="A15" s="973" t="s">
        <v>2130</v>
      </c>
      <c r="B15" s="1099" t="s">
        <v>1486</v>
      </c>
      <c r="C15" s="1100" t="s">
        <v>1484</v>
      </c>
      <c r="E15" s="1095" t="s">
        <v>1428</v>
      </c>
      <c r="G15" s="1102">
        <v>761.3</v>
      </c>
      <c r="H15" s="1102">
        <v>761.3</v>
      </c>
      <c r="I15" s="1102">
        <v>761.3</v>
      </c>
      <c r="J15" s="1102">
        <v>761.3</v>
      </c>
      <c r="K15" s="1102">
        <v>761.3</v>
      </c>
      <c r="L15" s="1097"/>
    </row>
    <row r="16" spans="1:12" ht="15.4">
      <c r="A16" s="1098" t="s">
        <v>1482</v>
      </c>
      <c r="B16" s="984" t="s">
        <v>2131</v>
      </c>
      <c r="C16" s="1103" t="s">
        <v>1484</v>
      </c>
      <c r="D16" s="984"/>
      <c r="E16" s="984"/>
      <c r="F16" s="984"/>
      <c r="G16" s="443">
        <f>IFERROR(73.4%*G14*(G13/G15),0)</f>
        <v>0</v>
      </c>
      <c r="H16" s="443">
        <f t="shared" ref="H16:K16" si="1">IFERROR(73.4%*H14*(H13/H15),0)</f>
        <v>0</v>
      </c>
      <c r="I16" s="443">
        <f t="shared" si="1"/>
        <v>0</v>
      </c>
      <c r="J16" s="443">
        <f t="shared" si="1"/>
        <v>0</v>
      </c>
      <c r="K16" s="443">
        <f t="shared" si="1"/>
        <v>0</v>
      </c>
      <c r="L16" s="1097"/>
    </row>
    <row r="17" spans="1:12">
      <c r="A17" s="973"/>
      <c r="L17" s="1097"/>
    </row>
    <row r="18" spans="1:12">
      <c r="A18" s="973"/>
      <c r="L18" s="1097"/>
    </row>
    <row r="19" spans="1:12">
      <c r="A19" s="973"/>
      <c r="L19" s="1097"/>
    </row>
    <row r="20" spans="1:12">
      <c r="A20" s="973"/>
      <c r="L20" s="1097"/>
    </row>
    <row r="21" spans="1:12">
      <c r="A21" s="969" t="s">
        <v>1487</v>
      </c>
      <c r="L21" s="1097"/>
    </row>
    <row r="22" spans="1:12">
      <c r="A22" s="973"/>
      <c r="L22" s="1097"/>
    </row>
    <row r="23" spans="1:12" ht="15.4">
      <c r="A23" s="1104" t="s">
        <v>1467</v>
      </c>
      <c r="B23" s="1099" t="s">
        <v>1933</v>
      </c>
      <c r="C23" s="1099" t="s">
        <v>1439</v>
      </c>
      <c r="E23" s="1095" t="s">
        <v>1428</v>
      </c>
      <c r="G23" s="1101">
        <f>'4.5 TO Re-openers'!H30</f>
        <v>0</v>
      </c>
      <c r="H23" s="1101">
        <f>'4.5 TO Re-openers'!I30</f>
        <v>0</v>
      </c>
      <c r="I23" s="1101">
        <f>'4.5 TO Re-openers'!J30</f>
        <v>0</v>
      </c>
      <c r="J23" s="1101">
        <f>'4.5 TO Re-openers'!K30</f>
        <v>0</v>
      </c>
      <c r="K23" s="1101">
        <f>'4.5 TO Re-openers'!L30</f>
        <v>0</v>
      </c>
      <c r="L23" s="1105"/>
    </row>
    <row r="24" spans="1:12" ht="15.4">
      <c r="A24" s="1104" t="s">
        <v>1442</v>
      </c>
      <c r="B24" s="1099" t="s">
        <v>1921</v>
      </c>
      <c r="C24" s="1099" t="s">
        <v>1920</v>
      </c>
      <c r="E24" s="1095" t="s">
        <v>1428</v>
      </c>
      <c r="F24" s="1095"/>
      <c r="G24" s="1101">
        <f>'4.5 TO Re-openers'!H36</f>
        <v>0</v>
      </c>
      <c r="H24" s="1101">
        <f>'4.5 TO Re-openers'!I36</f>
        <v>0</v>
      </c>
      <c r="I24" s="1101">
        <f>'4.5 TO Re-openers'!J36</f>
        <v>0</v>
      </c>
      <c r="J24" s="1101">
        <f>'4.5 TO Re-openers'!K36</f>
        <v>0</v>
      </c>
      <c r="K24" s="1101">
        <f>'4.5 TO Re-openers'!L36</f>
        <v>0</v>
      </c>
      <c r="L24" s="1105"/>
    </row>
    <row r="25" spans="1:12" ht="15.4">
      <c r="A25" s="1104" t="s">
        <v>1488</v>
      </c>
      <c r="B25" s="1099" t="s">
        <v>1915</v>
      </c>
      <c r="C25" s="1099" t="s">
        <v>1489</v>
      </c>
      <c r="E25" s="1095" t="s">
        <v>1428</v>
      </c>
      <c r="F25" s="1095"/>
      <c r="G25" s="1101">
        <f>'4.5 TO Re-openers'!H41</f>
        <v>0</v>
      </c>
      <c r="H25" s="1101">
        <f>'4.5 TO Re-openers'!I41</f>
        <v>0</v>
      </c>
      <c r="I25" s="1101">
        <f>'4.5 TO Re-openers'!J41</f>
        <v>0</v>
      </c>
      <c r="J25" s="1101">
        <f>'4.5 TO Re-openers'!K41</f>
        <v>0</v>
      </c>
      <c r="K25" s="1101">
        <f>'4.5 TO Re-openers'!L41</f>
        <v>0</v>
      </c>
      <c r="L25" s="1105"/>
    </row>
    <row r="26" spans="1:12" ht="15.4">
      <c r="A26" s="1104" t="s">
        <v>1470</v>
      </c>
      <c r="B26" s="1099" t="s">
        <v>1932</v>
      </c>
      <c r="C26" s="1099" t="s">
        <v>1444</v>
      </c>
      <c r="E26" s="1095" t="s">
        <v>1428</v>
      </c>
      <c r="F26" s="1095"/>
      <c r="G26" s="1101">
        <f>'4.5 TO Re-openers'!H56</f>
        <v>0</v>
      </c>
      <c r="H26" s="1101">
        <f>'4.5 TO Re-openers'!I56</f>
        <v>0</v>
      </c>
      <c r="I26" s="1101">
        <f>'4.5 TO Re-openers'!J56</f>
        <v>0</v>
      </c>
      <c r="J26" s="1101">
        <f>'4.5 TO Re-openers'!K56</f>
        <v>0</v>
      </c>
      <c r="K26" s="1101">
        <f>'4.5 TO Re-openers'!L56</f>
        <v>0</v>
      </c>
      <c r="L26" s="1105"/>
    </row>
    <row r="27" spans="1:12" ht="15.4">
      <c r="A27" s="1104" t="s">
        <v>1472</v>
      </c>
      <c r="B27" s="1099" t="s">
        <v>1934</v>
      </c>
      <c r="C27" s="1099" t="s">
        <v>1447</v>
      </c>
      <c r="E27" s="1095" t="s">
        <v>1428</v>
      </c>
      <c r="F27" s="1095"/>
      <c r="G27" s="1101">
        <f>'4.5 TO Re-openers'!H62</f>
        <v>0</v>
      </c>
      <c r="H27" s="1101">
        <f>'4.5 TO Re-openers'!I62</f>
        <v>0</v>
      </c>
      <c r="I27" s="1101">
        <f>'4.5 TO Re-openers'!J62</f>
        <v>0</v>
      </c>
      <c r="J27" s="1101">
        <f>'4.5 TO Re-openers'!K62</f>
        <v>0</v>
      </c>
      <c r="K27" s="1101">
        <f>'4.5 TO Re-openers'!L62</f>
        <v>0</v>
      </c>
      <c r="L27" s="1105"/>
    </row>
    <row r="28" spans="1:12" ht="15.4">
      <c r="A28" s="1104" t="s">
        <v>1473</v>
      </c>
      <c r="B28" s="1099" t="s">
        <v>1937</v>
      </c>
      <c r="C28" s="1099" t="s">
        <v>1449</v>
      </c>
      <c r="E28" s="1095" t="s">
        <v>1428</v>
      </c>
      <c r="F28" s="1095"/>
      <c r="G28" s="1101">
        <f>'4.5 TO Re-openers'!H68</f>
        <v>0</v>
      </c>
      <c r="H28" s="1101">
        <f>'4.5 TO Re-openers'!I68</f>
        <v>0</v>
      </c>
      <c r="I28" s="1101">
        <f>'4.5 TO Re-openers'!J68</f>
        <v>0</v>
      </c>
      <c r="J28" s="1101">
        <f>'4.5 TO Re-openers'!K68</f>
        <v>0</v>
      </c>
      <c r="K28" s="1101">
        <f>'4.5 TO Re-openers'!L68</f>
        <v>0</v>
      </c>
      <c r="L28" s="1105"/>
    </row>
    <row r="29" spans="1:12" ht="15.4">
      <c r="A29" s="1104" t="s">
        <v>1474</v>
      </c>
      <c r="B29" s="1099" t="s">
        <v>1939</v>
      </c>
      <c r="C29" s="1099" t="s">
        <v>1451</v>
      </c>
      <c r="E29" s="1095" t="s">
        <v>1428</v>
      </c>
      <c r="F29" s="1095"/>
      <c r="G29" s="1101">
        <f>'4.5 TO Re-openers'!H74</f>
        <v>0</v>
      </c>
      <c r="H29" s="1101">
        <f>'4.5 TO Re-openers'!I74</f>
        <v>0</v>
      </c>
      <c r="I29" s="1101">
        <f>'4.5 TO Re-openers'!J74</f>
        <v>0</v>
      </c>
      <c r="J29" s="1101">
        <f>'4.5 TO Re-openers'!K74</f>
        <v>0</v>
      </c>
      <c r="K29" s="1101">
        <f>'4.5 TO Re-openers'!L74</f>
        <v>0</v>
      </c>
      <c r="L29" s="1105"/>
    </row>
    <row r="30" spans="1:12" ht="15.4">
      <c r="A30" s="1104" t="s">
        <v>2132</v>
      </c>
      <c r="B30" s="1099" t="s">
        <v>1924</v>
      </c>
      <c r="C30" s="1099" t="s">
        <v>1923</v>
      </c>
      <c r="E30" s="1095" t="s">
        <v>1428</v>
      </c>
      <c r="F30" s="1095"/>
      <c r="G30" s="1101">
        <f>'4.5 TO Re-openers'!H78</f>
        <v>0</v>
      </c>
      <c r="H30" s="1101">
        <f>'4.5 TO Re-openers'!I78</f>
        <v>0</v>
      </c>
      <c r="I30" s="1101">
        <f>'4.5 TO Re-openers'!J78</f>
        <v>0</v>
      </c>
      <c r="J30" s="1101">
        <f>'4.5 TO Re-openers'!K78</f>
        <v>0</v>
      </c>
      <c r="K30" s="1101">
        <f>'4.5 TO Re-openers'!L78</f>
        <v>0</v>
      </c>
      <c r="L30" s="1105"/>
    </row>
    <row r="31" spans="1:12" ht="15.4">
      <c r="A31" s="1104"/>
      <c r="B31" s="1106" t="s">
        <v>2133</v>
      </c>
      <c r="C31" s="1106" t="s">
        <v>1484</v>
      </c>
      <c r="D31" s="984"/>
      <c r="E31" s="1107" t="s">
        <v>1428</v>
      </c>
      <c r="F31" s="984"/>
      <c r="G31" s="443">
        <f>SUM(G23:G30)</f>
        <v>0</v>
      </c>
      <c r="H31" s="443">
        <f>SUM(H23:H30)</f>
        <v>0</v>
      </c>
      <c r="I31" s="443">
        <f>SUM(I23:I30)</f>
        <v>0</v>
      </c>
      <c r="J31" s="443">
        <f>SUM(J23:J30)</f>
        <v>0</v>
      </c>
      <c r="K31" s="443">
        <f>SUM(K23:K30)</f>
        <v>0</v>
      </c>
      <c r="L31" s="1097"/>
    </row>
    <row r="32" spans="1:12">
      <c r="A32" s="973"/>
      <c r="L32" s="1097"/>
    </row>
    <row r="33" spans="1:12" ht="12.75" thickBot="1">
      <c r="A33" s="1108"/>
      <c r="B33" s="1109"/>
      <c r="C33" s="1109"/>
      <c r="D33" s="1109"/>
      <c r="E33" s="1109"/>
      <c r="F33" s="1109"/>
      <c r="G33" s="1109"/>
      <c r="H33" s="1109"/>
      <c r="I33" s="1109"/>
      <c r="J33" s="1109"/>
      <c r="K33" s="1109"/>
      <c r="L33" s="1110"/>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90" zoomScaleNormal="90" workbookViewId="0">
      <pane ySplit="5" topLeftCell="A6" activePane="bottomLeft" state="frozen"/>
      <selection activeCell="F30" sqref="F30"/>
      <selection pane="bottomLeft"/>
    </sheetView>
  </sheetViews>
  <sheetFormatPr defaultColWidth="10.265625" defaultRowHeight="12.75"/>
  <cols>
    <col min="1" max="1" width="65.265625" style="1007" customWidth="1"/>
    <col min="2" max="2" width="10.1328125" style="1007" customWidth="1"/>
    <col min="3" max="3" width="5.59765625" style="1007" customWidth="1"/>
    <col min="4" max="4" width="12.86328125" style="1007" customWidth="1"/>
    <col min="5" max="5" width="13.73046875" style="1007" customWidth="1"/>
    <col min="6" max="6" width="14" style="1007" customWidth="1"/>
    <col min="7" max="7" width="16.1328125" style="1007" bestFit="1" customWidth="1"/>
    <col min="8" max="8" width="14.3984375" style="1007" bestFit="1" customWidth="1"/>
    <col min="9" max="9" width="16.1328125" style="1007" bestFit="1" customWidth="1"/>
    <col min="10" max="11" width="14.3984375" style="1007" bestFit="1" customWidth="1"/>
    <col min="12" max="12" width="10.265625" style="1007" customWidth="1"/>
    <col min="13" max="13" width="67.265625" style="1007" customWidth="1"/>
    <col min="14" max="15" width="17.265625" style="1007" customWidth="1"/>
    <col min="16" max="16384" width="10.265625" style="1007"/>
  </cols>
  <sheetData>
    <row r="1" spans="1:13" s="1001" customFormat="1" ht="15">
      <c r="A1" s="930" t="s">
        <v>1418</v>
      </c>
      <c r="B1" s="998"/>
      <c r="C1" s="998"/>
      <c r="D1" s="998"/>
      <c r="E1" s="999"/>
      <c r="F1" s="999"/>
      <c r="G1" s="999"/>
      <c r="H1" s="1000"/>
      <c r="I1" s="1000"/>
      <c r="J1" s="1000"/>
      <c r="K1" s="1000"/>
      <c r="L1" s="1000"/>
    </row>
    <row r="2" spans="1:13" s="1001" customFormat="1" ht="15">
      <c r="A2" s="930" t="str">
        <f>'1.1 Cover'!A3</f>
        <v>Price base - 2018/19</v>
      </c>
      <c r="B2" s="1002"/>
      <c r="C2" s="1002"/>
      <c r="D2" s="1002"/>
      <c r="E2" s="1000"/>
      <c r="F2" s="1000"/>
      <c r="G2" s="1000"/>
      <c r="H2" s="1000"/>
      <c r="I2" s="1000"/>
      <c r="J2" s="1000"/>
      <c r="K2" s="1000"/>
      <c r="L2" s="1000"/>
    </row>
    <row r="3" spans="1:13" s="1001" customFormat="1" ht="33.950000000000003" customHeight="1">
      <c r="A3" s="1002" t="s">
        <v>2134</v>
      </c>
      <c r="B3" s="1002"/>
      <c r="C3" s="1002"/>
      <c r="D3" s="1002"/>
      <c r="E3" s="1000"/>
      <c r="F3" s="1000"/>
      <c r="G3" s="1000"/>
      <c r="H3" s="1000"/>
      <c r="I3" s="1000"/>
      <c r="J3" s="1000"/>
      <c r="K3" s="1000"/>
      <c r="L3" s="1000"/>
    </row>
    <row r="4" spans="1:13" ht="13.9">
      <c r="A4" s="1003"/>
      <c r="B4" s="1003"/>
      <c r="C4" s="1003"/>
      <c r="D4" s="1004"/>
      <c r="E4" s="1005"/>
      <c r="F4" s="1005"/>
      <c r="G4" s="1005"/>
      <c r="H4" s="1005"/>
      <c r="I4" s="1005"/>
      <c r="J4" s="1005"/>
      <c r="K4" s="1005"/>
      <c r="L4" s="1006"/>
    </row>
    <row r="5" spans="1:13" ht="17.649999999999999">
      <c r="A5" s="1008"/>
      <c r="B5" s="1003"/>
      <c r="C5" s="1003"/>
      <c r="D5" s="1003"/>
      <c r="E5" s="1009"/>
      <c r="F5" s="1009"/>
      <c r="G5" s="966" t="s">
        <v>1420</v>
      </c>
      <c r="H5" s="966" t="s">
        <v>1421</v>
      </c>
      <c r="I5" s="966" t="s">
        <v>1422</v>
      </c>
      <c r="J5" s="966" t="s">
        <v>1423</v>
      </c>
      <c r="K5" s="966" t="s">
        <v>1424</v>
      </c>
      <c r="L5" s="1011"/>
    </row>
    <row r="6" spans="1:13" s="950" customFormat="1" ht="13.9" thickBot="1">
      <c r="A6" s="962"/>
      <c r="B6" s="962"/>
      <c r="C6" s="962"/>
      <c r="D6" s="962"/>
      <c r="E6" s="965"/>
      <c r="F6" s="965"/>
      <c r="G6" s="968"/>
      <c r="H6" s="968"/>
      <c r="I6" s="968"/>
      <c r="J6" s="968"/>
      <c r="K6" s="963"/>
      <c r="L6" s="936"/>
      <c r="M6" s="962"/>
    </row>
    <row r="7" spans="1:13" s="950" customFormat="1" ht="18.600000000000001" customHeight="1">
      <c r="A7" s="1111" t="s">
        <v>2134</v>
      </c>
      <c r="B7" s="1058"/>
      <c r="C7" s="1059"/>
      <c r="D7" s="1060"/>
      <c r="E7" s="1059"/>
      <c r="F7" s="1112"/>
      <c r="G7" s="1059"/>
      <c r="H7" s="1059"/>
      <c r="I7" s="1059"/>
      <c r="J7" s="1059"/>
      <c r="K7" s="1059"/>
      <c r="L7" s="1062"/>
      <c r="M7" s="962"/>
    </row>
    <row r="8" spans="1:13" s="950" customFormat="1" ht="18" customHeight="1">
      <c r="A8" s="1064" t="s">
        <v>1536</v>
      </c>
      <c r="B8" s="941" t="s">
        <v>1957</v>
      </c>
      <c r="C8" s="941" t="s">
        <v>1537</v>
      </c>
      <c r="E8" s="942" t="s">
        <v>1428</v>
      </c>
      <c r="F8" s="939"/>
      <c r="G8" s="1065">
        <f>G17</f>
        <v>-3.645</v>
      </c>
      <c r="H8" s="1065">
        <f t="shared" ref="H8:K8" si="0">H17</f>
        <v>-3.645</v>
      </c>
      <c r="I8" s="1065">
        <f t="shared" si="0"/>
        <v>-3.645</v>
      </c>
      <c r="J8" s="1065">
        <f t="shared" si="0"/>
        <v>-3.645</v>
      </c>
      <c r="K8" s="1065">
        <f t="shared" si="0"/>
        <v>-3.645</v>
      </c>
      <c r="L8" s="1066"/>
    </row>
    <row r="9" spans="1:13" s="950" customFormat="1" ht="15.4">
      <c r="A9" s="1064" t="s">
        <v>1538</v>
      </c>
      <c r="B9" s="941" t="s">
        <v>1958</v>
      </c>
      <c r="C9" s="941" t="s">
        <v>1539</v>
      </c>
      <c r="E9" s="942" t="s">
        <v>1428</v>
      </c>
      <c r="F9" s="939"/>
      <c r="G9" s="1065">
        <f>G47</f>
        <v>-4.5719466000000014E-2</v>
      </c>
      <c r="H9" s="1065">
        <f t="shared" ref="H9:K9" si="1">H47</f>
        <v>-0.10977482099999998</v>
      </c>
      <c r="I9" s="1065">
        <f t="shared" si="1"/>
        <v>-0.10970306099999999</v>
      </c>
      <c r="J9" s="1065">
        <f t="shared" si="1"/>
        <v>-0.10924403099999998</v>
      </c>
      <c r="K9" s="1065">
        <f t="shared" si="1"/>
        <v>-0.10910636100000007</v>
      </c>
      <c r="L9" s="1066"/>
    </row>
    <row r="10" spans="1:13" s="950" customFormat="1" thickBot="1">
      <c r="A10" s="1113"/>
      <c r="B10" s="1071"/>
      <c r="C10" s="1071"/>
      <c r="D10" s="1071"/>
      <c r="E10" s="1071"/>
      <c r="F10" s="1071"/>
      <c r="G10" s="1071"/>
      <c r="H10" s="1071"/>
      <c r="I10" s="1071"/>
      <c r="J10" s="1071"/>
      <c r="K10" s="1071"/>
      <c r="L10" s="1073"/>
    </row>
    <row r="11" spans="1:13" s="950" customFormat="1" ht="12.4">
      <c r="A11" s="1114"/>
    </row>
    <row r="12" spans="1:13" s="950" customFormat="1" ht="13.9" thickBot="1">
      <c r="D12" s="1115"/>
      <c r="E12" s="1115"/>
      <c r="F12" s="1115"/>
      <c r="G12" s="1115"/>
      <c r="H12" s="1115"/>
      <c r="I12" s="1115"/>
      <c r="J12" s="1115"/>
    </row>
    <row r="13" spans="1:13" s="950" customFormat="1" ht="13.5">
      <c r="A13" s="1057" t="s">
        <v>1536</v>
      </c>
      <c r="B13" s="1076"/>
      <c r="C13" s="1076"/>
      <c r="D13" s="1116"/>
      <c r="E13" s="1116"/>
      <c r="F13" s="1116"/>
      <c r="G13" s="1116"/>
      <c r="H13" s="1116"/>
      <c r="I13" s="1116"/>
      <c r="J13" s="1116"/>
      <c r="K13" s="1076"/>
      <c r="L13" s="1077"/>
    </row>
    <row r="14" spans="1:13" s="950" customFormat="1" ht="13.5">
      <c r="A14" s="1117"/>
      <c r="D14" s="1115"/>
      <c r="E14" s="1115"/>
      <c r="F14" s="1115"/>
      <c r="G14" s="1115"/>
      <c r="H14" s="1115"/>
      <c r="I14" s="1115"/>
      <c r="J14" s="1115"/>
      <c r="L14" s="1066"/>
    </row>
    <row r="15" spans="1:13" s="950" customFormat="1" ht="14.25">
      <c r="A15" s="1088" t="s">
        <v>1540</v>
      </c>
      <c r="B15" s="950" t="s">
        <v>1541</v>
      </c>
      <c r="C15" s="941" t="s">
        <v>1537</v>
      </c>
      <c r="D15" s="1115"/>
      <c r="E15" s="942" t="s">
        <v>1428</v>
      </c>
      <c r="F15" s="1115"/>
      <c r="G15" s="1102">
        <v>729</v>
      </c>
      <c r="H15" s="1102">
        <v>729</v>
      </c>
      <c r="I15" s="1102">
        <v>729</v>
      </c>
      <c r="J15" s="1102">
        <v>729</v>
      </c>
      <c r="K15" s="1102">
        <v>729</v>
      </c>
      <c r="L15" s="1066"/>
    </row>
    <row r="16" spans="1:13" s="950" customFormat="1" ht="15.4">
      <c r="A16" s="1088" t="s">
        <v>1542</v>
      </c>
      <c r="B16" s="950" t="s">
        <v>2135</v>
      </c>
      <c r="C16" s="941" t="s">
        <v>1537</v>
      </c>
      <c r="D16" s="1115"/>
      <c r="E16" s="942"/>
      <c r="F16" s="1115"/>
      <c r="G16" s="1065">
        <f>G30</f>
        <v>-5.0000000000000001E-3</v>
      </c>
      <c r="H16" s="1065">
        <f t="shared" ref="H16:K16" si="2">H30</f>
        <v>-5.0000000000000001E-3</v>
      </c>
      <c r="I16" s="1065">
        <f t="shared" si="2"/>
        <v>-5.0000000000000001E-3</v>
      </c>
      <c r="J16" s="1065">
        <f t="shared" si="2"/>
        <v>-5.0000000000000001E-3</v>
      </c>
      <c r="K16" s="1065">
        <f t="shared" si="2"/>
        <v>-5.0000000000000001E-3</v>
      </c>
      <c r="L16" s="1066"/>
    </row>
    <row r="17" spans="1:12" s="950" customFormat="1" ht="15.4">
      <c r="A17" s="1118" t="s">
        <v>1536</v>
      </c>
      <c r="B17" s="1087" t="s">
        <v>2136</v>
      </c>
      <c r="C17" s="1087" t="s">
        <v>1537</v>
      </c>
      <c r="D17" s="1115"/>
      <c r="E17" s="942" t="s">
        <v>1428</v>
      </c>
      <c r="F17" s="1115"/>
      <c r="G17" s="1083">
        <f>G15*G16</f>
        <v>-3.645</v>
      </c>
      <c r="H17" s="1083">
        <f t="shared" ref="H17:K17" si="3">H15*H16</f>
        <v>-3.645</v>
      </c>
      <c r="I17" s="1083">
        <f t="shared" si="3"/>
        <v>-3.645</v>
      </c>
      <c r="J17" s="1083">
        <f t="shared" si="3"/>
        <v>-3.645</v>
      </c>
      <c r="K17" s="1083">
        <f t="shared" si="3"/>
        <v>-3.645</v>
      </c>
      <c r="L17" s="1066"/>
    </row>
    <row r="18" spans="1:12" s="950" customFormat="1" ht="13.5">
      <c r="A18" s="1088"/>
      <c r="D18" s="1115"/>
      <c r="E18" s="1115"/>
      <c r="F18" s="1115"/>
      <c r="G18" s="1115"/>
      <c r="H18" s="1115"/>
      <c r="I18" s="1115"/>
      <c r="J18" s="1115"/>
      <c r="L18" s="1066"/>
    </row>
    <row r="19" spans="1:12" s="950" customFormat="1" ht="17.649999999999999">
      <c r="D19" s="1115"/>
      <c r="E19" s="1096" t="s">
        <v>2137</v>
      </c>
      <c r="F19" s="1115"/>
      <c r="G19" s="1115"/>
      <c r="H19" s="1115"/>
      <c r="I19" s="1119" t="s">
        <v>2138</v>
      </c>
      <c r="J19" s="1115"/>
      <c r="L19" s="1066"/>
    </row>
    <row r="20" spans="1:12" s="950" customFormat="1" ht="13.5">
      <c r="A20" s="1118"/>
      <c r="D20" s="1115"/>
      <c r="E20" s="1115"/>
      <c r="F20" s="1115"/>
      <c r="G20" s="1115"/>
      <c r="H20" s="1115"/>
      <c r="I20" s="1115"/>
      <c r="J20" s="1115"/>
      <c r="L20" s="1066"/>
    </row>
    <row r="21" spans="1:12" s="950" customFormat="1" ht="13.5">
      <c r="A21" s="1088"/>
      <c r="D21" s="1115"/>
      <c r="E21" s="1115"/>
      <c r="F21" s="1115"/>
      <c r="G21" s="1115"/>
      <c r="H21" s="1115"/>
      <c r="I21" s="1115"/>
      <c r="J21" s="1115"/>
      <c r="L21" s="1066"/>
    </row>
    <row r="22" spans="1:12" s="950" customFormat="1" ht="15.4">
      <c r="A22" s="1064" t="s">
        <v>2139</v>
      </c>
      <c r="F22" s="1115"/>
      <c r="G22" s="1115"/>
      <c r="H22" s="1115"/>
      <c r="I22" s="1115"/>
      <c r="J22" s="1115"/>
      <c r="L22" s="1066"/>
    </row>
    <row r="23" spans="1:12" s="950" customFormat="1" ht="13.5">
      <c r="A23" s="1088"/>
      <c r="F23" s="1115"/>
      <c r="L23" s="1066"/>
    </row>
    <row r="24" spans="1:12" s="950" customFormat="1" ht="13.5">
      <c r="A24" s="1120" t="s">
        <v>1543</v>
      </c>
      <c r="B24" s="934" t="s">
        <v>1544</v>
      </c>
      <c r="C24" s="941" t="s">
        <v>1537</v>
      </c>
      <c r="E24" s="950" t="s">
        <v>1545</v>
      </c>
      <c r="F24" s="1115"/>
      <c r="G24" s="703">
        <v>7.8</v>
      </c>
      <c r="H24" s="703">
        <v>7.8</v>
      </c>
      <c r="I24" s="703">
        <v>7.8</v>
      </c>
      <c r="J24" s="703">
        <v>7.8</v>
      </c>
      <c r="K24" s="703">
        <v>7.8</v>
      </c>
      <c r="L24" s="1066"/>
    </row>
    <row r="25" spans="1:12" s="950" customFormat="1" ht="13.5">
      <c r="A25" s="1120" t="s">
        <v>1546</v>
      </c>
      <c r="B25" s="934" t="s">
        <v>1547</v>
      </c>
      <c r="C25" s="941" t="s">
        <v>1537</v>
      </c>
      <c r="E25" s="950" t="s">
        <v>1545</v>
      </c>
      <c r="F25" s="1115"/>
      <c r="G25" s="703">
        <v>8.5</v>
      </c>
      <c r="H25" s="703">
        <v>8.5</v>
      </c>
      <c r="I25" s="703">
        <v>8.5</v>
      </c>
      <c r="J25" s="703">
        <v>8.5</v>
      </c>
      <c r="K25" s="703">
        <v>8.5</v>
      </c>
      <c r="L25" s="1066"/>
    </row>
    <row r="26" spans="1:12" s="950" customFormat="1" ht="13.5">
      <c r="A26" s="1120" t="s">
        <v>1548</v>
      </c>
      <c r="B26" s="934" t="s">
        <v>1549</v>
      </c>
      <c r="C26" s="941" t="s">
        <v>1537</v>
      </c>
      <c r="E26" s="950" t="s">
        <v>1403</v>
      </c>
      <c r="F26" s="1115"/>
      <c r="G26" s="704">
        <v>5.0000000000000001E-3</v>
      </c>
      <c r="H26" s="704">
        <v>5.0000000000000001E-3</v>
      </c>
      <c r="I26" s="704">
        <v>5.0000000000000001E-3</v>
      </c>
      <c r="J26" s="704">
        <v>5.0000000000000001E-3</v>
      </c>
      <c r="K26" s="704">
        <v>5.0000000000000001E-3</v>
      </c>
      <c r="L26" s="1066"/>
    </row>
    <row r="27" spans="1:12" s="950" customFormat="1" ht="13.5">
      <c r="A27" s="1120" t="s">
        <v>1550</v>
      </c>
      <c r="B27" s="934" t="s">
        <v>1551</v>
      </c>
      <c r="C27" s="941" t="s">
        <v>1537</v>
      </c>
      <c r="E27" s="950" t="s">
        <v>1545</v>
      </c>
      <c r="F27" s="1115"/>
      <c r="G27" s="703">
        <v>7.1</v>
      </c>
      <c r="H27" s="703">
        <v>7.1</v>
      </c>
      <c r="I27" s="703">
        <v>7.1</v>
      </c>
      <c r="J27" s="703">
        <v>7.1</v>
      </c>
      <c r="K27" s="703">
        <v>7.1</v>
      </c>
      <c r="L27" s="1066"/>
    </row>
    <row r="28" spans="1:12" s="950" customFormat="1" ht="13.5">
      <c r="A28" s="1120" t="s">
        <v>1552</v>
      </c>
      <c r="B28" s="934" t="s">
        <v>1553</v>
      </c>
      <c r="C28" s="941" t="s">
        <v>1537</v>
      </c>
      <c r="E28" s="950" t="s">
        <v>1403</v>
      </c>
      <c r="F28" s="1115"/>
      <c r="G28" s="704">
        <v>-5.0000000000000001E-3</v>
      </c>
      <c r="H28" s="704">
        <v>-5.0000000000000001E-3</v>
      </c>
      <c r="I28" s="704">
        <v>-5.0000000000000001E-3</v>
      </c>
      <c r="J28" s="704">
        <v>-5.0000000000000001E-3</v>
      </c>
      <c r="K28" s="704">
        <v>-5.0000000000000001E-3</v>
      </c>
      <c r="L28" s="1066"/>
    </row>
    <row r="29" spans="1:12" s="950" customFormat="1" ht="15.4">
      <c r="A29" s="1121" t="s">
        <v>1554</v>
      </c>
      <c r="B29" s="934" t="s">
        <v>2140</v>
      </c>
      <c r="C29" s="941" t="s">
        <v>1537</v>
      </c>
      <c r="E29" s="950" t="s">
        <v>1545</v>
      </c>
      <c r="F29" s="1115"/>
      <c r="G29" s="1334" cm="1">
        <f t="array" ref="G29:K29">TOCSPt</f>
        <v>0</v>
      </c>
      <c r="H29" s="1334">
        <v>0</v>
      </c>
      <c r="I29" s="1334">
        <v>0</v>
      </c>
      <c r="J29" s="1334">
        <v>0</v>
      </c>
      <c r="K29" s="1334">
        <v>0</v>
      </c>
      <c r="L29" s="1122" t="s">
        <v>2141</v>
      </c>
    </row>
    <row r="30" spans="1:12" s="950" customFormat="1" ht="15.4">
      <c r="A30" s="1088" t="s">
        <v>1542</v>
      </c>
      <c r="B30" s="934" t="s">
        <v>2142</v>
      </c>
      <c r="C30" s="941" t="s">
        <v>1537</v>
      </c>
      <c r="E30" s="950" t="s">
        <v>1556</v>
      </c>
      <c r="F30" s="1115"/>
      <c r="G30" s="705">
        <f>IF(G29&gt;G24,MIN(G26,G26*(G29-G24)/(G25-G24)),IF(G29&lt;G24,MAX(G28,G28*(G24-G29)/(G24-G27)),0))</f>
        <v>-5.0000000000000001E-3</v>
      </c>
      <c r="H30" s="705">
        <f t="shared" ref="H30:K30" si="4">IF(H29&gt;H24,MIN(H26,H26*(H29-H24)/(H25-H24)),IF(H29&lt;H24,MAX(H28,H28*(H24-H29)/(H24-H27)),0))</f>
        <v>-5.0000000000000001E-3</v>
      </c>
      <c r="I30" s="705">
        <f t="shared" si="4"/>
        <v>-5.0000000000000001E-3</v>
      </c>
      <c r="J30" s="705">
        <f t="shared" si="4"/>
        <v>-5.0000000000000001E-3</v>
      </c>
      <c r="K30" s="705">
        <f t="shared" si="4"/>
        <v>-5.0000000000000001E-3</v>
      </c>
      <c r="L30" s="1066"/>
    </row>
    <row r="31" spans="1:12" s="950" customFormat="1" ht="13.9" thickBot="1">
      <c r="A31" s="1089"/>
      <c r="B31" s="1071"/>
      <c r="C31" s="1071"/>
      <c r="D31" s="1123"/>
      <c r="E31" s="1123"/>
      <c r="F31" s="1123"/>
      <c r="G31" s="1123"/>
      <c r="H31" s="1123"/>
      <c r="I31" s="1123"/>
      <c r="J31" s="1123"/>
      <c r="K31" s="1071"/>
      <c r="L31" s="1073"/>
    </row>
    <row r="32" spans="1:12" s="950" customFormat="1" ht="13.9" thickBot="1">
      <c r="D32" s="1115"/>
      <c r="E32" s="1115"/>
      <c r="F32" s="1115"/>
      <c r="G32" s="1115"/>
      <c r="H32" s="1115"/>
      <c r="I32" s="1115"/>
      <c r="J32" s="1115"/>
    </row>
    <row r="33" spans="1:12" s="950" customFormat="1" ht="13.5">
      <c r="A33" s="1074"/>
      <c r="B33" s="1076"/>
      <c r="C33" s="1076"/>
      <c r="D33" s="1116"/>
      <c r="E33" s="1116"/>
      <c r="F33" s="1116"/>
      <c r="G33" s="1116"/>
      <c r="H33" s="1116"/>
      <c r="I33" s="1116"/>
      <c r="J33" s="1116"/>
      <c r="K33" s="1076"/>
      <c r="L33" s="1077"/>
    </row>
    <row r="34" spans="1:12">
      <c r="A34" s="1041"/>
      <c r="L34" s="1028"/>
    </row>
    <row r="35" spans="1:12">
      <c r="A35" s="1118" t="s">
        <v>2143</v>
      </c>
      <c r="L35" s="1028"/>
    </row>
    <row r="36" spans="1:12">
      <c r="A36" s="1124" t="s">
        <v>2144</v>
      </c>
      <c r="B36" s="981"/>
      <c r="C36" s="981"/>
      <c r="D36" s="981"/>
      <c r="E36" s="1125"/>
      <c r="F36" s="1125"/>
      <c r="G36" s="981"/>
      <c r="H36" s="981"/>
      <c r="I36" s="981"/>
      <c r="J36" s="981"/>
      <c r="K36" s="981"/>
      <c r="L36" s="1028"/>
    </row>
    <row r="37" spans="1:12" ht="41.1" customHeight="1">
      <c r="A37" s="1126" t="s">
        <v>2145</v>
      </c>
      <c r="C37" s="981"/>
      <c r="D37" s="981"/>
      <c r="E37" s="1125"/>
      <c r="F37" s="1125"/>
      <c r="G37" s="1127" t="s">
        <v>2146</v>
      </c>
      <c r="H37" s="981"/>
      <c r="I37" s="981"/>
      <c r="J37" s="981"/>
      <c r="K37" s="981"/>
      <c r="L37" s="1028"/>
    </row>
    <row r="38" spans="1:12" ht="22.5" customHeight="1">
      <c r="A38" s="1126"/>
      <c r="B38" s="1128"/>
      <c r="C38" s="981"/>
      <c r="D38" s="981"/>
      <c r="E38" s="1125"/>
      <c r="F38" s="1125"/>
      <c r="G38" s="1008"/>
      <c r="H38" s="1003"/>
      <c r="I38" s="1003"/>
      <c r="J38" s="1003"/>
      <c r="K38" s="1009"/>
      <c r="L38" s="1028"/>
    </row>
    <row r="39" spans="1:12">
      <c r="A39" s="1129" t="s">
        <v>2147</v>
      </c>
      <c r="B39" s="981" t="s">
        <v>2148</v>
      </c>
      <c r="D39" s="981"/>
      <c r="E39" s="1125" t="s">
        <v>1403</v>
      </c>
      <c r="F39" s="1125"/>
      <c r="G39" s="1130">
        <v>0.39</v>
      </c>
      <c r="H39" s="1130">
        <v>0.39</v>
      </c>
      <c r="I39" s="1130">
        <v>0.39</v>
      </c>
      <c r="J39" s="1130">
        <v>0.39</v>
      </c>
      <c r="K39" s="1130">
        <v>0.39</v>
      </c>
      <c r="L39" s="1028"/>
    </row>
    <row r="40" spans="1:12" ht="15.4">
      <c r="A40" s="1129" t="s">
        <v>2149</v>
      </c>
      <c r="B40" s="981" t="s">
        <v>2150</v>
      </c>
      <c r="D40" s="981"/>
      <c r="E40" s="1125" t="s">
        <v>2151</v>
      </c>
      <c r="F40" s="1125"/>
      <c r="G40" s="1131">
        <f>G57</f>
        <v>1.3795999999999999E-2</v>
      </c>
      <c r="H40" s="1131">
        <f t="shared" ref="H40:K40" si="5">H57</f>
        <v>1.4134000000000001E-2</v>
      </c>
      <c r="I40" s="1131">
        <f t="shared" si="5"/>
        <v>1.4309000000000001E-2</v>
      </c>
      <c r="J40" s="1131">
        <f t="shared" si="5"/>
        <v>1.4484E-2</v>
      </c>
      <c r="K40" s="1131">
        <f t="shared" si="5"/>
        <v>1.4659E-2</v>
      </c>
      <c r="L40" s="1028"/>
    </row>
    <row r="41" spans="1:12" ht="15.4">
      <c r="A41" s="1129" t="s">
        <v>2152</v>
      </c>
      <c r="B41" s="981" t="s">
        <v>2153</v>
      </c>
      <c r="D41" s="981"/>
      <c r="E41" s="1125" t="s">
        <v>2151</v>
      </c>
      <c r="F41" s="1125"/>
      <c r="G41" s="1131">
        <f>G68</f>
        <v>8.7900000000000001E-4</v>
      </c>
      <c r="H41" s="1131">
        <f t="shared" ref="H41:K41" si="6">H68</f>
        <v>8.9700000000000001E-4</v>
      </c>
      <c r="I41" s="1131">
        <f t="shared" si="6"/>
        <v>9.0600000000000001E-4</v>
      </c>
      <c r="J41" s="1131">
        <f t="shared" si="6"/>
        <v>1.8289999999999999E-3</v>
      </c>
      <c r="K41" s="1131">
        <f t="shared" si="6"/>
        <v>1.8469999999999999E-3</v>
      </c>
      <c r="L41" s="1028"/>
    </row>
    <row r="42" spans="1:12" ht="15.4">
      <c r="A42" s="1129" t="s">
        <v>2154</v>
      </c>
      <c r="B42" s="981" t="s">
        <v>2155</v>
      </c>
      <c r="D42" s="981"/>
      <c r="E42" s="1125" t="s">
        <v>2151</v>
      </c>
      <c r="F42" s="1125"/>
      <c r="G42" s="1131">
        <f>G79</f>
        <v>-3.0200000000000002E-4</v>
      </c>
      <c r="H42" s="1131">
        <f t="shared" ref="H42:K42" si="7">H79</f>
        <v>-3.0200000000000002E-4</v>
      </c>
      <c r="I42" s="1131">
        <f t="shared" si="7"/>
        <v>-3.0200000000000002E-4</v>
      </c>
      <c r="J42" s="1131">
        <f t="shared" si="7"/>
        <v>-3.0200000000000002E-4</v>
      </c>
      <c r="K42" s="1131">
        <f t="shared" si="7"/>
        <v>-3.7800000000000003E-4</v>
      </c>
      <c r="L42" s="1028"/>
    </row>
    <row r="43" spans="1:12" ht="15.4">
      <c r="A43" s="1129" t="s">
        <v>2156</v>
      </c>
      <c r="B43" s="981" t="s">
        <v>2157</v>
      </c>
      <c r="D43" s="981"/>
      <c r="E43" s="1125" t="s">
        <v>2151</v>
      </c>
      <c r="F43" s="1125"/>
      <c r="G43" s="1131">
        <f>G90</f>
        <v>7.6000000000000004E-5</v>
      </c>
      <c r="H43" s="1131">
        <f t="shared" ref="H43:K43" si="8">H90</f>
        <v>7.6000000000000004E-5</v>
      </c>
      <c r="I43" s="1131">
        <f t="shared" si="8"/>
        <v>7.6000000000000004E-5</v>
      </c>
      <c r="J43" s="1131">
        <f t="shared" si="8"/>
        <v>1.5300000000000001E-4</v>
      </c>
      <c r="K43" s="1131">
        <f t="shared" si="8"/>
        <v>3.8200000000000002E-4</v>
      </c>
      <c r="L43" s="1028"/>
    </row>
    <row r="44" spans="1:12" ht="15.4">
      <c r="A44" s="1129" t="s">
        <v>2158</v>
      </c>
      <c r="B44" s="981" t="s">
        <v>2159</v>
      </c>
      <c r="D44" s="981"/>
      <c r="E44" s="1125" t="s">
        <v>2151</v>
      </c>
      <c r="F44" s="1125"/>
      <c r="G44" s="1131">
        <f>G101</f>
        <v>1.9999999999999999E-6</v>
      </c>
      <c r="H44" s="1131">
        <f t="shared" ref="H44:K44" si="9">H101</f>
        <v>1.9999999999999999E-6</v>
      </c>
      <c r="I44" s="1131">
        <f t="shared" si="9"/>
        <v>1.9999999999999999E-6</v>
      </c>
      <c r="J44" s="1131">
        <f t="shared" si="9"/>
        <v>3.9999999999999998E-6</v>
      </c>
      <c r="K44" s="1131">
        <f t="shared" si="9"/>
        <v>1.1E-5</v>
      </c>
      <c r="L44" s="1028"/>
    </row>
    <row r="45" spans="1:12" ht="15.4">
      <c r="A45" s="1129" t="s">
        <v>2160</v>
      </c>
      <c r="B45" s="981" t="s">
        <v>2161</v>
      </c>
      <c r="D45" s="981"/>
      <c r="E45" s="1125" t="s">
        <v>2151</v>
      </c>
      <c r="F45" s="1125"/>
      <c r="G45" s="1131">
        <f>G107</f>
        <v>0</v>
      </c>
      <c r="H45" s="1131">
        <f>H107</f>
        <v>0</v>
      </c>
      <c r="I45" s="1131">
        <f t="shared" ref="I45:K45" si="10">I107</f>
        <v>0</v>
      </c>
      <c r="J45" s="1131">
        <f t="shared" si="10"/>
        <v>0</v>
      </c>
      <c r="K45" s="1131">
        <f t="shared" si="10"/>
        <v>0</v>
      </c>
      <c r="L45" s="1028"/>
    </row>
    <row r="46" spans="1:12" ht="15.4">
      <c r="A46" s="1129" t="s">
        <v>2162</v>
      </c>
      <c r="B46" s="981" t="s">
        <v>2163</v>
      </c>
      <c r="D46" s="981"/>
      <c r="E46" s="1125" t="s">
        <v>2151</v>
      </c>
      <c r="F46" s="1125"/>
      <c r="G46" s="1131">
        <f>G122</f>
        <v>-0.13168040000000003</v>
      </c>
      <c r="H46" s="1131">
        <f t="shared" ref="H46:J46" si="11">H122</f>
        <v>-0.29628089999999996</v>
      </c>
      <c r="I46" s="1131">
        <f t="shared" si="11"/>
        <v>-0.29628089999999996</v>
      </c>
      <c r="J46" s="1131">
        <f t="shared" si="11"/>
        <v>-0.29628089999999996</v>
      </c>
      <c r="K46" s="1131">
        <f>K154</f>
        <v>-0.29628090000000018</v>
      </c>
      <c r="L46" s="1028"/>
    </row>
    <row r="47" spans="1:12" ht="15.4">
      <c r="A47" s="1129" t="s">
        <v>2164</v>
      </c>
      <c r="B47" s="1132" t="s">
        <v>2165</v>
      </c>
      <c r="D47" s="981"/>
      <c r="E47" s="1133" t="s">
        <v>2151</v>
      </c>
      <c r="F47" s="1125"/>
      <c r="G47" s="1134">
        <f>G39*(SUM(G40:G46))</f>
        <v>-4.5719466000000014E-2</v>
      </c>
      <c r="H47" s="1134">
        <f t="shared" ref="H47:K47" si="12">H39*(SUM(H40:H46))</f>
        <v>-0.10977482099999998</v>
      </c>
      <c r="I47" s="1134">
        <f t="shared" si="12"/>
        <v>-0.10970306099999999</v>
      </c>
      <c r="J47" s="1134">
        <f t="shared" si="12"/>
        <v>-0.10924403099999998</v>
      </c>
      <c r="K47" s="1134">
        <f t="shared" si="12"/>
        <v>-0.10910636100000007</v>
      </c>
      <c r="L47" s="1028"/>
    </row>
    <row r="48" spans="1:12">
      <c r="A48" s="1129"/>
      <c r="B48" s="981"/>
      <c r="D48" s="981"/>
      <c r="E48" s="1125"/>
      <c r="F48" s="1125"/>
      <c r="G48" s="981"/>
      <c r="H48" s="981"/>
      <c r="I48" s="981"/>
      <c r="J48" s="981"/>
      <c r="K48" s="981"/>
      <c r="L48" s="1028"/>
    </row>
    <row r="49" spans="1:12">
      <c r="A49" s="1135" t="s">
        <v>2166</v>
      </c>
      <c r="B49" s="981"/>
      <c r="D49" s="981"/>
      <c r="E49" s="1125"/>
      <c r="F49" s="1125"/>
      <c r="G49" s="1136" t="s">
        <v>2167</v>
      </c>
      <c r="H49" s="981"/>
      <c r="I49" s="981"/>
      <c r="J49" s="981"/>
      <c r="K49" s="981"/>
      <c r="L49" s="1028"/>
    </row>
    <row r="50" spans="1:12">
      <c r="A50" s="1129"/>
      <c r="B50" s="981"/>
      <c r="D50" s="981"/>
      <c r="E50" s="1125"/>
      <c r="F50" s="1125"/>
      <c r="G50" s="981"/>
      <c r="H50" s="981"/>
      <c r="I50" s="981"/>
      <c r="J50" s="981"/>
      <c r="K50" s="981"/>
      <c r="L50" s="1028"/>
    </row>
    <row r="51" spans="1:12" ht="15.4">
      <c r="A51" s="1129" t="s">
        <v>2168</v>
      </c>
      <c r="B51" s="962" t="s">
        <v>2169</v>
      </c>
      <c r="D51" s="962"/>
      <c r="E51" s="1137" t="s">
        <v>2170</v>
      </c>
      <c r="F51" s="1137"/>
      <c r="G51" s="1138">
        <v>13796</v>
      </c>
      <c r="H51" s="1138">
        <v>14134</v>
      </c>
      <c r="I51" s="1138">
        <v>14309</v>
      </c>
      <c r="J51" s="1138">
        <v>14484</v>
      </c>
      <c r="K51" s="1138">
        <v>14659</v>
      </c>
      <c r="L51" s="1028"/>
    </row>
    <row r="52" spans="1:12">
      <c r="A52" s="1139" t="s">
        <v>2171</v>
      </c>
      <c r="B52" s="962" t="s">
        <v>2172</v>
      </c>
      <c r="D52" s="962"/>
      <c r="E52" s="1137" t="s">
        <v>2173</v>
      </c>
      <c r="F52" s="1137"/>
      <c r="G52" s="1138">
        <v>1748</v>
      </c>
      <c r="H52" s="1138">
        <v>1748</v>
      </c>
      <c r="I52" s="1138">
        <v>1748</v>
      </c>
      <c r="J52" s="1138">
        <v>1748</v>
      </c>
      <c r="K52" s="1138">
        <v>1748</v>
      </c>
      <c r="L52" s="1028"/>
    </row>
    <row r="53" spans="1:12">
      <c r="A53" s="1140" t="s">
        <v>2174</v>
      </c>
      <c r="B53" s="981"/>
      <c r="D53" s="981"/>
      <c r="E53" s="1137" t="s">
        <v>2173</v>
      </c>
      <c r="F53" s="1137"/>
      <c r="G53" s="944" cm="1">
        <f t="array" ref="G53:K53">TOActualoperationaltransportemissions</f>
        <v>0</v>
      </c>
      <c r="H53" s="944">
        <v>0</v>
      </c>
      <c r="I53" s="944">
        <v>0</v>
      </c>
      <c r="J53" s="944">
        <v>0</v>
      </c>
      <c r="K53" s="944">
        <v>0</v>
      </c>
      <c r="L53" s="1028"/>
    </row>
    <row r="54" spans="1:12" ht="15.4">
      <c r="A54" s="1140" t="s">
        <v>2175</v>
      </c>
      <c r="B54" s="981" t="s">
        <v>2176</v>
      </c>
      <c r="D54" s="981"/>
      <c r="E54" s="1137" t="s">
        <v>1403</v>
      </c>
      <c r="F54" s="1137"/>
      <c r="G54" s="707">
        <f>(G53-G52)/G52</f>
        <v>-1</v>
      </c>
      <c r="H54" s="707">
        <f t="shared" ref="H54:K54" si="13">(H53-H52)/H52</f>
        <v>-1</v>
      </c>
      <c r="I54" s="707">
        <f t="shared" si="13"/>
        <v>-1</v>
      </c>
      <c r="J54" s="707">
        <f t="shared" si="13"/>
        <v>-1</v>
      </c>
      <c r="K54" s="707">
        <f t="shared" si="13"/>
        <v>-1</v>
      </c>
      <c r="L54" s="1028"/>
    </row>
    <row r="55" spans="1:12" ht="15.4">
      <c r="A55" s="1140" t="s">
        <v>2177</v>
      </c>
      <c r="B55" s="981" t="s">
        <v>2178</v>
      </c>
      <c r="D55" s="981"/>
      <c r="E55" s="1137" t="s">
        <v>1403</v>
      </c>
      <c r="F55" s="1137"/>
      <c r="G55" s="708">
        <v>-0.12</v>
      </c>
      <c r="H55" s="708">
        <v>-0.14000000000000001</v>
      </c>
      <c r="I55" s="708">
        <v>-0.16</v>
      </c>
      <c r="J55" s="708">
        <v>-0.26</v>
      </c>
      <c r="K55" s="708">
        <v>-0.38</v>
      </c>
      <c r="L55" s="1028"/>
    </row>
    <row r="56" spans="1:12" ht="15.4">
      <c r="A56" s="1140" t="s">
        <v>2179</v>
      </c>
      <c r="B56" s="962" t="s">
        <v>2180</v>
      </c>
      <c r="D56" s="962"/>
      <c r="E56" s="1137" t="s">
        <v>1403</v>
      </c>
      <c r="F56" s="1137"/>
      <c r="G56" s="708">
        <v>0.08</v>
      </c>
      <c r="H56" s="708">
        <v>0.06</v>
      </c>
      <c r="I56" s="708">
        <v>0.04</v>
      </c>
      <c r="J56" s="708">
        <v>-0.06</v>
      </c>
      <c r="K56" s="708">
        <v>-0.18</v>
      </c>
      <c r="L56" s="1028"/>
    </row>
    <row r="57" spans="1:12" ht="15.4">
      <c r="A57" s="1140"/>
      <c r="B57" s="962" t="s">
        <v>2150</v>
      </c>
      <c r="D57" s="962"/>
      <c r="E57" s="1125" t="s">
        <v>2181</v>
      </c>
      <c r="F57" s="1137"/>
      <c r="G57" s="1142">
        <f>IF(G54&lt;=G55,G51,IF(G54&gt;=G56,(-1*G51),0))/10^6</f>
        <v>1.3795999999999999E-2</v>
      </c>
      <c r="H57" s="1142">
        <f t="shared" ref="H57:K57" si="14">IF(H54&lt;=H55,H51,IF(H54&gt;=H56,(-1*H51),0))/10^6</f>
        <v>1.4134000000000001E-2</v>
      </c>
      <c r="I57" s="1142">
        <f t="shared" si="14"/>
        <v>1.4309000000000001E-2</v>
      </c>
      <c r="J57" s="1142">
        <f t="shared" si="14"/>
        <v>1.4484E-2</v>
      </c>
      <c r="K57" s="1142">
        <f t="shared" si="14"/>
        <v>1.4659E-2</v>
      </c>
      <c r="L57" s="1028"/>
    </row>
    <row r="58" spans="1:12">
      <c r="A58" s="1129"/>
      <c r="B58" s="981"/>
      <c r="D58" s="981"/>
      <c r="E58" s="1125"/>
      <c r="F58" s="1125"/>
      <c r="G58" s="981"/>
      <c r="H58" s="981"/>
      <c r="I58" s="981"/>
      <c r="J58" s="981"/>
      <c r="K58" s="981"/>
      <c r="L58" s="1028"/>
    </row>
    <row r="59" spans="1:12">
      <c r="A59" s="1129"/>
      <c r="B59" s="981"/>
      <c r="D59" s="981"/>
      <c r="E59" s="1125"/>
      <c r="F59" s="1125"/>
      <c r="G59" s="981"/>
      <c r="H59" s="981"/>
      <c r="I59" s="981"/>
      <c r="J59" s="981"/>
      <c r="K59" s="981"/>
      <c r="L59" s="1028"/>
    </row>
    <row r="60" spans="1:12">
      <c r="A60" s="1135" t="s">
        <v>2182</v>
      </c>
      <c r="B60" s="981"/>
      <c r="D60" s="981"/>
      <c r="E60" s="1125"/>
      <c r="F60" s="1125"/>
      <c r="G60" s="1132" t="s">
        <v>2183</v>
      </c>
      <c r="H60" s="981"/>
      <c r="I60" s="981"/>
      <c r="J60" s="981"/>
      <c r="K60" s="981"/>
      <c r="L60" s="1028"/>
    </row>
    <row r="61" spans="1:12">
      <c r="A61" s="1129"/>
      <c r="B61" s="981"/>
      <c r="D61" s="981"/>
      <c r="E61" s="1125"/>
      <c r="F61" s="1125"/>
      <c r="G61" s="981"/>
      <c r="H61" s="981"/>
      <c r="I61" s="981"/>
      <c r="J61" s="981"/>
      <c r="K61" s="981"/>
      <c r="L61" s="1028"/>
    </row>
    <row r="62" spans="1:12" ht="15.4">
      <c r="A62" s="1140" t="s">
        <v>2184</v>
      </c>
      <c r="B62" s="962" t="s">
        <v>2185</v>
      </c>
      <c r="D62" s="962"/>
      <c r="E62" s="1137" t="s">
        <v>2170</v>
      </c>
      <c r="F62" s="1137"/>
      <c r="G62" s="1138">
        <v>879</v>
      </c>
      <c r="H62" s="1138">
        <v>897</v>
      </c>
      <c r="I62" s="1138">
        <v>906</v>
      </c>
      <c r="J62" s="1138">
        <v>1829</v>
      </c>
      <c r="K62" s="1138">
        <v>1847</v>
      </c>
      <c r="L62" s="1028"/>
    </row>
    <row r="63" spans="1:12">
      <c r="A63" s="1139" t="s">
        <v>2186</v>
      </c>
      <c r="B63" s="962" t="s">
        <v>2187</v>
      </c>
      <c r="D63" s="962"/>
      <c r="E63" s="1137" t="s">
        <v>2173</v>
      </c>
      <c r="F63" s="1137"/>
      <c r="G63" s="1138">
        <v>1608</v>
      </c>
      <c r="H63" s="1138">
        <v>1608</v>
      </c>
      <c r="I63" s="1138">
        <v>1608</v>
      </c>
      <c r="J63" s="1138">
        <v>1608</v>
      </c>
      <c r="K63" s="1138">
        <v>1608</v>
      </c>
      <c r="L63" s="1028"/>
    </row>
    <row r="64" spans="1:12">
      <c r="A64" s="1140" t="s">
        <v>2188</v>
      </c>
      <c r="B64" s="981"/>
      <c r="D64" s="981"/>
      <c r="E64" s="1137" t="s">
        <v>2173</v>
      </c>
      <c r="F64" s="1137"/>
      <c r="G64" s="944" cm="1">
        <f t="array" ref="G64:K64">TOActualbusinessmileageemissions</f>
        <v>0</v>
      </c>
      <c r="H64" s="944">
        <v>0</v>
      </c>
      <c r="I64" s="944">
        <v>0</v>
      </c>
      <c r="J64" s="944">
        <v>0</v>
      </c>
      <c r="K64" s="944">
        <v>0</v>
      </c>
      <c r="L64" s="1028"/>
    </row>
    <row r="65" spans="1:12" ht="15.4">
      <c r="A65" s="1140" t="s">
        <v>2189</v>
      </c>
      <c r="B65" s="962" t="s">
        <v>2190</v>
      </c>
      <c r="D65" s="962"/>
      <c r="E65" s="1137" t="s">
        <v>1403</v>
      </c>
      <c r="F65" s="1137"/>
      <c r="G65" s="709">
        <f>(G64-G63)/G63</f>
        <v>-1</v>
      </c>
      <c r="H65" s="710">
        <f>(H64-H63)/H63</f>
        <v>-1</v>
      </c>
      <c r="I65" s="710">
        <f t="shared" ref="I65:K65" si="15">(I64-I63)/I63</f>
        <v>-1</v>
      </c>
      <c r="J65" s="710">
        <f t="shared" si="15"/>
        <v>-1</v>
      </c>
      <c r="K65" s="710">
        <f t="shared" si="15"/>
        <v>-1</v>
      </c>
      <c r="L65" s="1028"/>
    </row>
    <row r="66" spans="1:12" ht="15.4">
      <c r="A66" s="1140" t="s">
        <v>2191</v>
      </c>
      <c r="B66" s="962" t="s">
        <v>2192</v>
      </c>
      <c r="D66" s="962"/>
      <c r="E66" s="1137" t="s">
        <v>1403</v>
      </c>
      <c r="F66" s="1137"/>
      <c r="G66" s="708">
        <v>-0.03</v>
      </c>
      <c r="H66" s="708">
        <v>-0.05</v>
      </c>
      <c r="I66" s="708">
        <v>-7.0000000000000007E-2</v>
      </c>
      <c r="J66" s="708">
        <v>-0.1</v>
      </c>
      <c r="K66" s="708">
        <v>-0.12</v>
      </c>
      <c r="L66" s="1028"/>
    </row>
    <row r="67" spans="1:12" ht="15.4">
      <c r="A67" s="1140" t="s">
        <v>2193</v>
      </c>
      <c r="B67" s="962" t="s">
        <v>2194</v>
      </c>
      <c r="D67" s="962"/>
      <c r="E67" s="1137" t="s">
        <v>1403</v>
      </c>
      <c r="F67" s="1137"/>
      <c r="G67" s="708">
        <v>-0.01</v>
      </c>
      <c r="H67" s="708">
        <v>-0.03</v>
      </c>
      <c r="I67" s="708">
        <v>-0.05</v>
      </c>
      <c r="J67" s="708">
        <v>-0.06</v>
      </c>
      <c r="K67" s="708">
        <v>-0.08</v>
      </c>
      <c r="L67" s="1028"/>
    </row>
    <row r="68" spans="1:12" ht="15.4">
      <c r="A68" s="1140" t="s">
        <v>2195</v>
      </c>
      <c r="B68" s="962" t="s">
        <v>2153</v>
      </c>
      <c r="D68" s="962"/>
      <c r="E68" s="1125" t="s">
        <v>2151</v>
      </c>
      <c r="F68" s="1137"/>
      <c r="G68" s="1143">
        <f>IF(G65&lt;=G66,G62,IF(G65&gt;=G67,(-1*G62),0))/10^6</f>
        <v>8.7900000000000001E-4</v>
      </c>
      <c r="H68" s="1143">
        <f>IF(H65&lt;=H66,H62,IF(H65&gt;=H67,(-1*H62),0))/10^6</f>
        <v>8.9700000000000001E-4</v>
      </c>
      <c r="I68" s="1143">
        <f>IF(I65&lt;=I66,I62,IF(I65&gt;=I67,(-1*I62),0))/10^6</f>
        <v>9.0600000000000001E-4</v>
      </c>
      <c r="J68" s="1143">
        <f>IF(J65&lt;=J66,J62,IF(J65&gt;=J67,(-1*J62),0))/10^6</f>
        <v>1.8289999999999999E-3</v>
      </c>
      <c r="K68" s="1143">
        <f>IF(K65&lt;=K66,K62,IF(K65&gt;=K67,(-1*K62),0))/10^6</f>
        <v>1.8469999999999999E-3</v>
      </c>
      <c r="L68" s="1028"/>
    </row>
    <row r="69" spans="1:12">
      <c r="A69" s="1129"/>
      <c r="B69" s="981"/>
      <c r="D69" s="981"/>
      <c r="E69" s="1125"/>
      <c r="F69" s="1125"/>
      <c r="G69" s="981"/>
      <c r="H69" s="981"/>
      <c r="I69" s="981"/>
      <c r="J69" s="981"/>
      <c r="K69" s="981"/>
      <c r="L69" s="1028"/>
    </row>
    <row r="70" spans="1:12">
      <c r="A70" s="1140"/>
      <c r="B70" s="981"/>
      <c r="D70" s="981"/>
      <c r="E70" s="1125"/>
      <c r="F70" s="1125"/>
      <c r="G70" s="1137"/>
      <c r="H70" s="981"/>
      <c r="I70" s="981"/>
      <c r="J70" s="981"/>
      <c r="K70" s="981"/>
      <c r="L70" s="1028"/>
    </row>
    <row r="71" spans="1:12">
      <c r="A71" s="1135" t="s">
        <v>2196</v>
      </c>
      <c r="B71" s="981"/>
      <c r="D71" s="981"/>
      <c r="E71" s="1125"/>
      <c r="F71" s="1125"/>
      <c r="G71" s="1132" t="s">
        <v>2197</v>
      </c>
      <c r="H71" s="981"/>
      <c r="I71" s="981"/>
      <c r="J71" s="981"/>
      <c r="K71" s="981"/>
      <c r="L71" s="1028"/>
    </row>
    <row r="72" spans="1:12">
      <c r="A72" s="1129"/>
      <c r="B72" s="981"/>
      <c r="D72" s="981"/>
      <c r="E72" s="1125"/>
      <c r="F72" s="1125"/>
      <c r="G72" s="981"/>
      <c r="H72" s="981"/>
      <c r="I72" s="981"/>
      <c r="J72" s="981"/>
      <c r="K72" s="981"/>
      <c r="L72" s="1028"/>
    </row>
    <row r="73" spans="1:12" ht="15.4">
      <c r="A73" s="1140" t="s">
        <v>2198</v>
      </c>
      <c r="B73" s="962" t="s">
        <v>2199</v>
      </c>
      <c r="D73" s="962"/>
      <c r="E73" s="1137" t="s">
        <v>2170</v>
      </c>
      <c r="F73" s="1137"/>
      <c r="G73" s="1138">
        <v>302</v>
      </c>
      <c r="H73" s="1138">
        <v>302</v>
      </c>
      <c r="I73" s="1138">
        <v>302</v>
      </c>
      <c r="J73" s="1138">
        <v>302</v>
      </c>
      <c r="K73" s="1138">
        <v>378</v>
      </c>
      <c r="L73" s="1028"/>
    </row>
    <row r="74" spans="1:12">
      <c r="A74" s="1140" t="s">
        <v>2200</v>
      </c>
      <c r="B74" s="962"/>
      <c r="D74" s="962"/>
      <c r="E74" s="1137" t="s">
        <v>1646</v>
      </c>
      <c r="F74" s="1137"/>
      <c r="G74" s="944" cm="1">
        <f t="array" ref="G74:K74">TOTotalannualoperationalandofficewaste</f>
        <v>0</v>
      </c>
      <c r="H74" s="944">
        <v>0</v>
      </c>
      <c r="I74" s="944">
        <v>0</v>
      </c>
      <c r="J74" s="944">
        <v>0</v>
      </c>
      <c r="K74" s="944">
        <v>0</v>
      </c>
      <c r="L74" s="1028"/>
    </row>
    <row r="75" spans="1:12">
      <c r="A75" s="1140" t="s">
        <v>2201</v>
      </c>
      <c r="B75" s="981"/>
      <c r="D75" s="981"/>
      <c r="E75" s="1137" t="s">
        <v>1646</v>
      </c>
      <c r="F75" s="1137"/>
      <c r="G75" s="944" cm="1">
        <f t="array" ref="G75:K75">TOTotalannualoperationalandofficewasterecycled</f>
        <v>0</v>
      </c>
      <c r="H75" s="944">
        <v>0</v>
      </c>
      <c r="I75" s="944">
        <v>0</v>
      </c>
      <c r="J75" s="944">
        <v>0</v>
      </c>
      <c r="K75" s="944">
        <v>0</v>
      </c>
      <c r="L75" s="1028"/>
    </row>
    <row r="76" spans="1:12" ht="15.4">
      <c r="A76" s="1140" t="s">
        <v>2202</v>
      </c>
      <c r="B76" s="962" t="s">
        <v>2203</v>
      </c>
      <c r="D76" s="962"/>
      <c r="E76" s="1137" t="s">
        <v>1403</v>
      </c>
      <c r="F76" s="1137"/>
      <c r="G76" s="710">
        <f>IFERROR(G75/G74,0)</f>
        <v>0</v>
      </c>
      <c r="H76" s="710">
        <f t="shared" ref="H76:K76" si="16">IFERROR(H75/H74,0)</f>
        <v>0</v>
      </c>
      <c r="I76" s="710">
        <f t="shared" si="16"/>
        <v>0</v>
      </c>
      <c r="J76" s="710">
        <f t="shared" si="16"/>
        <v>0</v>
      </c>
      <c r="K76" s="710">
        <f t="shared" si="16"/>
        <v>0</v>
      </c>
      <c r="L76" s="1028"/>
    </row>
    <row r="77" spans="1:12" ht="15.4">
      <c r="A77" s="1140" t="s">
        <v>2204</v>
      </c>
      <c r="B77" s="962" t="s">
        <v>2205</v>
      </c>
      <c r="D77" s="962"/>
      <c r="E77" s="1137" t="s">
        <v>1403</v>
      </c>
      <c r="F77" s="1137"/>
      <c r="G77" s="708">
        <v>0.52</v>
      </c>
      <c r="H77" s="708">
        <v>0.54</v>
      </c>
      <c r="I77" s="708">
        <v>0.56999999999999995</v>
      </c>
      <c r="J77" s="708">
        <v>0.61</v>
      </c>
      <c r="K77" s="708">
        <v>0.65</v>
      </c>
      <c r="L77" s="1028"/>
    </row>
    <row r="78" spans="1:12" ht="15.4">
      <c r="A78" s="1140" t="s">
        <v>2206</v>
      </c>
      <c r="B78" s="962" t="s">
        <v>2207</v>
      </c>
      <c r="D78" s="962"/>
      <c r="E78" s="1137" t="s">
        <v>1403</v>
      </c>
      <c r="F78" s="1137"/>
      <c r="G78" s="708">
        <v>0.44</v>
      </c>
      <c r="H78" s="708">
        <v>0.46</v>
      </c>
      <c r="I78" s="708">
        <v>0.49</v>
      </c>
      <c r="J78" s="708">
        <v>0.53</v>
      </c>
      <c r="K78" s="708">
        <v>0.55000000000000004</v>
      </c>
      <c r="L78" s="1028"/>
    </row>
    <row r="79" spans="1:12" ht="15.4">
      <c r="A79" s="1140" t="s">
        <v>2208</v>
      </c>
      <c r="B79" s="962" t="s">
        <v>2155</v>
      </c>
      <c r="D79" s="962"/>
      <c r="E79" s="1125" t="s">
        <v>2151</v>
      </c>
      <c r="F79" s="1137"/>
      <c r="G79" s="1142">
        <f>IF(G76&gt;=G77,G73,IF(G76&lt;=G78,(-1*G73),0))/10^6</f>
        <v>-3.0200000000000002E-4</v>
      </c>
      <c r="H79" s="1142">
        <f t="shared" ref="H79:K79" si="17">IF(H76&gt;=H77,H73,IF(H76&lt;=H78,(-1*H73),0))/10^6</f>
        <v>-3.0200000000000002E-4</v>
      </c>
      <c r="I79" s="1142">
        <f t="shared" si="17"/>
        <v>-3.0200000000000002E-4</v>
      </c>
      <c r="J79" s="1142">
        <f t="shared" si="17"/>
        <v>-3.0200000000000002E-4</v>
      </c>
      <c r="K79" s="1142">
        <f t="shared" si="17"/>
        <v>-3.7800000000000003E-4</v>
      </c>
      <c r="L79" s="1028"/>
    </row>
    <row r="80" spans="1:12">
      <c r="A80" s="1129"/>
      <c r="B80" s="981"/>
      <c r="D80" s="981"/>
      <c r="E80" s="1125"/>
      <c r="F80" s="1125"/>
      <c r="G80" s="981"/>
      <c r="H80" s="981"/>
      <c r="I80" s="981"/>
      <c r="J80" s="981"/>
      <c r="K80" s="981"/>
      <c r="L80" s="1028"/>
    </row>
    <row r="81" spans="1:12">
      <c r="A81" s="1129"/>
      <c r="B81" s="981"/>
      <c r="D81" s="981"/>
      <c r="E81" s="1125"/>
      <c r="F81" s="1125"/>
      <c r="G81" s="981"/>
      <c r="H81" s="981"/>
      <c r="I81" s="981"/>
      <c r="J81" s="981"/>
      <c r="K81" s="981"/>
      <c r="L81" s="1028"/>
    </row>
    <row r="82" spans="1:12">
      <c r="A82" s="1135" t="s">
        <v>2209</v>
      </c>
      <c r="B82" s="981"/>
      <c r="D82" s="981"/>
      <c r="E82" s="1125"/>
      <c r="F82" s="1125"/>
      <c r="G82" s="1136" t="s">
        <v>2210</v>
      </c>
      <c r="H82" s="981"/>
      <c r="I82" s="981"/>
      <c r="J82" s="981"/>
      <c r="K82" s="981"/>
      <c r="L82" s="1028"/>
    </row>
    <row r="83" spans="1:12">
      <c r="A83" s="1129"/>
      <c r="B83" s="981"/>
      <c r="D83" s="981"/>
      <c r="E83" s="1125"/>
      <c r="F83" s="1125"/>
      <c r="G83" s="981"/>
      <c r="H83" s="981"/>
      <c r="I83" s="981"/>
      <c r="J83" s="981"/>
      <c r="K83" s="981"/>
      <c r="L83" s="1028"/>
    </row>
    <row r="84" spans="1:12" ht="15.4">
      <c r="A84" s="1140" t="s">
        <v>2211</v>
      </c>
      <c r="B84" s="962" t="s">
        <v>2212</v>
      </c>
      <c r="D84" s="962"/>
      <c r="E84" s="1137" t="s">
        <v>2170</v>
      </c>
      <c r="F84" s="1137"/>
      <c r="G84" s="1144">
        <v>76</v>
      </c>
      <c r="H84" s="1144">
        <v>76</v>
      </c>
      <c r="I84" s="1144">
        <v>76</v>
      </c>
      <c r="J84" s="1144">
        <v>153</v>
      </c>
      <c r="K84" s="1144">
        <v>382</v>
      </c>
      <c r="L84" s="1028"/>
    </row>
    <row r="85" spans="1:12">
      <c r="A85" s="1139" t="s">
        <v>2213</v>
      </c>
      <c r="B85" s="962" t="s">
        <v>2214</v>
      </c>
      <c r="D85" s="962"/>
      <c r="E85" s="1137" t="s">
        <v>1646</v>
      </c>
      <c r="F85" s="1137"/>
      <c r="G85" s="1144">
        <v>54.6</v>
      </c>
      <c r="H85" s="1144">
        <v>54.6</v>
      </c>
      <c r="I85" s="1144">
        <v>54.6</v>
      </c>
      <c r="J85" s="1144">
        <v>54.6</v>
      </c>
      <c r="K85" s="1144">
        <v>54.6</v>
      </c>
      <c r="L85" s="1028"/>
    </row>
    <row r="86" spans="1:12">
      <c r="A86" s="1140" t="s">
        <v>2215</v>
      </c>
      <c r="B86" s="981"/>
      <c r="D86" s="981"/>
      <c r="E86" s="1137" t="s">
        <v>1646</v>
      </c>
      <c r="F86" s="1137"/>
      <c r="G86" s="944" cm="1">
        <f t="array" ref="G86:K86">TOActualofficewaste</f>
        <v>0</v>
      </c>
      <c r="H86" s="944">
        <v>0</v>
      </c>
      <c r="I86" s="944">
        <v>0</v>
      </c>
      <c r="J86" s="944">
        <v>0</v>
      </c>
      <c r="K86" s="944">
        <v>0</v>
      </c>
      <c r="L86" s="1028"/>
    </row>
    <row r="87" spans="1:12" ht="15.4">
      <c r="A87" s="1140" t="s">
        <v>2189</v>
      </c>
      <c r="B87" s="962" t="s">
        <v>2216</v>
      </c>
      <c r="D87" s="962"/>
      <c r="E87" s="1137" t="s">
        <v>1403</v>
      </c>
      <c r="F87" s="1137"/>
      <c r="G87" s="709">
        <f>(G86-G85)/G85</f>
        <v>-1</v>
      </c>
      <c r="H87" s="709">
        <f>(H86-H85)/H85</f>
        <v>-1</v>
      </c>
      <c r="I87" s="709">
        <f t="shared" ref="I87:K87" si="18">(I86-I85)/I85</f>
        <v>-1</v>
      </c>
      <c r="J87" s="709">
        <f t="shared" si="18"/>
        <v>-1</v>
      </c>
      <c r="K87" s="709">
        <f t="shared" si="18"/>
        <v>-1</v>
      </c>
      <c r="L87" s="1028"/>
    </row>
    <row r="88" spans="1:12" ht="15.4">
      <c r="A88" s="1140" t="s">
        <v>2193</v>
      </c>
      <c r="B88" s="962" t="s">
        <v>2217</v>
      </c>
      <c r="D88" s="962"/>
      <c r="E88" s="1137" t="s">
        <v>1403</v>
      </c>
      <c r="F88" s="1137"/>
      <c r="G88" s="708">
        <v>-0.03</v>
      </c>
      <c r="H88" s="708">
        <v>-0.05</v>
      </c>
      <c r="I88" s="708">
        <v>-7.0000000000000007E-2</v>
      </c>
      <c r="J88" s="708">
        <v>-0.1</v>
      </c>
      <c r="K88" s="708">
        <v>-0.25</v>
      </c>
      <c r="L88" s="1028"/>
    </row>
    <row r="89" spans="1:12" ht="15.4">
      <c r="A89" s="1140" t="s">
        <v>2218</v>
      </c>
      <c r="B89" s="962" t="s">
        <v>2219</v>
      </c>
      <c r="D89" s="962"/>
      <c r="E89" s="1137" t="s">
        <v>1403</v>
      </c>
      <c r="F89" s="1137"/>
      <c r="G89" s="708">
        <v>-0.01</v>
      </c>
      <c r="H89" s="708">
        <v>-0.03</v>
      </c>
      <c r="I89" s="708">
        <v>-0.05</v>
      </c>
      <c r="J89" s="708">
        <v>-0.06</v>
      </c>
      <c r="K89" s="708">
        <v>-0.15</v>
      </c>
      <c r="L89" s="1028"/>
    </row>
    <row r="90" spans="1:12" ht="15.4">
      <c r="A90" s="1140" t="s">
        <v>2220</v>
      </c>
      <c r="B90" s="962" t="s">
        <v>2157</v>
      </c>
      <c r="D90" s="962"/>
      <c r="E90" s="1125" t="s">
        <v>2151</v>
      </c>
      <c r="F90" s="1137"/>
      <c r="G90" s="1143">
        <f>IF(G87&lt;=G88,G84,IF(G87&gt;=G89,(-1*G84),0))/10^6</f>
        <v>7.6000000000000004E-5</v>
      </c>
      <c r="H90" s="1143">
        <f>IF(H87&lt;=H88,H84,IF(H87&gt;=H89,(-1*H84),0))/10^6</f>
        <v>7.6000000000000004E-5</v>
      </c>
      <c r="I90" s="1143">
        <f>IF(I87&lt;=I88,I84,IF(I87&gt;=I89,(-1*I84),0))/10^6</f>
        <v>7.6000000000000004E-5</v>
      </c>
      <c r="J90" s="1143">
        <f>IF(J87&lt;=J88,J84,IF(J87&gt;=J89,(-1*J84),0))/10^6</f>
        <v>1.5300000000000001E-4</v>
      </c>
      <c r="K90" s="1143">
        <f>IF(K87&lt;=K88,K84,IF(K87&gt;=K89,(-1*K84),0))/10^6</f>
        <v>3.8200000000000002E-4</v>
      </c>
      <c r="L90" s="1028"/>
    </row>
    <row r="91" spans="1:12">
      <c r="A91" s="1129"/>
      <c r="B91" s="981"/>
      <c r="D91" s="981"/>
      <c r="E91" s="1125"/>
      <c r="F91" s="1125"/>
      <c r="G91" s="981"/>
      <c r="H91" s="981"/>
      <c r="I91" s="981"/>
      <c r="J91" s="981"/>
      <c r="K91" s="981"/>
      <c r="L91" s="1028"/>
    </row>
    <row r="92" spans="1:12">
      <c r="A92" s="1129"/>
      <c r="B92" s="981"/>
      <c r="D92" s="981"/>
      <c r="E92" s="1125"/>
      <c r="F92" s="1125"/>
      <c r="G92" s="981"/>
      <c r="H92" s="981"/>
      <c r="I92" s="981"/>
      <c r="J92" s="981"/>
      <c r="K92" s="981"/>
      <c r="L92" s="1028"/>
    </row>
    <row r="93" spans="1:12">
      <c r="A93" s="1135" t="s">
        <v>2221</v>
      </c>
      <c r="B93" s="981"/>
      <c r="D93" s="981"/>
      <c r="E93" s="1125"/>
      <c r="F93" s="1125"/>
      <c r="G93" s="1136" t="s">
        <v>2222</v>
      </c>
      <c r="H93" s="981"/>
      <c r="I93" s="981"/>
      <c r="J93" s="981"/>
      <c r="K93" s="981"/>
      <c r="L93" s="1028"/>
    </row>
    <row r="94" spans="1:12">
      <c r="A94" s="1129"/>
      <c r="B94" s="981"/>
      <c r="D94" s="981"/>
      <c r="E94" s="1125"/>
      <c r="F94" s="1125"/>
      <c r="G94" s="981"/>
      <c r="H94" s="981"/>
      <c r="I94" s="981"/>
      <c r="J94" s="981"/>
      <c r="K94" s="981"/>
      <c r="L94" s="1028"/>
    </row>
    <row r="95" spans="1:12" ht="15.4">
      <c r="A95" s="1140" t="s">
        <v>2223</v>
      </c>
      <c r="B95" s="962" t="s">
        <v>2224</v>
      </c>
      <c r="D95" s="962"/>
      <c r="E95" s="1137" t="s">
        <v>2170</v>
      </c>
      <c r="F95" s="1137"/>
      <c r="G95" s="1138">
        <v>2</v>
      </c>
      <c r="H95" s="1138">
        <v>2</v>
      </c>
      <c r="I95" s="1138">
        <v>2</v>
      </c>
      <c r="J95" s="1138">
        <v>4</v>
      </c>
      <c r="K95" s="1138">
        <v>11</v>
      </c>
      <c r="L95" s="1028"/>
    </row>
    <row r="96" spans="1:12" ht="14.25">
      <c r="A96" s="1139" t="s">
        <v>2225</v>
      </c>
      <c r="B96" s="962" t="s">
        <v>2226</v>
      </c>
      <c r="D96" s="962"/>
      <c r="E96" s="1137" t="s">
        <v>2227</v>
      </c>
      <c r="F96" s="1137"/>
      <c r="G96" s="1138">
        <v>7380</v>
      </c>
      <c r="H96" s="1138">
        <v>7380</v>
      </c>
      <c r="I96" s="1138">
        <v>7380</v>
      </c>
      <c r="J96" s="1138">
        <v>7380</v>
      </c>
      <c r="K96" s="1138">
        <v>7380</v>
      </c>
      <c r="L96" s="1028"/>
    </row>
    <row r="97" spans="1:12" ht="14.25">
      <c r="A97" s="1140" t="s">
        <v>2228</v>
      </c>
      <c r="B97" s="981"/>
      <c r="D97" s="981"/>
      <c r="E97" s="1137" t="s">
        <v>2227</v>
      </c>
      <c r="F97" s="1137"/>
      <c r="G97" s="944" cm="1">
        <f t="array" ref="G97:K97">TOActualwateruse</f>
        <v>0</v>
      </c>
      <c r="H97" s="944">
        <v>0</v>
      </c>
      <c r="I97" s="944">
        <v>0</v>
      </c>
      <c r="J97" s="944">
        <v>0</v>
      </c>
      <c r="K97" s="944">
        <v>0</v>
      </c>
      <c r="L97" s="1028"/>
    </row>
    <row r="98" spans="1:12" ht="15.4">
      <c r="A98" s="1140" t="s">
        <v>2189</v>
      </c>
      <c r="B98" s="962" t="s">
        <v>2229</v>
      </c>
      <c r="D98" s="962"/>
      <c r="E98" s="1137" t="s">
        <v>1403</v>
      </c>
      <c r="F98" s="1137"/>
      <c r="G98" s="707">
        <f>(G97-G96)/G96</f>
        <v>-1</v>
      </c>
      <c r="H98" s="710">
        <f t="shared" ref="H98:K98" si="19">(H97-H96)/H96</f>
        <v>-1</v>
      </c>
      <c r="I98" s="710">
        <f t="shared" si="19"/>
        <v>-1</v>
      </c>
      <c r="J98" s="710">
        <f t="shared" si="19"/>
        <v>-1</v>
      </c>
      <c r="K98" s="710">
        <f t="shared" si="19"/>
        <v>-1</v>
      </c>
      <c r="L98" s="1028"/>
    </row>
    <row r="99" spans="1:12" ht="15.4">
      <c r="A99" s="1140" t="s">
        <v>2204</v>
      </c>
      <c r="B99" s="962" t="s">
        <v>2230</v>
      </c>
      <c r="D99" s="962"/>
      <c r="E99" s="1137" t="s">
        <v>1403</v>
      </c>
      <c r="F99" s="1137"/>
      <c r="G99" s="708">
        <v>-0.03</v>
      </c>
      <c r="H99" s="708">
        <v>-0.05</v>
      </c>
      <c r="I99" s="708">
        <v>-7.0000000000000007E-2</v>
      </c>
      <c r="J99" s="708">
        <v>-0.1</v>
      </c>
      <c r="K99" s="708">
        <v>-0.25</v>
      </c>
      <c r="L99" s="1028"/>
    </row>
    <row r="100" spans="1:12" ht="15.4">
      <c r="A100" s="1140" t="s">
        <v>2206</v>
      </c>
      <c r="B100" s="962" t="s">
        <v>2231</v>
      </c>
      <c r="D100" s="962"/>
      <c r="E100" s="1137" t="s">
        <v>1403</v>
      </c>
      <c r="F100" s="1137"/>
      <c r="G100" s="708">
        <v>-0.01</v>
      </c>
      <c r="H100" s="708">
        <v>-0.03</v>
      </c>
      <c r="I100" s="708">
        <v>-0.05</v>
      </c>
      <c r="J100" s="708">
        <v>-0.06</v>
      </c>
      <c r="K100" s="708">
        <v>-0.15</v>
      </c>
      <c r="L100" s="1028"/>
    </row>
    <row r="101" spans="1:12" ht="15.4">
      <c r="A101" s="1140" t="s">
        <v>2232</v>
      </c>
      <c r="B101" s="962" t="s">
        <v>2233</v>
      </c>
      <c r="D101" s="962"/>
      <c r="E101" s="1125" t="s">
        <v>2151</v>
      </c>
      <c r="F101" s="1137"/>
      <c r="G101" s="1145">
        <f>IF(G98&lt;=G99,G95,IF(G98&gt;=G100,(-1*G95),0))/10^6</f>
        <v>1.9999999999999999E-6</v>
      </c>
      <c r="H101" s="1145">
        <f t="shared" ref="H101:K101" si="20">IF(H98&lt;=H99,H95,IF(H98&gt;=H100,(-1*H95),0))/10^6</f>
        <v>1.9999999999999999E-6</v>
      </c>
      <c r="I101" s="1145">
        <f t="shared" si="20"/>
        <v>1.9999999999999999E-6</v>
      </c>
      <c r="J101" s="1145">
        <f t="shared" si="20"/>
        <v>3.9999999999999998E-6</v>
      </c>
      <c r="K101" s="1145">
        <f t="shared" si="20"/>
        <v>1.1E-5</v>
      </c>
      <c r="L101" s="1028"/>
    </row>
    <row r="102" spans="1:12">
      <c r="A102" s="1129"/>
      <c r="B102" s="981"/>
      <c r="D102" s="981"/>
      <c r="E102" s="1125"/>
      <c r="F102" s="1125"/>
      <c r="G102" s="981"/>
      <c r="H102" s="981"/>
      <c r="I102" s="981"/>
      <c r="J102" s="981"/>
      <c r="K102" s="981"/>
      <c r="L102" s="1028"/>
    </row>
    <row r="103" spans="1:12">
      <c r="A103" s="1129"/>
      <c r="B103" s="981"/>
      <c r="D103" s="981"/>
      <c r="E103" s="1125"/>
      <c r="F103" s="1125"/>
      <c r="G103" s="981"/>
      <c r="H103" s="981"/>
      <c r="I103" s="981"/>
      <c r="J103" s="981"/>
      <c r="K103" s="981"/>
      <c r="L103" s="1028"/>
    </row>
    <row r="104" spans="1:12" ht="30.75">
      <c r="A104" s="1135" t="s">
        <v>2234</v>
      </c>
      <c r="B104" s="981"/>
      <c r="D104" s="981"/>
      <c r="E104" s="1125"/>
      <c r="F104" s="1125"/>
      <c r="G104" s="1146" t="s">
        <v>2235</v>
      </c>
      <c r="H104" s="981"/>
      <c r="I104" s="981"/>
      <c r="J104" s="981"/>
      <c r="K104" s="981"/>
      <c r="L104" s="1028"/>
    </row>
    <row r="105" spans="1:12" ht="26.25">
      <c r="A105" s="1147" t="s">
        <v>2236</v>
      </c>
      <c r="B105" s="962" t="s">
        <v>2237</v>
      </c>
      <c r="D105" s="962"/>
      <c r="E105" s="1125" t="s">
        <v>2151</v>
      </c>
      <c r="F105" s="1137"/>
      <c r="G105" s="1148">
        <f>G114/10^6</f>
        <v>0</v>
      </c>
      <c r="H105" s="1148">
        <f t="shared" ref="H105:K106" si="21">H114/10^6</f>
        <v>0</v>
      </c>
      <c r="I105" s="1148">
        <f t="shared" si="21"/>
        <v>0</v>
      </c>
      <c r="J105" s="1148">
        <f t="shared" si="21"/>
        <v>0</v>
      </c>
      <c r="K105" s="1148">
        <f t="shared" si="21"/>
        <v>0</v>
      </c>
      <c r="L105" s="1028"/>
    </row>
    <row r="106" spans="1:12" ht="26.25">
      <c r="A106" s="1147" t="s">
        <v>2238</v>
      </c>
      <c r="B106" s="962" t="s">
        <v>2239</v>
      </c>
      <c r="D106" s="962"/>
      <c r="E106" s="1125" t="s">
        <v>2151</v>
      </c>
      <c r="F106" s="1137"/>
      <c r="G106" s="1148">
        <f>G115/10^6</f>
        <v>0</v>
      </c>
      <c r="H106" s="1148">
        <f t="shared" si="21"/>
        <v>0</v>
      </c>
      <c r="I106" s="1148">
        <f t="shared" si="21"/>
        <v>0</v>
      </c>
      <c r="J106" s="1148">
        <f t="shared" si="21"/>
        <v>0</v>
      </c>
      <c r="K106" s="1148">
        <f t="shared" si="21"/>
        <v>0</v>
      </c>
      <c r="L106" s="1028"/>
    </row>
    <row r="107" spans="1:12" ht="15.4">
      <c r="A107" s="1140" t="s">
        <v>2240</v>
      </c>
      <c r="B107" s="962" t="s">
        <v>2161</v>
      </c>
      <c r="D107" s="962"/>
      <c r="E107" s="1125" t="s">
        <v>2151</v>
      </c>
      <c r="F107" s="1137"/>
      <c r="G107" s="1134">
        <f>G106+G105</f>
        <v>0</v>
      </c>
      <c r="H107" s="1134">
        <f t="shared" ref="H107:K107" si="22">H106+H105</f>
        <v>0</v>
      </c>
      <c r="I107" s="1134">
        <f t="shared" si="22"/>
        <v>0</v>
      </c>
      <c r="J107" s="1134">
        <f t="shared" si="22"/>
        <v>0</v>
      </c>
      <c r="K107" s="1134">
        <f t="shared" si="22"/>
        <v>0</v>
      </c>
      <c r="L107" s="1028"/>
    </row>
    <row r="108" spans="1:12">
      <c r="A108" s="1129"/>
      <c r="B108" s="981"/>
      <c r="D108" s="981"/>
      <c r="E108" s="1125"/>
      <c r="F108" s="1125"/>
      <c r="G108" s="981"/>
      <c r="H108" s="981"/>
      <c r="I108" s="981"/>
      <c r="J108" s="981"/>
      <c r="K108" s="981"/>
      <c r="L108" s="1028"/>
    </row>
    <row r="109" spans="1:12" ht="30.75">
      <c r="A109" s="1135" t="s">
        <v>2241</v>
      </c>
      <c r="B109" s="981"/>
      <c r="D109" s="981"/>
      <c r="E109" s="1125"/>
      <c r="F109" s="1125"/>
      <c r="G109" s="1146" t="s">
        <v>2242</v>
      </c>
      <c r="H109" s="981"/>
      <c r="I109" s="981"/>
      <c r="J109" s="981"/>
      <c r="K109" s="981"/>
      <c r="L109" s="1028"/>
    </row>
    <row r="110" spans="1:12" ht="30.6" customHeight="1">
      <c r="A110" s="1135" t="s">
        <v>2243</v>
      </c>
      <c r="B110" s="981"/>
      <c r="D110" s="981"/>
      <c r="E110" s="1125"/>
      <c r="F110" s="1125"/>
      <c r="G110" s="1149" t="s">
        <v>2244</v>
      </c>
      <c r="H110" s="981"/>
      <c r="I110" s="981"/>
      <c r="J110" s="981"/>
      <c r="K110" s="981"/>
      <c r="L110" s="1028"/>
    </row>
    <row r="111" spans="1:12" ht="24.95" customHeight="1">
      <c r="A111" s="1126" t="s">
        <v>2245</v>
      </c>
      <c r="B111" s="962" t="s">
        <v>2246</v>
      </c>
      <c r="D111" s="962"/>
      <c r="E111" s="1137" t="s">
        <v>1404</v>
      </c>
      <c r="F111" s="1137"/>
      <c r="G111" s="944" cm="1">
        <f t="array" ref="G111:K111">TONumberofQualifyingProjectswithnetEnvironmentalGainequaltoorabove15</f>
        <v>0</v>
      </c>
      <c r="H111" s="944">
        <v>0</v>
      </c>
      <c r="I111" s="944">
        <v>0</v>
      </c>
      <c r="J111" s="944">
        <v>0</v>
      </c>
      <c r="K111" s="944">
        <v>0</v>
      </c>
      <c r="L111" s="1028"/>
    </row>
    <row r="112" spans="1:12" ht="26.25">
      <c r="A112" s="1126" t="s">
        <v>2247</v>
      </c>
      <c r="B112" s="962" t="s">
        <v>2248</v>
      </c>
      <c r="D112" s="962"/>
      <c r="E112" s="1137" t="s">
        <v>1404</v>
      </c>
      <c r="F112" s="1137"/>
      <c r="G112" s="944" cm="1">
        <f t="array" ref="G112:K112">TONumberofQualifyingProjectswithnetEnvironmentalGainequaltoorlessthan5</f>
        <v>0</v>
      </c>
      <c r="H112" s="944">
        <v>0</v>
      </c>
      <c r="I112" s="944">
        <v>0</v>
      </c>
      <c r="J112" s="944">
        <v>0</v>
      </c>
      <c r="K112" s="944">
        <v>0</v>
      </c>
      <c r="L112" s="1028"/>
    </row>
    <row r="113" spans="1:12" ht="15.4">
      <c r="A113" s="1129" t="s">
        <v>2249</v>
      </c>
      <c r="B113" s="981" t="s">
        <v>2250</v>
      </c>
      <c r="D113" s="981"/>
      <c r="E113" s="1137" t="s">
        <v>2170</v>
      </c>
      <c r="F113" s="1137"/>
      <c r="G113" s="1138">
        <v>300000</v>
      </c>
      <c r="H113" s="1138">
        <v>0</v>
      </c>
      <c r="I113" s="1138">
        <v>0</v>
      </c>
      <c r="J113" s="1138">
        <v>0</v>
      </c>
      <c r="K113" s="1138">
        <v>0</v>
      </c>
      <c r="L113" s="1028"/>
    </row>
    <row r="114" spans="1:12" ht="15.4">
      <c r="A114" s="1129" t="s">
        <v>2251</v>
      </c>
      <c r="B114" s="962" t="s">
        <v>2237</v>
      </c>
      <c r="D114" s="962"/>
      <c r="E114" s="1137" t="s">
        <v>2252</v>
      </c>
      <c r="F114" s="1137"/>
      <c r="G114" s="711">
        <f>G111*G113</f>
        <v>0</v>
      </c>
      <c r="H114" s="711">
        <f t="shared" ref="H114:K114" si="23">H111*H113</f>
        <v>0</v>
      </c>
      <c r="I114" s="711">
        <f t="shared" si="23"/>
        <v>0</v>
      </c>
      <c r="J114" s="711">
        <f t="shared" si="23"/>
        <v>0</v>
      </c>
      <c r="K114" s="711">
        <f t="shared" si="23"/>
        <v>0</v>
      </c>
      <c r="L114" s="1028"/>
    </row>
    <row r="115" spans="1:12" ht="15.4">
      <c r="A115" s="1129" t="s">
        <v>2253</v>
      </c>
      <c r="B115" s="962" t="s">
        <v>2239</v>
      </c>
      <c r="D115" s="962"/>
      <c r="E115" s="1137" t="s">
        <v>2252</v>
      </c>
      <c r="F115" s="1137"/>
      <c r="G115" s="712">
        <f>G112*-G113</f>
        <v>0</v>
      </c>
      <c r="H115" s="712">
        <f t="shared" ref="H115:K115" si="24">H112*-H113</f>
        <v>0</v>
      </c>
      <c r="I115" s="712">
        <f t="shared" si="24"/>
        <v>0</v>
      </c>
      <c r="J115" s="712">
        <f t="shared" si="24"/>
        <v>0</v>
      </c>
      <c r="K115" s="712">
        <f t="shared" si="24"/>
        <v>0</v>
      </c>
      <c r="L115" s="1028"/>
    </row>
    <row r="116" spans="1:12">
      <c r="A116" s="1129"/>
      <c r="B116" s="981"/>
      <c r="D116" s="981"/>
      <c r="E116" s="1125"/>
      <c r="F116" s="1125"/>
      <c r="G116" s="981"/>
      <c r="H116" s="981"/>
      <c r="I116" s="981"/>
      <c r="J116" s="981"/>
      <c r="K116" s="981"/>
      <c r="L116" s="1028"/>
    </row>
    <row r="117" spans="1:12" ht="36.950000000000003" customHeight="1">
      <c r="A117" s="1150" t="s">
        <v>2254</v>
      </c>
      <c r="B117" s="981"/>
      <c r="D117" s="981"/>
      <c r="E117" s="1125"/>
      <c r="F117" s="1125"/>
      <c r="G117" s="1351" t="s">
        <v>2255</v>
      </c>
      <c r="H117" s="1351"/>
      <c r="I117" s="981"/>
      <c r="J117" s="981"/>
      <c r="K117" s="981"/>
      <c r="L117" s="1028"/>
    </row>
    <row r="118" spans="1:12">
      <c r="A118" s="1135"/>
      <c r="B118" s="981"/>
      <c r="D118" s="981"/>
      <c r="E118" s="1125"/>
      <c r="F118" s="1125"/>
      <c r="G118" s="981"/>
      <c r="H118" s="981"/>
      <c r="I118" s="981"/>
      <c r="J118" s="981"/>
      <c r="K118" s="981"/>
      <c r="L118" s="1028"/>
    </row>
    <row r="119" spans="1:12">
      <c r="A119" s="1135" t="s">
        <v>2256</v>
      </c>
      <c r="B119" s="981"/>
      <c r="D119" s="981"/>
      <c r="E119" s="1125"/>
      <c r="F119" s="1125"/>
      <c r="G119" s="981"/>
      <c r="H119" s="981"/>
      <c r="I119" s="981"/>
      <c r="J119" s="981"/>
      <c r="K119" s="981"/>
      <c r="L119" s="1028"/>
    </row>
    <row r="120" spans="1:12" ht="15.4">
      <c r="A120" s="1147" t="s">
        <v>2257</v>
      </c>
      <c r="B120" s="962" t="s">
        <v>2258</v>
      </c>
      <c r="D120" s="962"/>
      <c r="E120" s="1125" t="s">
        <v>2151</v>
      </c>
      <c r="F120" s="1137"/>
      <c r="G120" s="1151">
        <f>G135</f>
        <v>-0.13168040000000003</v>
      </c>
      <c r="H120" s="1151">
        <f t="shared" ref="H120:J120" si="25">H135</f>
        <v>-0.29628089999999996</v>
      </c>
      <c r="I120" s="1151">
        <f>I135</f>
        <v>-0.29628089999999996</v>
      </c>
      <c r="J120" s="1151">
        <f t="shared" si="25"/>
        <v>-0.29628089999999996</v>
      </c>
      <c r="K120" s="981"/>
      <c r="L120" s="1028"/>
    </row>
    <row r="121" spans="1:12" ht="15.4">
      <c r="A121" s="1147" t="s">
        <v>2259</v>
      </c>
      <c r="B121" s="962" t="s">
        <v>2260</v>
      </c>
      <c r="D121" s="962"/>
      <c r="E121" s="1125" t="s">
        <v>2151</v>
      </c>
      <c r="F121" s="1137"/>
      <c r="G121" s="1151">
        <f>G146</f>
        <v>0</v>
      </c>
      <c r="H121" s="1151">
        <f t="shared" ref="H121:J121" si="26">H146</f>
        <v>0</v>
      </c>
      <c r="I121" s="1151">
        <f t="shared" si="26"/>
        <v>0</v>
      </c>
      <c r="J121" s="1151">
        <f t="shared" si="26"/>
        <v>0</v>
      </c>
      <c r="K121" s="981"/>
      <c r="L121" s="1028"/>
    </row>
    <row r="122" spans="1:12" ht="15.4">
      <c r="A122" s="1140" t="s">
        <v>2261</v>
      </c>
      <c r="B122" s="962" t="s">
        <v>2163</v>
      </c>
      <c r="D122" s="962"/>
      <c r="E122" s="1125" t="s">
        <v>2151</v>
      </c>
      <c r="F122" s="1137"/>
      <c r="G122" s="1152">
        <f>G120+G121</f>
        <v>-0.13168040000000003</v>
      </c>
      <c r="H122" s="1152">
        <f t="shared" ref="H122:J122" si="27">H120+H121</f>
        <v>-0.29628089999999996</v>
      </c>
      <c r="I122" s="1152">
        <f t="shared" si="27"/>
        <v>-0.29628089999999996</v>
      </c>
      <c r="J122" s="1152">
        <f t="shared" si="27"/>
        <v>-0.29628089999999996</v>
      </c>
      <c r="K122" s="981"/>
      <c r="L122" s="1028"/>
    </row>
    <row r="123" spans="1:12">
      <c r="A123" s="1129"/>
      <c r="B123" s="981"/>
      <c r="D123" s="981"/>
      <c r="E123" s="1125"/>
      <c r="F123" s="1125"/>
      <c r="G123" s="981"/>
      <c r="H123" s="981"/>
      <c r="I123" s="981"/>
      <c r="J123" s="981"/>
      <c r="K123" s="981"/>
      <c r="L123" s="1028"/>
    </row>
    <row r="124" spans="1:12">
      <c r="A124" s="1129"/>
      <c r="B124" s="981"/>
      <c r="D124" s="981"/>
      <c r="E124" s="1125"/>
      <c r="F124" s="1125"/>
      <c r="G124" s="1352" t="s">
        <v>2262</v>
      </c>
      <c r="H124" s="1352"/>
      <c r="I124" s="1352"/>
      <c r="J124" s="1352"/>
      <c r="K124" s="1352"/>
      <c r="L124" s="1028"/>
    </row>
    <row r="125" spans="1:12">
      <c r="A125" s="1129"/>
      <c r="B125" s="981"/>
      <c r="D125" s="981"/>
      <c r="E125" s="1125"/>
      <c r="F125" s="1125"/>
      <c r="G125" s="1352"/>
      <c r="H125" s="1352"/>
      <c r="I125" s="1352"/>
      <c r="J125" s="1352"/>
      <c r="K125" s="1352"/>
      <c r="L125" s="1028"/>
    </row>
    <row r="126" spans="1:12">
      <c r="A126" s="1135" t="s">
        <v>2263</v>
      </c>
      <c r="B126" s="981"/>
      <c r="D126" s="981"/>
      <c r="F126" s="981"/>
      <c r="G126" s="1352"/>
      <c r="H126" s="1352"/>
      <c r="I126" s="1352"/>
      <c r="J126" s="1352"/>
      <c r="K126" s="1352"/>
      <c r="L126" s="1028"/>
    </row>
    <row r="127" spans="1:12">
      <c r="A127" s="1140"/>
      <c r="B127" s="981"/>
      <c r="D127" s="981"/>
      <c r="E127" s="1125"/>
      <c r="F127" s="1125"/>
      <c r="G127" s="981"/>
      <c r="H127" s="981"/>
      <c r="I127" s="981"/>
      <c r="J127" s="981"/>
      <c r="K127" s="981"/>
      <c r="L127" s="1028"/>
    </row>
    <row r="128" spans="1:12" ht="15.4">
      <c r="A128" s="1140" t="s">
        <v>2264</v>
      </c>
      <c r="B128" s="962" t="s">
        <v>2265</v>
      </c>
      <c r="D128" s="962"/>
      <c r="E128" s="1125" t="s">
        <v>2151</v>
      </c>
      <c r="F128" s="1137"/>
      <c r="G128" s="1130">
        <f>329201/10^6</f>
        <v>0.32920100000000002</v>
      </c>
      <c r="H128" s="1130">
        <f t="shared" ref="H128:K128" si="28">329201/10^6</f>
        <v>0.32920100000000002</v>
      </c>
      <c r="I128" s="1130">
        <f t="shared" si="28"/>
        <v>0.32920100000000002</v>
      </c>
      <c r="J128" s="1130">
        <f t="shared" si="28"/>
        <v>0.32920100000000002</v>
      </c>
      <c r="K128" s="1130">
        <f t="shared" si="28"/>
        <v>0.32920100000000002</v>
      </c>
      <c r="L128" s="1028"/>
    </row>
    <row r="129" spans="1:13">
      <c r="A129" s="1139" t="s">
        <v>2266</v>
      </c>
      <c r="B129" s="962" t="s">
        <v>2267</v>
      </c>
      <c r="D129" s="962"/>
      <c r="E129" s="1137" t="s">
        <v>2170</v>
      </c>
      <c r="F129" s="1137"/>
      <c r="G129" s="1138">
        <f>32.92*10^6</f>
        <v>32920000</v>
      </c>
      <c r="H129" s="1138">
        <f t="shared" ref="H129:K129" si="29">32.92*10^6</f>
        <v>32920000</v>
      </c>
      <c r="I129" s="1138">
        <f t="shared" si="29"/>
        <v>32920000</v>
      </c>
      <c r="J129" s="1138">
        <f t="shared" si="29"/>
        <v>32920000</v>
      </c>
      <c r="K129" s="1138">
        <f t="shared" si="29"/>
        <v>32920000</v>
      </c>
      <c r="L129" s="1028"/>
    </row>
    <row r="130" spans="1:13" ht="15.4">
      <c r="A130" s="1140" t="s">
        <v>2268</v>
      </c>
      <c r="B130" s="981" t="s">
        <v>2269</v>
      </c>
      <c r="D130" s="981"/>
      <c r="E130" s="1137" t="s">
        <v>2170</v>
      </c>
      <c r="F130" s="1137"/>
      <c r="G130" s="1141" cm="1">
        <f t="array" ref="G130:K130">TOActualEnvironmentalValue</f>
        <v>32920000</v>
      </c>
      <c r="H130" s="1141">
        <v>0</v>
      </c>
      <c r="I130" s="1141">
        <v>0</v>
      </c>
      <c r="J130" s="1141">
        <v>0</v>
      </c>
      <c r="K130" s="1141">
        <v>0</v>
      </c>
      <c r="L130" s="1028"/>
    </row>
    <row r="131" spans="1:13" ht="15.4">
      <c r="A131" s="1140" t="s">
        <v>2189</v>
      </c>
      <c r="B131" s="962" t="s">
        <v>2270</v>
      </c>
      <c r="D131" s="962"/>
      <c r="E131" s="1137" t="s">
        <v>1403</v>
      </c>
      <c r="F131" s="1137"/>
      <c r="G131" s="709">
        <f>(G130-G129)/G129</f>
        <v>0</v>
      </c>
      <c r="H131" s="709">
        <f>(H130-G130)/H129</f>
        <v>-1</v>
      </c>
      <c r="I131" s="709">
        <f>(I130-H130)/I129</f>
        <v>0</v>
      </c>
      <c r="J131" s="709">
        <f>(J130-I130)/J129</f>
        <v>0</v>
      </c>
      <c r="K131" s="709">
        <f>(K130-J130)/K129</f>
        <v>0</v>
      </c>
      <c r="L131" s="1028"/>
      <c r="M131" s="1153"/>
    </row>
    <row r="132" spans="1:13" ht="15.4">
      <c r="A132" s="1140" t="s">
        <v>2271</v>
      </c>
      <c r="B132" s="962" t="s">
        <v>2272</v>
      </c>
      <c r="D132" s="962"/>
      <c r="E132" s="1137" t="s">
        <v>1403</v>
      </c>
      <c r="F132" s="1137"/>
      <c r="G132" s="713">
        <v>1.4E-2</v>
      </c>
      <c r="H132" s="713">
        <v>3.15E-2</v>
      </c>
      <c r="I132" s="713">
        <v>3.15E-2</v>
      </c>
      <c r="J132" s="713">
        <v>3.15E-2</v>
      </c>
      <c r="K132" s="713">
        <v>3.15E-2</v>
      </c>
      <c r="L132" s="1028"/>
    </row>
    <row r="133" spans="1:13" ht="15.4">
      <c r="A133" s="1140" t="s">
        <v>2206</v>
      </c>
      <c r="B133" s="962" t="s">
        <v>2273</v>
      </c>
      <c r="D133" s="962"/>
      <c r="E133" s="1137" t="s">
        <v>1403</v>
      </c>
      <c r="F133" s="1137"/>
      <c r="G133" s="713">
        <v>6.0000000000000001E-3</v>
      </c>
      <c r="H133" s="713">
        <v>1.35E-2</v>
      </c>
      <c r="I133" s="713">
        <v>1.35E-2</v>
      </c>
      <c r="J133" s="713">
        <v>1.35E-2</v>
      </c>
      <c r="K133" s="713">
        <v>1.35E-2</v>
      </c>
      <c r="L133" s="1028"/>
    </row>
    <row r="134" spans="1:13" ht="15.4">
      <c r="A134" s="1140" t="s">
        <v>2274</v>
      </c>
      <c r="B134" s="962" t="s">
        <v>2275</v>
      </c>
      <c r="D134" s="962"/>
      <c r="E134" s="1137" t="s">
        <v>1403</v>
      </c>
      <c r="F134" s="1137"/>
      <c r="G134" s="713">
        <v>0.01</v>
      </c>
      <c r="H134" s="713">
        <v>2.2499999999999999E-2</v>
      </c>
      <c r="I134" s="713">
        <v>2.2499999999999999E-2</v>
      </c>
      <c r="J134" s="713">
        <v>2.2499999999999999E-2</v>
      </c>
      <c r="K134" s="713">
        <v>2.2499999999999999E-2</v>
      </c>
      <c r="L134" s="1028"/>
    </row>
    <row r="135" spans="1:13" ht="15.4">
      <c r="A135" s="1147" t="s">
        <v>2257</v>
      </c>
      <c r="B135" s="962" t="s">
        <v>2258</v>
      </c>
      <c r="D135" s="962"/>
      <c r="E135" s="1125" t="s">
        <v>2151</v>
      </c>
      <c r="F135" s="1137"/>
      <c r="G135" s="1152">
        <f>IF(G131&lt;=G133,G128*(G133-G134)*100,IF(G131&gt;=G132,G128*(G132-G134)*100,0))</f>
        <v>-0.13168040000000003</v>
      </c>
      <c r="H135" s="1152">
        <f t="shared" ref="H135:J135" si="30">IF(H131&lt;=H133,H128*(H133-H134)*100,IF(H131&gt;=H132,H128*(H132-H134)*100,0))</f>
        <v>-0.29628089999999996</v>
      </c>
      <c r="I135" s="1152">
        <f t="shared" si="30"/>
        <v>-0.29628089999999996</v>
      </c>
      <c r="J135" s="1152">
        <f t="shared" si="30"/>
        <v>-0.29628089999999996</v>
      </c>
      <c r="K135" s="1134" t="s">
        <v>1869</v>
      </c>
      <c r="L135" s="1028"/>
    </row>
    <row r="136" spans="1:13">
      <c r="A136" s="1129"/>
      <c r="B136" s="981"/>
      <c r="D136" s="981"/>
      <c r="E136" s="1125"/>
      <c r="F136" s="1125"/>
      <c r="G136" s="714"/>
      <c r="H136" s="981"/>
      <c r="I136" s="981"/>
      <c r="J136" s="981"/>
      <c r="K136" s="981"/>
      <c r="L136" s="1028"/>
    </row>
    <row r="137" spans="1:13" ht="5.0999999999999996" customHeight="1">
      <c r="A137" s="1129"/>
      <c r="B137" s="981"/>
      <c r="D137" s="981"/>
      <c r="E137" s="1125"/>
      <c r="F137" s="1125"/>
      <c r="G137" s="714"/>
      <c r="H137" s="981"/>
      <c r="I137" s="981"/>
      <c r="J137" s="981"/>
      <c r="K137" s="981"/>
      <c r="L137" s="1028"/>
    </row>
    <row r="138" spans="1:13" hidden="1">
      <c r="A138" s="1129"/>
      <c r="B138" s="981"/>
      <c r="D138" s="981"/>
      <c r="E138" s="1125"/>
      <c r="F138" s="1125"/>
      <c r="G138" s="714"/>
      <c r="H138" s="981"/>
      <c r="I138" s="981"/>
      <c r="J138" s="981"/>
      <c r="K138" s="981"/>
      <c r="L138" s="1028"/>
    </row>
    <row r="139" spans="1:13" ht="58.5" customHeight="1">
      <c r="A139" s="1129"/>
      <c r="B139" s="981"/>
      <c r="D139" s="981"/>
      <c r="E139" s="1125"/>
      <c r="F139" s="1125"/>
      <c r="G139" s="1353" t="s">
        <v>2276</v>
      </c>
      <c r="H139" s="1353"/>
      <c r="I139" s="1353"/>
      <c r="J139" s="1353"/>
      <c r="K139" s="1353"/>
      <c r="L139" s="1028"/>
    </row>
    <row r="140" spans="1:13">
      <c r="A140" s="1135" t="s">
        <v>2277</v>
      </c>
      <c r="B140" s="981"/>
      <c r="D140" s="981"/>
      <c r="E140" s="1125"/>
      <c r="F140" s="1125"/>
      <c r="G140" s="1353"/>
      <c r="H140" s="1353"/>
      <c r="I140" s="1353"/>
      <c r="J140" s="1353"/>
      <c r="K140" s="1353"/>
      <c r="L140" s="1028"/>
    </row>
    <row r="141" spans="1:13">
      <c r="A141" s="1129"/>
      <c r="B141" s="981"/>
      <c r="D141" s="981"/>
      <c r="E141" s="1125"/>
      <c r="F141" s="1125"/>
      <c r="G141" s="981"/>
      <c r="H141" s="981"/>
      <c r="I141" s="981"/>
      <c r="J141" s="981"/>
      <c r="K141" s="981"/>
      <c r="L141" s="1028"/>
    </row>
    <row r="142" spans="1:13">
      <c r="A142" s="1126" t="s">
        <v>2278</v>
      </c>
      <c r="B142" s="981" t="s">
        <v>2279</v>
      </c>
      <c r="D142" s="981"/>
      <c r="E142" s="1125" t="s">
        <v>2151</v>
      </c>
      <c r="F142" s="1125"/>
      <c r="G142" s="1154">
        <f>SUM($G$122:G122)</f>
        <v>-0.13168040000000003</v>
      </c>
      <c r="H142" s="1154">
        <f>SUM($G$122:H122)</f>
        <v>-0.42796129999999999</v>
      </c>
      <c r="I142" s="1154">
        <f>SUM($G$122:I122)</f>
        <v>-0.72424219999999995</v>
      </c>
      <c r="J142" s="1154">
        <f>SUM($G$122:J122)</f>
        <v>-1.0205230999999999</v>
      </c>
      <c r="K142" s="981"/>
      <c r="L142" s="1028"/>
    </row>
    <row r="143" spans="1:13" ht="15.4">
      <c r="A143" s="1126" t="s">
        <v>2280</v>
      </c>
      <c r="B143" s="981" t="s">
        <v>2281</v>
      </c>
      <c r="D143" s="981"/>
      <c r="E143" s="1125" t="s">
        <v>2151</v>
      </c>
      <c r="F143" s="1125"/>
      <c r="G143" s="1155">
        <v>0</v>
      </c>
      <c r="H143" s="1155">
        <f>G142</f>
        <v>-0.13168040000000003</v>
      </c>
      <c r="I143" s="1155">
        <f>H142</f>
        <v>-0.42796129999999999</v>
      </c>
      <c r="J143" s="1155">
        <f>I142</f>
        <v>-0.72424219999999995</v>
      </c>
      <c r="K143" s="981"/>
      <c r="L143" s="1028"/>
    </row>
    <row r="144" spans="1:13">
      <c r="A144" s="1147" t="s">
        <v>2257</v>
      </c>
      <c r="B144" s="962" t="s">
        <v>2263</v>
      </c>
      <c r="D144" s="962"/>
      <c r="E144" s="1125" t="s">
        <v>2151</v>
      </c>
      <c r="F144" s="1137"/>
      <c r="G144" s="1131">
        <f>G135</f>
        <v>-0.13168040000000003</v>
      </c>
      <c r="H144" s="1131">
        <f>H135</f>
        <v>-0.29628089999999996</v>
      </c>
      <c r="I144" s="1131">
        <f>I135</f>
        <v>-0.29628089999999996</v>
      </c>
      <c r="J144" s="1131">
        <f>J135</f>
        <v>-0.29628089999999996</v>
      </c>
      <c r="K144" s="981"/>
      <c r="L144" s="1028"/>
    </row>
    <row r="145" spans="1:13" ht="15.4">
      <c r="A145" s="1147"/>
      <c r="B145" s="1156" t="s">
        <v>2282</v>
      </c>
      <c r="D145" s="1156"/>
      <c r="E145" s="1125" t="s">
        <v>2151</v>
      </c>
      <c r="F145" s="1137"/>
      <c r="G145" s="1157">
        <f>(G143+G144)</f>
        <v>-0.13168040000000003</v>
      </c>
      <c r="H145" s="1157">
        <f>(H143+H144)</f>
        <v>-0.42796129999999999</v>
      </c>
      <c r="I145" s="1157">
        <f t="shared" ref="I145:J145" si="31">(I143+I144)</f>
        <v>-0.72424219999999995</v>
      </c>
      <c r="J145" s="1157">
        <f t="shared" si="31"/>
        <v>-1.0205230999999999</v>
      </c>
      <c r="K145" s="981"/>
      <c r="L145" s="1028"/>
    </row>
    <row r="146" spans="1:13">
      <c r="A146" s="1129" t="s">
        <v>2283</v>
      </c>
      <c r="B146" s="981" t="s">
        <v>2277</v>
      </c>
      <c r="D146" s="981"/>
      <c r="E146" s="1125" t="s">
        <v>2151</v>
      </c>
      <c r="F146" s="1125"/>
      <c r="G146" s="715">
        <f>IF(G143=0,0,IF(AND(G145&lt;0,G131&gt;G134),MIN(-G145,(G131-G134)*100*G128),IF(AND(G145&gt;0,G131&lt;G134),MAX(-G145,(G131-G134)*100*G128),0)))</f>
        <v>0</v>
      </c>
      <c r="H146" s="715">
        <f>IF(H143=0,0,IF(AND(H145&lt;0,H131&gt;H134),MIN(-H145,(H131-H134)*100*H128),IF(AND(H145&gt;0,H131&lt;H134),MAX(-H145,(H131-H134)*100*H128),0)))</f>
        <v>0</v>
      </c>
      <c r="I146" s="715">
        <f t="shared" ref="I146:J146" si="32">IF(I143=0,0,IF(AND(I145&lt;0,I131&gt;I134),MIN(-I145,(I131-I134)*100*I128),IF(AND(I145&gt;0,I131&lt;I134),MAX(-I145,(I131-I134)*100*I128),0)))</f>
        <v>0</v>
      </c>
      <c r="J146" s="715">
        <f t="shared" si="32"/>
        <v>0</v>
      </c>
      <c r="K146" s="981"/>
      <c r="L146" s="1028"/>
    </row>
    <row r="147" spans="1:13">
      <c r="A147" s="1129"/>
      <c r="B147" s="981"/>
      <c r="D147" s="981"/>
      <c r="E147" s="1125"/>
      <c r="F147" s="1125"/>
      <c r="G147" s="981"/>
      <c r="H147" s="981"/>
      <c r="I147" s="981"/>
      <c r="J147" s="981"/>
      <c r="K147" s="981"/>
      <c r="L147" s="1028"/>
    </row>
    <row r="148" spans="1:13">
      <c r="A148" s="1129"/>
      <c r="B148" s="981"/>
      <c r="D148" s="981"/>
      <c r="E148" s="1125"/>
      <c r="F148" s="1125"/>
      <c r="G148" s="981"/>
      <c r="H148" s="981"/>
      <c r="I148" s="981"/>
      <c r="J148" s="981"/>
      <c r="K148" s="981"/>
      <c r="L148" s="1028"/>
    </row>
    <row r="149" spans="1:13" ht="25.15">
      <c r="A149" s="1150" t="s">
        <v>2284</v>
      </c>
      <c r="B149" s="981"/>
      <c r="D149" s="981"/>
      <c r="E149" s="1125"/>
      <c r="F149" s="1125"/>
      <c r="G149" s="1354" t="s">
        <v>2285</v>
      </c>
      <c r="H149" s="1354"/>
      <c r="I149" s="1354"/>
      <c r="J149" s="1354"/>
      <c r="K149" s="1354"/>
      <c r="L149" s="1355"/>
    </row>
    <row r="150" spans="1:13">
      <c r="A150" s="1041"/>
      <c r="L150" s="1028"/>
    </row>
    <row r="151" spans="1:13">
      <c r="A151" s="1041"/>
      <c r="L151" s="1028"/>
    </row>
    <row r="152" spans="1:13" ht="15.4">
      <c r="A152" s="1126" t="s">
        <v>2286</v>
      </c>
      <c r="B152" s="981" t="s">
        <v>2287</v>
      </c>
      <c r="D152" s="981"/>
      <c r="E152" s="1125" t="s">
        <v>1403</v>
      </c>
      <c r="G152" s="1158" t="s">
        <v>1535</v>
      </c>
      <c r="H152" s="1158" t="s">
        <v>1535</v>
      </c>
      <c r="I152" s="1158" t="s">
        <v>1535</v>
      </c>
      <c r="J152" s="1158" t="s">
        <v>1535</v>
      </c>
      <c r="K152" s="716">
        <f>SUM(G131:K131)</f>
        <v>-1</v>
      </c>
      <c r="L152" s="1028"/>
      <c r="M152" s="979" t="s">
        <v>2288</v>
      </c>
    </row>
    <row r="153" spans="1:13" ht="15.4">
      <c r="A153" s="1126" t="s">
        <v>2280</v>
      </c>
      <c r="B153" s="981" t="s">
        <v>2289</v>
      </c>
      <c r="D153" s="981"/>
      <c r="E153" s="1125" t="s">
        <v>2151</v>
      </c>
      <c r="G153" s="1158" t="s">
        <v>1535</v>
      </c>
      <c r="H153" s="1158" t="s">
        <v>1535</v>
      </c>
      <c r="I153" s="1158" t="s">
        <v>1535</v>
      </c>
      <c r="J153" s="1158" t="s">
        <v>1535</v>
      </c>
      <c r="K153" s="717">
        <f>J142</f>
        <v>-1.0205230999999999</v>
      </c>
      <c r="L153" s="1028"/>
      <c r="M153" s="1159">
        <f>MIN(4,(K152*100-10))*K128</f>
        <v>-36.212110000000003</v>
      </c>
    </row>
    <row r="154" spans="1:13" ht="15.4">
      <c r="A154" s="1147" t="s">
        <v>2257</v>
      </c>
      <c r="B154" s="981" t="s">
        <v>2290</v>
      </c>
      <c r="D154" s="981"/>
      <c r="E154" s="1125" t="s">
        <v>2151</v>
      </c>
      <c r="G154" s="1158" t="s">
        <v>1535</v>
      </c>
      <c r="H154" s="1158" t="s">
        <v>1535</v>
      </c>
      <c r="I154" s="1158" t="s">
        <v>1535</v>
      </c>
      <c r="J154" s="1158" t="s">
        <v>1535</v>
      </c>
      <c r="K154" s="718">
        <f>IF(K152*100&lt;6, -4*K128-K153, (MIN((K152*100),14)-10)*K128-K153)</f>
        <v>-0.29628090000000018</v>
      </c>
      <c r="L154" s="1028"/>
      <c r="M154" s="1159">
        <f>K153+K154</f>
        <v>-1.3168040000000001</v>
      </c>
    </row>
    <row r="155" spans="1:13" ht="13.15" thickBot="1">
      <c r="A155" s="1037"/>
      <c r="B155" s="1038"/>
      <c r="C155" s="1038"/>
      <c r="D155" s="1038"/>
      <c r="E155" s="1038"/>
      <c r="F155" s="1038"/>
      <c r="G155" s="1038"/>
      <c r="H155" s="1038"/>
      <c r="I155" s="1038"/>
      <c r="J155" s="1038"/>
      <c r="K155" s="1038"/>
      <c r="L155" s="1039"/>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&amp;C&amp;D&amp;R&amp;F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90" zoomScaleNormal="90" workbookViewId="0">
      <pane ySplit="5" topLeftCell="A18" activePane="bottomLeft" state="frozen"/>
      <selection activeCell="F30" sqref="F30"/>
      <selection pane="bottomLeft"/>
    </sheetView>
  </sheetViews>
  <sheetFormatPr defaultColWidth="10.265625" defaultRowHeight="12.75"/>
  <cols>
    <col min="1" max="1" width="51.73046875" style="1007" customWidth="1"/>
    <col min="2" max="2" width="16.86328125" style="1007" customWidth="1"/>
    <col min="3" max="3" width="7.3984375" style="1007" customWidth="1"/>
    <col min="4" max="4" width="4.1328125" style="1007" customWidth="1"/>
    <col min="5" max="5" width="3.265625" style="1007" customWidth="1"/>
    <col min="6" max="6" width="10.59765625" style="1007" bestFit="1" customWidth="1"/>
    <col min="7" max="7" width="17.59765625" style="1007" bestFit="1" customWidth="1"/>
    <col min="8" max="12" width="10.59765625" style="1007" bestFit="1" customWidth="1"/>
    <col min="13" max="16384" width="10.265625" style="1007"/>
  </cols>
  <sheetData>
    <row r="1" spans="1:14" s="1001" customFormat="1" ht="15">
      <c r="A1" s="930" t="s">
        <v>1418</v>
      </c>
      <c r="B1" s="998"/>
      <c r="C1" s="998"/>
      <c r="D1" s="998"/>
      <c r="E1" s="999"/>
      <c r="F1" s="999"/>
      <c r="G1" s="999"/>
      <c r="H1" s="999"/>
      <c r="I1" s="999"/>
      <c r="J1" s="1000"/>
      <c r="K1" s="1000"/>
      <c r="L1" s="1000"/>
      <c r="M1" s="1000"/>
      <c r="N1" s="1000"/>
    </row>
    <row r="2" spans="1:14" s="1001" customFormat="1" ht="15">
      <c r="A2" s="930" t="str">
        <f>'1.1 Cover'!A3</f>
        <v>Price base - 2018/19</v>
      </c>
      <c r="B2" s="1002"/>
      <c r="C2" s="1002"/>
      <c r="D2" s="1002"/>
      <c r="E2" s="1000"/>
      <c r="F2" s="1000"/>
      <c r="G2" s="1000"/>
      <c r="H2" s="1000"/>
      <c r="I2" s="1000"/>
      <c r="J2" s="1000"/>
      <c r="K2" s="1000"/>
      <c r="L2" s="1000"/>
      <c r="M2" s="1000"/>
      <c r="N2" s="1000"/>
    </row>
    <row r="3" spans="1:14" s="1001" customFormat="1" ht="33.950000000000003" customHeight="1">
      <c r="A3" s="1002" t="s">
        <v>2291</v>
      </c>
      <c r="B3" s="1002"/>
      <c r="C3" s="1002"/>
      <c r="D3" s="1002"/>
      <c r="E3" s="1002"/>
      <c r="F3" s="1000"/>
      <c r="G3" s="1000"/>
      <c r="H3" s="1000"/>
      <c r="I3" s="1000"/>
      <c r="J3" s="1000"/>
      <c r="K3" s="1000"/>
      <c r="L3" s="1000"/>
      <c r="M3" s="1000"/>
      <c r="N3" s="1000"/>
    </row>
    <row r="4" spans="1:14" ht="13.9">
      <c r="A4" s="1003"/>
      <c r="B4" s="1003"/>
      <c r="C4" s="1003"/>
      <c r="D4" s="1004"/>
      <c r="E4" s="1005"/>
      <c r="F4" s="1005"/>
      <c r="G4" s="1005"/>
      <c r="H4" s="1005"/>
      <c r="I4" s="1005"/>
      <c r="J4" s="1005"/>
      <c r="K4" s="1005"/>
      <c r="L4" s="1005"/>
      <c r="M4" s="1005"/>
    </row>
    <row r="5" spans="1:14" ht="18" thickBot="1">
      <c r="A5" s="1008"/>
      <c r="B5" s="1003"/>
      <c r="C5" s="1003"/>
      <c r="D5" s="1003"/>
      <c r="E5" s="1003"/>
      <c r="G5" s="1009"/>
      <c r="H5" s="1009"/>
      <c r="I5" s="1160" t="s">
        <v>1420</v>
      </c>
      <c r="J5" s="1160" t="s">
        <v>1421</v>
      </c>
      <c r="K5" s="1160" t="s">
        <v>1422</v>
      </c>
      <c r="L5" s="1160" t="s">
        <v>1423</v>
      </c>
      <c r="M5" s="1160" t="s">
        <v>1424</v>
      </c>
    </row>
    <row r="6" spans="1:14" s="950" customFormat="1" ht="15.4">
      <c r="A6" s="1161" t="s">
        <v>2292</v>
      </c>
      <c r="B6" s="1060"/>
      <c r="C6" s="1060"/>
      <c r="D6" s="1060"/>
      <c r="E6" s="1060"/>
      <c r="F6" s="1060"/>
      <c r="G6" s="1162"/>
      <c r="H6" s="1162"/>
      <c r="I6" s="1163"/>
      <c r="J6" s="1163"/>
      <c r="K6" s="1163"/>
      <c r="L6" s="1163"/>
      <c r="M6" s="1059"/>
      <c r="N6" s="1077"/>
    </row>
    <row r="7" spans="1:14" s="950" customFormat="1" ht="12.4">
      <c r="A7" s="1117"/>
      <c r="B7" s="956"/>
      <c r="C7" s="939"/>
      <c r="D7" s="962"/>
      <c r="E7" s="962"/>
      <c r="F7" s="962"/>
      <c r="G7" s="939"/>
      <c r="H7" s="936"/>
      <c r="I7" s="936"/>
      <c r="J7" s="936"/>
      <c r="K7" s="936"/>
      <c r="L7" s="936"/>
      <c r="M7" s="936"/>
      <c r="N7" s="1066"/>
    </row>
    <row r="8" spans="1:14" s="950" customFormat="1" ht="12.4">
      <c r="A8" s="1088" t="s">
        <v>2293</v>
      </c>
      <c r="B8" s="950" t="s">
        <v>1092</v>
      </c>
      <c r="C8" s="941" t="s">
        <v>1961</v>
      </c>
      <c r="D8" s="962"/>
      <c r="E8" s="962"/>
      <c r="G8" s="942" t="s">
        <v>1428</v>
      </c>
      <c r="I8" s="1065">
        <f>I23</f>
        <v>0</v>
      </c>
      <c r="J8" s="1065">
        <f t="shared" ref="J8:M8" si="0">J23</f>
        <v>0</v>
      </c>
      <c r="K8" s="1065">
        <f t="shared" si="0"/>
        <v>0</v>
      </c>
      <c r="L8" s="1065">
        <f t="shared" si="0"/>
        <v>0</v>
      </c>
      <c r="M8" s="1065">
        <f t="shared" si="0"/>
        <v>0</v>
      </c>
      <c r="N8" s="1164"/>
    </row>
    <row r="9" spans="1:14" s="950" customFormat="1" ht="12.4">
      <c r="A9" s="1088" t="s">
        <v>2294</v>
      </c>
      <c r="B9" s="950" t="s">
        <v>1534</v>
      </c>
      <c r="C9" s="941" t="s">
        <v>1964</v>
      </c>
      <c r="D9" s="962"/>
      <c r="E9" s="962"/>
      <c r="G9" s="942" t="s">
        <v>1428</v>
      </c>
      <c r="I9" s="1065">
        <f>I47</f>
        <v>0</v>
      </c>
      <c r="J9" s="1065">
        <f t="shared" ref="J9:M9" si="1">J47</f>
        <v>0</v>
      </c>
      <c r="K9" s="1065">
        <f t="shared" si="1"/>
        <v>0</v>
      </c>
      <c r="L9" s="1065">
        <f t="shared" si="1"/>
        <v>0</v>
      </c>
      <c r="M9" s="1065">
        <f t="shared" si="1"/>
        <v>0</v>
      </c>
      <c r="N9" s="1164"/>
    </row>
    <row r="10" spans="1:14" s="950" customFormat="1" ht="15.4">
      <c r="A10" s="1088" t="s">
        <v>2295</v>
      </c>
      <c r="B10" s="950" t="s">
        <v>1968</v>
      </c>
      <c r="C10" s="950" t="s">
        <v>1967</v>
      </c>
      <c r="G10" s="942" t="s">
        <v>1428</v>
      </c>
      <c r="I10" s="1065">
        <f>'2.1 Revenue_Interface'!AB169</f>
        <v>0</v>
      </c>
      <c r="J10" s="1065">
        <f>'2.1 Revenue_Interface'!AC169</f>
        <v>0</v>
      </c>
      <c r="K10" s="1065">
        <f>'2.1 Revenue_Interface'!AD169</f>
        <v>0</v>
      </c>
      <c r="L10" s="1065">
        <f>'2.1 Revenue_Interface'!AE169</f>
        <v>0</v>
      </c>
      <c r="M10" s="1065">
        <f>'2.1 Revenue_Interface'!AF169</f>
        <v>0</v>
      </c>
      <c r="N10" s="1066"/>
    </row>
    <row r="11" spans="1:14" s="950" customFormat="1" thickBot="1">
      <c r="A11" s="1089"/>
      <c r="B11" s="1071"/>
      <c r="C11" s="1071"/>
      <c r="D11" s="1071"/>
      <c r="E11" s="1071"/>
      <c r="F11" s="1071"/>
      <c r="G11" s="1071"/>
      <c r="H11" s="1071"/>
      <c r="I11" s="1071"/>
      <c r="J11" s="1071"/>
      <c r="K11" s="1071"/>
      <c r="L11" s="1071"/>
      <c r="M11" s="1071"/>
      <c r="N11" s="1073"/>
    </row>
    <row r="12" spans="1:14" s="950" customFormat="1" ht="12.4"/>
    <row r="13" spans="1:14" s="950" customFormat="1" thickBot="1"/>
    <row r="14" spans="1:14" s="950" customFormat="1" ht="12.4">
      <c r="A14" s="1074"/>
      <c r="B14" s="1076"/>
      <c r="C14" s="1076"/>
      <c r="D14" s="1076"/>
      <c r="E14" s="1076"/>
      <c r="F14" s="1076"/>
      <c r="G14" s="1076"/>
      <c r="H14" s="1076"/>
      <c r="I14" s="1076"/>
      <c r="J14" s="1076"/>
      <c r="K14" s="1076"/>
      <c r="L14" s="1076"/>
      <c r="M14" s="1076"/>
      <c r="N14" s="1077"/>
    </row>
    <row r="15" spans="1:14" s="950" customFormat="1" ht="12.4">
      <c r="A15" s="1117" t="s">
        <v>2296</v>
      </c>
      <c r="E15" s="1165"/>
      <c r="K15" s="1166"/>
      <c r="N15" s="1066"/>
    </row>
    <row r="16" spans="1:14" s="950" customFormat="1" ht="12.4">
      <c r="A16" s="1088"/>
      <c r="N16" s="1066"/>
    </row>
    <row r="17" spans="1:14" s="950" customFormat="1" ht="12.4">
      <c r="A17" s="1088"/>
      <c r="N17" s="1066"/>
    </row>
    <row r="18" spans="1:14" s="950" customFormat="1" ht="12.4">
      <c r="A18" s="1167"/>
      <c r="N18" s="1168"/>
    </row>
    <row r="19" spans="1:14" s="950" customFormat="1" ht="15.4">
      <c r="A19" s="983" t="s">
        <v>2297</v>
      </c>
      <c r="B19" s="1169" t="s">
        <v>2298</v>
      </c>
      <c r="C19" s="941" t="s">
        <v>1961</v>
      </c>
      <c r="G19" s="942" t="s">
        <v>1428</v>
      </c>
      <c r="I19" s="1065">
        <f>'2.1 Revenue_Interface'!AB171</f>
        <v>0</v>
      </c>
      <c r="J19" s="1065">
        <f>'2.1 Revenue_Interface'!AC171</f>
        <v>0</v>
      </c>
      <c r="K19" s="1065">
        <f>'2.1 Revenue_Interface'!AD171</f>
        <v>0</v>
      </c>
      <c r="L19" s="1065">
        <f>'2.1 Revenue_Interface'!AE171</f>
        <v>0</v>
      </c>
      <c r="M19" s="1065">
        <f>'2.1 Revenue_Interface'!AF171</f>
        <v>0</v>
      </c>
      <c r="N19" s="1122" t="s">
        <v>2299</v>
      </c>
    </row>
    <row r="20" spans="1:14" s="950" customFormat="1" ht="12.4">
      <c r="A20" s="1088"/>
      <c r="N20" s="1122"/>
    </row>
    <row r="21" spans="1:14" s="950" customFormat="1" ht="15.4">
      <c r="A21" s="983" t="s">
        <v>2300</v>
      </c>
      <c r="B21" s="1169" t="s">
        <v>2301</v>
      </c>
      <c r="C21" s="941" t="s">
        <v>1961</v>
      </c>
      <c r="G21" s="942" t="s">
        <v>1428</v>
      </c>
      <c r="I21" s="1356">
        <v>25</v>
      </c>
      <c r="J21" s="1357"/>
      <c r="K21" s="1357"/>
      <c r="L21" s="1357"/>
      <c r="M21" s="1358"/>
      <c r="N21" s="1122"/>
    </row>
    <row r="22" spans="1:14" s="950" customFormat="1" ht="15.4">
      <c r="A22" s="983" t="s">
        <v>2302</v>
      </c>
      <c r="B22" s="1169" t="s">
        <v>2303</v>
      </c>
      <c r="C22" s="941" t="s">
        <v>1961</v>
      </c>
      <c r="G22" s="942" t="s">
        <v>1428</v>
      </c>
      <c r="I22" s="1359" t="str">
        <f>'2.1 Revenue_Interface'!AB172</f>
        <v>O</v>
      </c>
      <c r="J22" s="1360"/>
      <c r="K22" s="1360"/>
      <c r="L22" s="1360"/>
      <c r="M22" s="1361"/>
      <c r="N22" s="1122" t="s">
        <v>2304</v>
      </c>
    </row>
    <row r="23" spans="1:14" s="950" customFormat="1" ht="15.4">
      <c r="A23" s="1085" t="s">
        <v>2293</v>
      </c>
      <c r="B23" s="984" t="s">
        <v>2305</v>
      </c>
      <c r="C23" s="1087" t="s">
        <v>1961</v>
      </c>
      <c r="D23" s="980"/>
      <c r="E23" s="980"/>
      <c r="F23" s="980"/>
      <c r="G23" s="975" t="s">
        <v>1428</v>
      </c>
      <c r="H23" s="980"/>
      <c r="I23" s="1170">
        <f>0.9*I19</f>
        <v>0</v>
      </c>
      <c r="J23" s="1170">
        <f t="shared" ref="J23:M23" si="2">0.9*J19</f>
        <v>0</v>
      </c>
      <c r="K23" s="1170">
        <f t="shared" si="2"/>
        <v>0</v>
      </c>
      <c r="L23" s="1170">
        <f t="shared" si="2"/>
        <v>0</v>
      </c>
      <c r="M23" s="1170">
        <f t="shared" si="2"/>
        <v>0</v>
      </c>
      <c r="N23" s="1122"/>
    </row>
    <row r="24" spans="1:14" s="950" customFormat="1" ht="12.4">
      <c r="A24" s="1088"/>
      <c r="I24" s="950" t="e">
        <f>SUM($I$23:$M$23)&lt;=$I$21+I22</f>
        <v>#VALUE!</v>
      </c>
      <c r="J24" s="950" t="b">
        <f t="shared" ref="J24:M24" si="3">SUM($I$23:$M$23)&lt;=$I$21+J22</f>
        <v>1</v>
      </c>
      <c r="K24" s="950" t="b">
        <f t="shared" si="3"/>
        <v>1</v>
      </c>
      <c r="L24" s="950" t="b">
        <f t="shared" si="3"/>
        <v>1</v>
      </c>
      <c r="M24" s="950" t="b">
        <f t="shared" si="3"/>
        <v>1</v>
      </c>
      <c r="N24" s="1066"/>
    </row>
    <row r="25" spans="1:14" s="950" customFormat="1" thickBot="1">
      <c r="A25" s="1089"/>
      <c r="B25" s="1071"/>
      <c r="C25" s="1071"/>
      <c r="D25" s="1071"/>
      <c r="E25" s="1071"/>
      <c r="F25" s="1071"/>
      <c r="G25" s="1071"/>
      <c r="H25" s="1071"/>
      <c r="I25" s="1071"/>
      <c r="J25" s="1071"/>
      <c r="K25" s="1071"/>
      <c r="L25" s="1071"/>
      <c r="M25" s="1071"/>
      <c r="N25" s="1073"/>
    </row>
    <row r="26" spans="1:14" s="950" customFormat="1" thickBot="1"/>
    <row r="27" spans="1:14" s="950" customFormat="1" ht="12.4">
      <c r="A27" s="1074"/>
      <c r="B27" s="1076"/>
      <c r="C27" s="1076"/>
      <c r="D27" s="1076"/>
      <c r="E27" s="1076"/>
      <c r="F27" s="1076"/>
      <c r="G27" s="1076"/>
      <c r="H27" s="1076"/>
      <c r="I27" s="1076"/>
      <c r="J27" s="1076"/>
      <c r="K27" s="1076"/>
      <c r="L27" s="1076"/>
      <c r="M27" s="1076"/>
      <c r="N27" s="1077"/>
    </row>
    <row r="28" spans="1:14" s="950" customFormat="1" ht="12.4">
      <c r="A28" s="1117" t="s">
        <v>2306</v>
      </c>
      <c r="C28" s="939"/>
      <c r="N28" s="1066"/>
    </row>
    <row r="29" spans="1:14" s="950" customFormat="1" ht="12.4">
      <c r="A29" s="1094"/>
      <c r="N29" s="1066"/>
    </row>
    <row r="30" spans="1:14" s="950" customFormat="1" ht="12.4">
      <c r="A30" s="1088"/>
      <c r="N30" s="1066"/>
    </row>
    <row r="31" spans="1:14" s="950" customFormat="1" ht="12.4">
      <c r="A31" s="1088"/>
      <c r="N31" s="1066"/>
    </row>
    <row r="32" spans="1:14" s="950" customFormat="1" ht="12.4">
      <c r="A32" s="1088"/>
      <c r="N32" s="1066"/>
    </row>
    <row r="33" spans="1:14" s="950" customFormat="1" ht="12.4">
      <c r="A33" s="1088"/>
      <c r="N33" s="1066"/>
    </row>
    <row r="34" spans="1:14" s="950" customFormat="1" ht="15.4">
      <c r="A34" s="983" t="s">
        <v>2307</v>
      </c>
      <c r="B34" s="1169" t="s">
        <v>2308</v>
      </c>
      <c r="C34" s="719" t="s">
        <v>1964</v>
      </c>
      <c r="G34" s="1171" t="s">
        <v>2309</v>
      </c>
      <c r="I34" s="1065">
        <f>ECNIAt</f>
        <v>0</v>
      </c>
      <c r="J34" s="1172"/>
      <c r="K34" s="1172"/>
      <c r="L34" s="1172"/>
      <c r="M34" s="1172"/>
      <c r="N34" s="1122" t="s">
        <v>2310</v>
      </c>
    </row>
    <row r="35" spans="1:14" s="950" customFormat="1" ht="14.25">
      <c r="A35" s="983" t="s">
        <v>1783</v>
      </c>
      <c r="B35" s="1169" t="s">
        <v>2311</v>
      </c>
      <c r="C35" s="719" t="s">
        <v>1964</v>
      </c>
      <c r="G35" s="1171" t="s">
        <v>2309</v>
      </c>
      <c r="I35" s="1065">
        <f>CNIARt</f>
        <v>0</v>
      </c>
      <c r="J35" s="1172"/>
      <c r="K35" s="1172"/>
      <c r="L35" s="1172"/>
      <c r="M35" s="1172"/>
      <c r="N35" s="1122" t="s">
        <v>2312</v>
      </c>
    </row>
    <row r="36" spans="1:14" s="950" customFormat="1" ht="14.25">
      <c r="A36" s="983"/>
      <c r="B36" s="1169"/>
      <c r="C36" s="719"/>
      <c r="G36" s="1171"/>
      <c r="H36" s="1171"/>
      <c r="I36" s="1173"/>
      <c r="J36" s="1173"/>
      <c r="K36" s="1173"/>
      <c r="L36" s="1173"/>
      <c r="M36" s="1173"/>
      <c r="N36" s="1122"/>
    </row>
    <row r="37" spans="1:14" s="950" customFormat="1" ht="24" customHeight="1">
      <c r="B37" s="1174"/>
      <c r="C37" s="720"/>
      <c r="G37" s="1175"/>
      <c r="I37" s="1176"/>
      <c r="J37" s="1176"/>
      <c r="K37" s="1176"/>
      <c r="L37" s="1176"/>
      <c r="M37" s="1176"/>
      <c r="N37" s="1122"/>
    </row>
    <row r="38" spans="1:14" s="950" customFormat="1" ht="24.95" customHeight="1">
      <c r="A38" s="1177" t="s">
        <v>2313</v>
      </c>
      <c r="B38" s="1178" t="s">
        <v>2314</v>
      </c>
      <c r="C38" s="719" t="s">
        <v>1964</v>
      </c>
      <c r="G38" s="1171" t="s">
        <v>2309</v>
      </c>
      <c r="I38" s="1065">
        <f>NIAV2020_21</f>
        <v>0</v>
      </c>
      <c r="J38" s="1172"/>
      <c r="K38" s="1172"/>
      <c r="L38" s="1172"/>
      <c r="M38" s="1179"/>
      <c r="N38" s="1122" t="s">
        <v>2315</v>
      </c>
    </row>
    <row r="39" spans="1:14" s="950" customFormat="1" ht="18">
      <c r="B39" s="1178" t="s">
        <v>2316</v>
      </c>
      <c r="C39" s="719" t="s">
        <v>1964</v>
      </c>
      <c r="G39" s="1171" t="s">
        <v>2309</v>
      </c>
      <c r="I39" s="1065">
        <f>BR2020_21</f>
        <v>0</v>
      </c>
      <c r="J39" s="1172"/>
      <c r="K39" s="1172"/>
      <c r="L39" s="1172"/>
      <c r="M39" s="1179"/>
      <c r="N39" s="1122" t="s">
        <v>2315</v>
      </c>
    </row>
    <row r="40" spans="1:14" s="950" customFormat="1" ht="18">
      <c r="B40" s="1178" t="s">
        <v>2317</v>
      </c>
      <c r="C40" s="719" t="s">
        <v>1964</v>
      </c>
      <c r="G40" s="1171" t="s">
        <v>2309</v>
      </c>
      <c r="I40" s="1065">
        <f>ENIA2020_21</f>
        <v>0</v>
      </c>
      <c r="J40" s="1172"/>
      <c r="K40" s="1172"/>
      <c r="L40" s="1172"/>
      <c r="M40" s="1179"/>
      <c r="N40" s="1122" t="s">
        <v>2315</v>
      </c>
    </row>
    <row r="41" spans="1:14" s="950" customFormat="1" ht="18">
      <c r="A41" s="1180"/>
      <c r="B41" s="1178" t="s">
        <v>2318</v>
      </c>
      <c r="C41" s="719" t="s">
        <v>1964</v>
      </c>
      <c r="G41" s="1171" t="s">
        <v>2309</v>
      </c>
      <c r="I41" s="1065">
        <f>BPC2020_21</f>
        <v>0</v>
      </c>
      <c r="J41" s="1172"/>
      <c r="K41" s="1172"/>
      <c r="L41" s="1172"/>
      <c r="M41" s="1179"/>
      <c r="N41" s="1122" t="s">
        <v>2315</v>
      </c>
    </row>
    <row r="42" spans="1:14" s="950" customFormat="1" ht="14.25">
      <c r="A42" s="983"/>
      <c r="B42" s="1169" t="s">
        <v>2319</v>
      </c>
      <c r="C42" s="719" t="s">
        <v>1964</v>
      </c>
      <c r="G42" s="1171" t="s">
        <v>2309</v>
      </c>
      <c r="I42" s="1181">
        <f>I38*I39-(I40+I41)</f>
        <v>0</v>
      </c>
      <c r="J42" s="1182"/>
      <c r="K42" s="1182"/>
      <c r="L42" s="1182"/>
      <c r="M42" s="1183"/>
      <c r="N42" s="1066"/>
    </row>
    <row r="43" spans="1:14" s="950" customFormat="1" ht="14.25">
      <c r="A43" s="1184"/>
      <c r="B43" s="1174"/>
      <c r="C43" s="720"/>
      <c r="G43" s="1175"/>
      <c r="I43" s="1185"/>
      <c r="J43" s="1186"/>
      <c r="K43" s="1186"/>
      <c r="L43" s="1186"/>
      <c r="M43" s="1186"/>
      <c r="N43" s="1066"/>
    </row>
    <row r="44" spans="1:14" s="950" customFormat="1" ht="15.4">
      <c r="A44" s="1080" t="s">
        <v>1516</v>
      </c>
      <c r="B44" s="1169" t="s">
        <v>2320</v>
      </c>
      <c r="C44" s="719"/>
      <c r="G44" s="1171" t="s">
        <v>2321</v>
      </c>
      <c r="I44" s="1065">
        <v>283.30833333333334</v>
      </c>
      <c r="J44" s="1187"/>
      <c r="K44" s="1187"/>
      <c r="L44" s="1187"/>
      <c r="M44" s="1188"/>
      <c r="N44" s="1019" t="s">
        <v>2119</v>
      </c>
    </row>
    <row r="45" spans="1:14" s="1189" customFormat="1" ht="15.4">
      <c r="A45" s="983"/>
      <c r="B45" s="1169" t="s">
        <v>2322</v>
      </c>
      <c r="C45" s="719"/>
      <c r="D45" s="950"/>
      <c r="E45" s="950"/>
      <c r="F45" s="950"/>
      <c r="G45" s="1171" t="s">
        <v>2321</v>
      </c>
      <c r="H45" s="950"/>
      <c r="I45" s="1065">
        <v>298.18942408477898</v>
      </c>
      <c r="J45" s="1187"/>
      <c r="K45" s="1187"/>
      <c r="L45" s="1187"/>
      <c r="M45" s="1188"/>
      <c r="N45" s="1019" t="s">
        <v>2119</v>
      </c>
    </row>
    <row r="46" spans="1:14" s="1189" customFormat="1" ht="14.25">
      <c r="A46" s="1184"/>
      <c r="B46" s="1174"/>
      <c r="C46" s="720"/>
      <c r="D46" s="950"/>
      <c r="E46" s="950"/>
      <c r="F46" s="950"/>
      <c r="G46" s="1175"/>
      <c r="H46" s="950"/>
      <c r="I46" s="1190"/>
      <c r="J46" s="1191"/>
      <c r="K46" s="1186"/>
      <c r="L46" s="1186"/>
      <c r="M46" s="1192"/>
      <c r="N46" s="1019"/>
    </row>
    <row r="47" spans="1:14" s="950" customFormat="1" ht="15.4">
      <c r="A47" s="1080" t="s">
        <v>2323</v>
      </c>
      <c r="B47" s="984" t="s">
        <v>2324</v>
      </c>
      <c r="C47" s="721" t="s">
        <v>1964</v>
      </c>
      <c r="D47" s="1189"/>
      <c r="G47" s="1193" t="s">
        <v>2325</v>
      </c>
      <c r="I47" s="1194">
        <f>IFERROR((0.9*MIN(I34,I42)-I35)*I44/I45,"-")</f>
        <v>0</v>
      </c>
      <c r="J47" s="722"/>
      <c r="K47" s="722"/>
      <c r="L47" s="722"/>
      <c r="M47" s="722"/>
      <c r="N47" s="1066"/>
    </row>
    <row r="48" spans="1:14">
      <c r="A48" s="1041"/>
      <c r="N48" s="1028"/>
    </row>
    <row r="49" spans="1:14" ht="13.15" thickBot="1">
      <c r="A49" s="1037"/>
      <c r="B49" s="1038"/>
      <c r="C49" s="1038"/>
      <c r="D49" s="1038"/>
      <c r="E49" s="1038"/>
      <c r="F49" s="1038"/>
      <c r="G49" s="1038"/>
      <c r="H49" s="1038"/>
      <c r="I49" s="1038"/>
      <c r="J49" s="1038"/>
      <c r="K49" s="1038"/>
      <c r="L49" s="1038"/>
      <c r="M49" s="1038"/>
      <c r="N49" s="1039"/>
    </row>
    <row r="53" spans="1:14">
      <c r="G53" s="1195"/>
      <c r="H53" s="1195"/>
    </row>
    <row r="54" spans="1:14" ht="15">
      <c r="A54" s="1180"/>
    </row>
    <row r="55" spans="1:14" ht="15">
      <c r="A55" s="1180"/>
    </row>
    <row r="56" spans="1:14" ht="15">
      <c r="A56" s="1180"/>
    </row>
    <row r="57" spans="1:14" ht="15">
      <c r="A57" s="1180"/>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82"/>
  <sheetViews>
    <sheetView showGridLines="0" zoomScale="90" zoomScaleNormal="90" workbookViewId="0">
      <pane ySplit="5" topLeftCell="A6" activePane="bottomLeft" state="frozen"/>
      <selection activeCell="F30" sqref="F30"/>
      <selection pane="bottomLeft"/>
    </sheetView>
  </sheetViews>
  <sheetFormatPr defaultColWidth="10.265625" defaultRowHeight="12.75"/>
  <cols>
    <col min="1" max="1" width="78" style="1007" customWidth="1"/>
    <col min="2" max="2" width="10.59765625" style="950" customWidth="1"/>
    <col min="3" max="3" width="5.59765625" style="1007" customWidth="1"/>
    <col min="4" max="4" width="10.265625" style="1007"/>
    <col min="5" max="5" width="13.73046875" style="1007" customWidth="1"/>
    <col min="6" max="6" width="14" style="1007" customWidth="1"/>
    <col min="7" max="11" width="13.59765625" style="1007" customWidth="1"/>
    <col min="12" max="16384" width="10.265625" style="1007"/>
  </cols>
  <sheetData>
    <row r="1" spans="1:13" s="1001" customFormat="1" ht="15">
      <c r="A1" s="1000" t="s">
        <v>1418</v>
      </c>
      <c r="B1" s="931"/>
      <c r="C1" s="998"/>
      <c r="D1" s="998"/>
      <c r="E1" s="999"/>
      <c r="F1" s="999"/>
      <c r="G1" s="999"/>
      <c r="H1" s="1000"/>
      <c r="I1" s="1000"/>
      <c r="J1" s="1000"/>
      <c r="K1" s="1000"/>
      <c r="L1" s="1000"/>
    </row>
    <row r="2" spans="1:13" s="1001" customFormat="1" ht="15">
      <c r="A2" s="930" t="str">
        <f>'1.1 Cover'!A3</f>
        <v>Price base - 2018/19</v>
      </c>
      <c r="B2" s="935"/>
      <c r="C2" s="1002"/>
      <c r="D2" s="1002"/>
      <c r="E2" s="1000"/>
      <c r="F2" s="1000"/>
      <c r="G2" s="1000"/>
      <c r="H2" s="1000"/>
      <c r="I2" s="1000"/>
      <c r="J2" s="1000"/>
      <c r="K2" s="1000"/>
      <c r="L2" s="1000"/>
    </row>
    <row r="3" spans="1:13" s="1001" customFormat="1" ht="33.950000000000003" customHeight="1">
      <c r="A3" s="1002" t="s">
        <v>2326</v>
      </c>
      <c r="B3" s="935"/>
      <c r="C3" s="1002"/>
      <c r="D3" s="1002"/>
      <c r="E3" s="1000"/>
      <c r="F3" s="1000"/>
      <c r="G3" s="1000"/>
      <c r="H3" s="1000"/>
      <c r="I3" s="1000"/>
      <c r="J3" s="1000"/>
      <c r="K3" s="1000"/>
      <c r="L3" s="1000"/>
    </row>
    <row r="4" spans="1:13" ht="13.9">
      <c r="A4" s="1003"/>
      <c r="B4" s="961"/>
      <c r="C4" s="1003"/>
      <c r="D4" s="1004"/>
      <c r="E4" s="1005"/>
      <c r="F4" s="1005"/>
      <c r="G4" s="1005"/>
      <c r="H4" s="1005"/>
      <c r="I4" s="1005"/>
      <c r="J4" s="1005"/>
      <c r="K4" s="1005"/>
      <c r="L4" s="1006"/>
    </row>
    <row r="5" spans="1:13" ht="13.9">
      <c r="A5" s="939"/>
      <c r="B5" s="961"/>
      <c r="C5" s="1003"/>
      <c r="D5" s="1003"/>
      <c r="E5" s="1009"/>
      <c r="F5" s="1009"/>
      <c r="G5" s="1010" t="s">
        <v>1420</v>
      </c>
      <c r="H5" s="1010" t="s">
        <v>1421</v>
      </c>
      <c r="I5" s="1010" t="s">
        <v>1422</v>
      </c>
      <c r="J5" s="1010" t="s">
        <v>1423</v>
      </c>
      <c r="K5" s="1010" t="s">
        <v>1424</v>
      </c>
      <c r="L5" s="1011"/>
    </row>
    <row r="6" spans="1:13" ht="13.9" thickBot="1">
      <c r="A6" s="1004"/>
      <c r="B6" s="962"/>
      <c r="C6" s="1004"/>
      <c r="D6" s="1004"/>
      <c r="E6" s="1009"/>
      <c r="F6" s="1009"/>
      <c r="G6" s="1012"/>
      <c r="H6" s="1012"/>
      <c r="I6" s="1012"/>
      <c r="J6" s="1012"/>
      <c r="K6" s="1006"/>
      <c r="L6" s="1013"/>
      <c r="M6" s="1004"/>
    </row>
    <row r="7" spans="1:13" ht="13.5">
      <c r="A7" s="1196"/>
      <c r="B7" s="1060"/>
      <c r="C7" s="1197"/>
      <c r="D7" s="1197"/>
      <c r="E7" s="1198"/>
      <c r="F7" s="1198"/>
      <c r="G7" s="1199"/>
      <c r="H7" s="1199"/>
      <c r="I7" s="1199"/>
      <c r="J7" s="1199"/>
      <c r="K7" s="1200"/>
      <c r="L7" s="1201"/>
      <c r="M7" s="1004"/>
    </row>
    <row r="8" spans="1:13" ht="13.5">
      <c r="A8" s="1202"/>
      <c r="B8" s="962"/>
      <c r="C8" s="1004"/>
      <c r="D8" s="1004"/>
      <c r="E8" s="1009"/>
      <c r="F8" s="1009"/>
      <c r="G8" s="1012"/>
      <c r="H8" s="1012"/>
      <c r="I8" s="1012"/>
      <c r="J8" s="1012"/>
      <c r="K8" s="1006"/>
      <c r="L8" s="1203"/>
      <c r="M8" s="1004"/>
    </row>
    <row r="9" spans="1:13" ht="13.5">
      <c r="A9" s="990" t="s">
        <v>1562</v>
      </c>
      <c r="H9" s="1001"/>
      <c r="I9" s="1001"/>
      <c r="J9" s="1001"/>
      <c r="K9" s="1001"/>
      <c r="L9" s="1052"/>
      <c r="M9" s="1004"/>
    </row>
    <row r="10" spans="1:13" ht="13.15">
      <c r="A10" s="1204"/>
      <c r="L10" s="1028"/>
    </row>
    <row r="11" spans="1:13" ht="15.4">
      <c r="A11" s="1205" t="s">
        <v>1557</v>
      </c>
      <c r="B11" s="950" t="s">
        <v>2004</v>
      </c>
      <c r="D11" s="1017" t="s">
        <v>1558</v>
      </c>
      <c r="E11" s="942" t="s">
        <v>1428</v>
      </c>
      <c r="G11" s="1206">
        <f>G31</f>
        <v>0</v>
      </c>
      <c r="H11" s="1206">
        <f t="shared" ref="H11:K11" si="0">H31</f>
        <v>0</v>
      </c>
      <c r="I11" s="1206">
        <f t="shared" si="0"/>
        <v>0</v>
      </c>
      <c r="J11" s="1206">
        <f t="shared" si="0"/>
        <v>0</v>
      </c>
      <c r="K11" s="1206">
        <f t="shared" si="0"/>
        <v>0</v>
      </c>
      <c r="L11" s="1028"/>
    </row>
    <row r="12" spans="1:13" ht="15.4">
      <c r="A12" s="1207" t="s">
        <v>1559</v>
      </c>
      <c r="B12" s="950" t="s">
        <v>2006</v>
      </c>
      <c r="D12" s="1017" t="s">
        <v>1558</v>
      </c>
      <c r="E12" s="942" t="s">
        <v>1428</v>
      </c>
      <c r="G12" s="1208">
        <f>G43*VLOOKUP(H$5,'1.5 Universal Data'!$C$28:$F$39,4,FALSE)</f>
        <v>0</v>
      </c>
      <c r="H12" s="1208">
        <f>H43*VLOOKUP(I$5,'1.5 Universal Data'!$C$28:$F$39,4,FALSE)</f>
        <v>0</v>
      </c>
      <c r="I12" s="1208">
        <f>I43*VLOOKUP(J$5,'1.5 Universal Data'!$C$28:$F$39,4,FALSE)</f>
        <v>0</v>
      </c>
      <c r="J12" s="1208">
        <f>J43*VLOOKUP(K$5,'1.5 Universal Data'!$C$28:$F$39,4,FALSE)</f>
        <v>0</v>
      </c>
      <c r="K12" s="1208" t="e">
        <f>K43*VLOOKUP(L$5,'1.5 Universal Data'!$C$28:$F$39,4,FALSE)</f>
        <v>#N/A</v>
      </c>
      <c r="L12" s="1028"/>
    </row>
    <row r="13" spans="1:13" ht="15.4">
      <c r="A13" s="1041" t="s">
        <v>1560</v>
      </c>
      <c r="B13" s="950" t="s">
        <v>2008</v>
      </c>
      <c r="D13" s="1017" t="s">
        <v>1558</v>
      </c>
      <c r="E13" s="942" t="s">
        <v>1428</v>
      </c>
      <c r="G13" s="1208">
        <f>G38*VLOOKUP(H$5,'1.5 Universal Data'!$C$28:$F$39,4,FALSE)</f>
        <v>0</v>
      </c>
      <c r="H13" s="1208">
        <f>H38*VLOOKUP(I$5,'1.5 Universal Data'!$C$28:$F$39,4,FALSE)</f>
        <v>0</v>
      </c>
      <c r="I13" s="1208">
        <f>I38*VLOOKUP(J$5,'1.5 Universal Data'!$C$28:$F$39,4,FALSE)</f>
        <v>0</v>
      </c>
      <c r="J13" s="1208">
        <f>J38*VLOOKUP(K$5,'1.5 Universal Data'!$C$28:$F$39,4,FALSE)</f>
        <v>0</v>
      </c>
      <c r="K13" s="1208" t="e">
        <f>K38*VLOOKUP(L$5,'1.5 Universal Data'!$C$28:$F$39,4,FALSE)</f>
        <v>#N/A</v>
      </c>
      <c r="L13" s="1028"/>
    </row>
    <row r="14" spans="1:13" ht="15.4">
      <c r="A14" s="1209" t="s">
        <v>1561</v>
      </c>
      <c r="B14" s="980" t="s">
        <v>2327</v>
      </c>
      <c r="C14" s="1014"/>
      <c r="D14" s="1035" t="s">
        <v>1558</v>
      </c>
      <c r="E14" s="975" t="s">
        <v>1428</v>
      </c>
      <c r="F14" s="1014"/>
      <c r="G14" s="446">
        <f>G11+G12+G13</f>
        <v>0</v>
      </c>
      <c r="H14" s="446">
        <f t="shared" ref="H14:K14" si="1">H11+H12+H13</f>
        <v>0</v>
      </c>
      <c r="I14" s="446">
        <f t="shared" si="1"/>
        <v>0</v>
      </c>
      <c r="J14" s="446">
        <f t="shared" si="1"/>
        <v>0</v>
      </c>
      <c r="K14" s="446" t="e">
        <f t="shared" si="1"/>
        <v>#N/A</v>
      </c>
      <c r="L14" s="1028"/>
    </row>
    <row r="15" spans="1:13" ht="13.5" customHeight="1">
      <c r="A15" s="1204"/>
      <c r="G15" s="1210"/>
      <c r="I15" s="1210"/>
      <c r="L15" s="1028"/>
    </row>
    <row r="16" spans="1:13" ht="13.5" customHeight="1">
      <c r="A16" s="1204"/>
      <c r="G16" s="1210"/>
      <c r="I16" s="1210"/>
      <c r="L16" s="1028"/>
    </row>
    <row r="17" spans="1:12" ht="13.5" customHeight="1">
      <c r="A17" s="1204"/>
      <c r="G17" s="1210"/>
      <c r="I17" s="1210"/>
      <c r="L17" s="1028"/>
    </row>
    <row r="18" spans="1:12" ht="13.5" customHeight="1">
      <c r="A18" s="1204"/>
      <c r="G18" s="1210"/>
      <c r="I18" s="1210"/>
      <c r="L18" s="1028"/>
    </row>
    <row r="19" spans="1:12" ht="14.65">
      <c r="A19" s="1209" t="s">
        <v>2328</v>
      </c>
      <c r="B19" s="962"/>
      <c r="C19" s="1004"/>
      <c r="E19" s="1004"/>
      <c r="G19" s="1004"/>
      <c r="L19" s="1028"/>
    </row>
    <row r="20" spans="1:12" ht="13.15">
      <c r="A20" s="1204"/>
      <c r="B20" s="962"/>
      <c r="C20" s="1004"/>
      <c r="E20" s="1004"/>
      <c r="G20" s="1004"/>
      <c r="L20" s="1028"/>
    </row>
    <row r="21" spans="1:12" ht="13.15">
      <c r="A21" s="1204"/>
      <c r="B21" s="962"/>
      <c r="C21" s="1004"/>
      <c r="E21" s="1004"/>
      <c r="G21" s="1004"/>
      <c r="J21" s="1195"/>
      <c r="K21" s="1195"/>
      <c r="L21" s="1028"/>
    </row>
    <row r="22" spans="1:12" ht="13.15">
      <c r="A22" s="1204"/>
      <c r="B22" s="1211"/>
      <c r="E22" s="1004"/>
      <c r="G22" s="1004"/>
      <c r="L22" s="1028"/>
    </row>
    <row r="23" spans="1:12" ht="13.15">
      <c r="A23" s="1204"/>
      <c r="B23" s="962"/>
      <c r="C23" s="1004"/>
      <c r="E23" s="1004"/>
      <c r="G23" s="1004"/>
      <c r="L23" s="1028"/>
    </row>
    <row r="24" spans="1:12">
      <c r="A24" s="1205" t="s">
        <v>1563</v>
      </c>
      <c r="B24" s="962" t="s">
        <v>1564</v>
      </c>
      <c r="D24" s="1017" t="s">
        <v>1558</v>
      </c>
      <c r="E24" s="1212" t="s">
        <v>1403</v>
      </c>
      <c r="G24" s="723">
        <v>0.39</v>
      </c>
      <c r="H24" s="723">
        <v>0.39</v>
      </c>
      <c r="I24" s="723">
        <v>0.39</v>
      </c>
      <c r="J24" s="723">
        <v>0.39</v>
      </c>
      <c r="K24" s="723">
        <v>0.39</v>
      </c>
      <c r="L24" s="1028"/>
    </row>
    <row r="25" spans="1:12">
      <c r="A25" s="1205" t="s">
        <v>1565</v>
      </c>
      <c r="B25" s="962" t="s">
        <v>1566</v>
      </c>
      <c r="D25" s="1017" t="s">
        <v>1558</v>
      </c>
      <c r="E25" s="942" t="s">
        <v>1428</v>
      </c>
      <c r="G25" s="1206" t="e">
        <f>G87</f>
        <v>#REF!</v>
      </c>
      <c r="H25" s="1206" t="e">
        <f t="shared" ref="H25:K25" si="2">H87</f>
        <v>#REF!</v>
      </c>
      <c r="I25" s="1206" t="e">
        <f t="shared" si="2"/>
        <v>#REF!</v>
      </c>
      <c r="J25" s="1206" t="e">
        <f t="shared" si="2"/>
        <v>#REF!</v>
      </c>
      <c r="K25" s="1206" t="e">
        <f t="shared" si="2"/>
        <v>#REF!</v>
      </c>
      <c r="L25" s="1028"/>
    </row>
    <row r="26" spans="1:12">
      <c r="A26" s="1205" t="s">
        <v>1567</v>
      </c>
      <c r="B26" s="962" t="s">
        <v>1568</v>
      </c>
      <c r="D26" s="1017" t="s">
        <v>1558</v>
      </c>
      <c r="E26" s="942" t="s">
        <v>1428</v>
      </c>
      <c r="G26" s="1208">
        <f>G50*VLOOKUP(H$5,'1.5 Universal Data'!$C$28:$F$39,4,FALSE)</f>
        <v>0</v>
      </c>
      <c r="H26" s="1208">
        <f>H50*VLOOKUP(I$5,'1.5 Universal Data'!$C$28:$F$39,4,FALSE)</f>
        <v>0</v>
      </c>
      <c r="I26" s="1208">
        <f>I50*VLOOKUP(J$5,'1.5 Universal Data'!$C$28:$F$39,4,FALSE)</f>
        <v>0</v>
      </c>
      <c r="J26" s="1208">
        <f>J50*VLOOKUP(K$5,'1.5 Universal Data'!$C$28:$F$39,4,FALSE)</f>
        <v>0</v>
      </c>
      <c r="K26" s="1208" t="e">
        <f>K50*VLOOKUP(L$5,'1.5 Universal Data'!$C$28:$F$39,4,FALSE)</f>
        <v>#N/A</v>
      </c>
      <c r="L26" s="1028"/>
    </row>
    <row r="27" spans="1:12">
      <c r="A27" s="1205" t="s">
        <v>1569</v>
      </c>
      <c r="B27" s="962" t="s">
        <v>1570</v>
      </c>
      <c r="D27" s="1017" t="s">
        <v>1558</v>
      </c>
      <c r="E27" s="942" t="s">
        <v>1428</v>
      </c>
      <c r="G27" s="1208">
        <f>G80*VLOOKUP(H$5,'1.5 Universal Data'!$C$28:$F$39,4,FALSE)</f>
        <v>0</v>
      </c>
      <c r="H27" s="1208">
        <f>H80*VLOOKUP(I$5,'1.5 Universal Data'!$C$28:$F$39,4,FALSE)</f>
        <v>0</v>
      </c>
      <c r="I27" s="1208">
        <f>I80*VLOOKUP(J$5,'1.5 Universal Data'!$C$28:$F$39,4,FALSE)</f>
        <v>0</v>
      </c>
      <c r="J27" s="1208">
        <f>J80*VLOOKUP(K$5,'1.5 Universal Data'!$C$28:$F$39,4,FALSE)</f>
        <v>0</v>
      </c>
      <c r="K27" s="1208" t="e">
        <f>K80*VLOOKUP(L$5,'1.5 Universal Data'!$C$28:$F$39,4,FALSE)</f>
        <v>#N/A</v>
      </c>
      <c r="L27" s="1028"/>
    </row>
    <row r="28" spans="1:12">
      <c r="A28" s="1213" t="s">
        <v>1571</v>
      </c>
      <c r="D28" s="1017" t="s">
        <v>1558</v>
      </c>
      <c r="E28" s="942" t="s">
        <v>1428</v>
      </c>
      <c r="G28" s="724">
        <f>IFERROR(G24*(G25-G26)-G27,0)</f>
        <v>0</v>
      </c>
      <c r="H28" s="724">
        <f>IFERROR(H24*(H25-H26)-H27,0)</f>
        <v>0</v>
      </c>
      <c r="I28" s="724">
        <f>IFERROR(I24*(I25-I26)-I27,0)</f>
        <v>0</v>
      </c>
      <c r="J28" s="724">
        <f>IFERROR(J24*(J25-J26)-J27,0)</f>
        <v>0</v>
      </c>
      <c r="K28" s="724">
        <f>IFERROR(K24*(K25-K26)-K27,0)</f>
        <v>0</v>
      </c>
      <c r="L28" s="1214"/>
    </row>
    <row r="29" spans="1:12" ht="15.4">
      <c r="A29" s="1205" t="s">
        <v>1572</v>
      </c>
      <c r="B29" s="962" t="s">
        <v>2329</v>
      </c>
      <c r="D29" s="1017" t="s">
        <v>1558</v>
      </c>
      <c r="E29" s="952" t="s">
        <v>1428</v>
      </c>
      <c r="G29" s="1215">
        <v>-5.2</v>
      </c>
      <c r="H29" s="1215">
        <v>-5.2</v>
      </c>
      <c r="I29" s="1215">
        <v>-5.2</v>
      </c>
      <c r="J29" s="1215">
        <v>-5.2</v>
      </c>
      <c r="K29" s="1215">
        <v>-5.2</v>
      </c>
      <c r="L29" s="1028"/>
    </row>
    <row r="30" spans="1:12" ht="15.4">
      <c r="A30" s="1205" t="s">
        <v>1573</v>
      </c>
      <c r="B30" s="962" t="s">
        <v>2330</v>
      </c>
      <c r="D30" s="1017" t="s">
        <v>1558</v>
      </c>
      <c r="E30" s="952" t="s">
        <v>1428</v>
      </c>
      <c r="G30" s="1215">
        <v>5.2</v>
      </c>
      <c r="H30" s="1215">
        <v>5.2</v>
      </c>
      <c r="I30" s="1215">
        <v>5.2</v>
      </c>
      <c r="J30" s="1215">
        <v>5.2</v>
      </c>
      <c r="K30" s="1215">
        <v>5.2</v>
      </c>
      <c r="L30" s="1028"/>
    </row>
    <row r="31" spans="1:12" ht="15.4">
      <c r="A31" s="1205" t="s">
        <v>1557</v>
      </c>
      <c r="B31" s="962" t="s">
        <v>2331</v>
      </c>
      <c r="D31" s="1017" t="s">
        <v>1558</v>
      </c>
      <c r="E31" s="1212" t="s">
        <v>2</v>
      </c>
      <c r="G31" s="725">
        <f>IFERROR(IF(G28&lt;=G29,G29,IF(G28&gt;G30,G30,G28)),0)</f>
        <v>0</v>
      </c>
      <c r="H31" s="725">
        <f>IFERROR(IF(H28&lt;=H29,H29,IF(H28&gt;H30,H30,H28)),0)</f>
        <v>0</v>
      </c>
      <c r="I31" s="725">
        <f>IFERROR(IF(I28&lt;=I29,I29,IF(I28&gt;I30,I30,I28)),0)</f>
        <v>0</v>
      </c>
      <c r="J31" s="725">
        <f>IFERROR(IF(J28&lt;=J29,J29,IF(J28&gt;J30,J30,J28)),0)</f>
        <v>0</v>
      </c>
      <c r="K31" s="725">
        <f>IFERROR(IF(K28&lt;=K29,K29,IF(K28&gt;K30,K30,K28)),0)</f>
        <v>0</v>
      </c>
      <c r="L31" s="1214"/>
    </row>
    <row r="32" spans="1:12" ht="13.15">
      <c r="A32" s="1205"/>
      <c r="B32" s="962"/>
      <c r="E32" s="1212"/>
      <c r="G32" s="447"/>
      <c r="H32" s="447"/>
      <c r="I32" s="447"/>
      <c r="J32" s="447"/>
      <c r="K32" s="447"/>
      <c r="L32" s="1028"/>
    </row>
    <row r="33" spans="1:13" ht="13.15">
      <c r="A33" s="1205"/>
      <c r="B33" s="962"/>
      <c r="E33" s="1212"/>
      <c r="G33" s="447"/>
      <c r="H33" s="447"/>
      <c r="I33" s="447"/>
      <c r="J33" s="447"/>
      <c r="K33" s="447"/>
      <c r="L33" s="1028"/>
    </row>
    <row r="34" spans="1:13" ht="13.15">
      <c r="A34" s="1205"/>
      <c r="B34" s="962"/>
      <c r="E34" s="1212"/>
      <c r="G34" s="447"/>
      <c r="H34" s="447"/>
      <c r="I34" s="447"/>
      <c r="J34" s="447"/>
      <c r="K34" s="447"/>
      <c r="L34" s="1028"/>
    </row>
    <row r="35" spans="1:13" ht="14.65">
      <c r="A35" s="1209" t="s">
        <v>2332</v>
      </c>
      <c r="L35" s="1028"/>
    </row>
    <row r="36" spans="1:13" ht="13.15">
      <c r="A36" s="1209"/>
      <c r="G36" s="1210"/>
      <c r="J36" s="1195"/>
      <c r="K36" s="1195"/>
      <c r="L36" s="1028"/>
    </row>
    <row r="37" spans="1:13" ht="15.4">
      <c r="A37" s="1207" t="s">
        <v>1574</v>
      </c>
      <c r="B37" s="950" t="s">
        <v>2333</v>
      </c>
      <c r="D37" s="1017" t="s">
        <v>1558</v>
      </c>
      <c r="E37" s="1212" t="s">
        <v>2</v>
      </c>
      <c r="G37" s="1216">
        <f>G73</f>
        <v>0</v>
      </c>
      <c r="H37" s="1216">
        <f t="shared" ref="H37:K37" si="3">H73</f>
        <v>0</v>
      </c>
      <c r="I37" s="1216">
        <f t="shared" si="3"/>
        <v>0</v>
      </c>
      <c r="J37" s="1216">
        <f t="shared" si="3"/>
        <v>0</v>
      </c>
      <c r="K37" s="1216">
        <f t="shared" si="3"/>
        <v>0</v>
      </c>
      <c r="L37" s="1028"/>
    </row>
    <row r="38" spans="1:13" ht="15.4">
      <c r="A38" s="1041" t="s">
        <v>1560</v>
      </c>
      <c r="B38" s="950" t="s">
        <v>2008</v>
      </c>
      <c r="D38" s="1017" t="s">
        <v>1558</v>
      </c>
      <c r="E38" s="1212" t="s">
        <v>2</v>
      </c>
      <c r="G38" s="1216">
        <f>'2.1 Revenue_Interface'!AB185</f>
        <v>0</v>
      </c>
      <c r="H38" s="1216">
        <f>'2.1 Revenue_Interface'!AC185</f>
        <v>0</v>
      </c>
      <c r="I38" s="1216">
        <f>'2.1 Revenue_Interface'!AD185</f>
        <v>0</v>
      </c>
      <c r="J38" s="1216">
        <f>'2.1 Revenue_Interface'!AE185</f>
        <v>0</v>
      </c>
      <c r="K38" s="1216">
        <f>'2.1 Revenue_Interface'!AF185</f>
        <v>0</v>
      </c>
      <c r="L38" s="1019" t="s">
        <v>3159</v>
      </c>
      <c r="M38" s="1014"/>
    </row>
    <row r="39" spans="1:13" ht="15.4">
      <c r="A39" s="1207" t="s">
        <v>1575</v>
      </c>
      <c r="B39" s="950" t="s">
        <v>2334</v>
      </c>
      <c r="D39" s="1017" t="s">
        <v>1558</v>
      </c>
      <c r="E39" s="1212" t="s">
        <v>2</v>
      </c>
      <c r="G39" s="1216">
        <f>'2.1 Revenue_Interface'!AB186</f>
        <v>0</v>
      </c>
      <c r="H39" s="1216">
        <f>'2.1 Revenue_Interface'!AC186</f>
        <v>0</v>
      </c>
      <c r="I39" s="1216">
        <f>'2.1 Revenue_Interface'!AD186</f>
        <v>0</v>
      </c>
      <c r="J39" s="1216">
        <f>'2.1 Revenue_Interface'!AE186</f>
        <v>0</v>
      </c>
      <c r="K39" s="1216">
        <f>'2.1 Revenue_Interface'!AF186</f>
        <v>0</v>
      </c>
      <c r="L39" s="1019" t="s">
        <v>3159</v>
      </c>
    </row>
    <row r="40" spans="1:13" ht="15.4">
      <c r="A40" s="1207" t="s">
        <v>1576</v>
      </c>
      <c r="B40" s="950" t="s">
        <v>2335</v>
      </c>
      <c r="D40" s="1017" t="s">
        <v>1558</v>
      </c>
      <c r="E40" s="1212" t="s">
        <v>2</v>
      </c>
      <c r="G40" s="1216">
        <f>'2.1 Revenue_Interface'!AB187</f>
        <v>0</v>
      </c>
      <c r="H40" s="1216">
        <f>'2.1 Revenue_Interface'!AC187</f>
        <v>0</v>
      </c>
      <c r="I40" s="1216">
        <f>'2.1 Revenue_Interface'!AD187</f>
        <v>0</v>
      </c>
      <c r="J40" s="1216">
        <f>'2.1 Revenue_Interface'!AE187</f>
        <v>0</v>
      </c>
      <c r="K40" s="1216">
        <f>'2.1 Revenue_Interface'!AF187</f>
        <v>0</v>
      </c>
      <c r="L40" s="1019" t="s">
        <v>3159</v>
      </c>
    </row>
    <row r="41" spans="1:13" ht="15.4">
      <c r="A41" s="1207" t="s">
        <v>1577</v>
      </c>
      <c r="B41" s="950" t="s">
        <v>2336</v>
      </c>
      <c r="D41" s="1017" t="s">
        <v>1558</v>
      </c>
      <c r="E41" s="1212" t="s">
        <v>2</v>
      </c>
      <c r="G41" s="1216">
        <f>IFERROR(G58,0)</f>
        <v>0</v>
      </c>
      <c r="H41" s="1216">
        <f>IFERROR(H58,0)</f>
        <v>0</v>
      </c>
      <c r="I41" s="1216">
        <f>IFERROR(I58,0)</f>
        <v>0</v>
      </c>
      <c r="J41" s="1216">
        <f>IFERROR(J58,0)</f>
        <v>0</v>
      </c>
      <c r="K41" s="1216">
        <f>IFERROR(K58,0)</f>
        <v>0</v>
      </c>
      <c r="L41" s="1019"/>
    </row>
    <row r="42" spans="1:13" ht="15.4">
      <c r="A42" s="1207" t="s">
        <v>1578</v>
      </c>
      <c r="B42" s="950" t="s">
        <v>2337</v>
      </c>
      <c r="D42" s="1017" t="s">
        <v>1558</v>
      </c>
      <c r="E42" s="1212" t="s">
        <v>2</v>
      </c>
      <c r="G42" s="1216">
        <f>'2.1 Revenue_Interface'!AB188</f>
        <v>0</v>
      </c>
      <c r="H42" s="1216">
        <f>'2.1 Revenue_Interface'!AC188</f>
        <v>0</v>
      </c>
      <c r="I42" s="1216">
        <f>'2.1 Revenue_Interface'!AD188</f>
        <v>0</v>
      </c>
      <c r="J42" s="1216">
        <f>'2.1 Revenue_Interface'!AE188</f>
        <v>0</v>
      </c>
      <c r="K42" s="1216">
        <f>'2.1 Revenue_Interface'!AF188</f>
        <v>0</v>
      </c>
      <c r="L42" s="1019" t="s">
        <v>3159</v>
      </c>
    </row>
    <row r="43" spans="1:13" ht="15.4">
      <c r="A43" s="1207" t="s">
        <v>1559</v>
      </c>
      <c r="B43" s="950" t="s">
        <v>2006</v>
      </c>
      <c r="D43" s="1017" t="s">
        <v>1558</v>
      </c>
      <c r="E43" s="1212" t="s">
        <v>2</v>
      </c>
      <c r="G43" s="1216">
        <f>'2.1 Revenue_Interface'!AB189</f>
        <v>0</v>
      </c>
      <c r="H43" s="1216">
        <f>'2.1 Revenue_Interface'!AC189</f>
        <v>0</v>
      </c>
      <c r="I43" s="1216">
        <f>'2.1 Revenue_Interface'!AD189</f>
        <v>0</v>
      </c>
      <c r="J43" s="1216">
        <f>'2.1 Revenue_Interface'!AE189</f>
        <v>0</v>
      </c>
      <c r="K43" s="1216">
        <f>'2.1 Revenue_Interface'!AF189</f>
        <v>0</v>
      </c>
      <c r="L43" s="1019" t="s">
        <v>3159</v>
      </c>
    </row>
    <row r="44" spans="1:13" ht="15.4">
      <c r="A44" s="1207" t="s">
        <v>1579</v>
      </c>
      <c r="B44" s="950" t="s">
        <v>2338</v>
      </c>
      <c r="D44" s="1017" t="s">
        <v>1558</v>
      </c>
      <c r="E44" s="1212" t="s">
        <v>2</v>
      </c>
      <c r="G44" s="1216">
        <f>'2.1 Revenue_Interface'!AB190</f>
        <v>0</v>
      </c>
      <c r="H44" s="1216">
        <f>'2.1 Revenue_Interface'!AC190</f>
        <v>0</v>
      </c>
      <c r="I44" s="1216">
        <f>'2.1 Revenue_Interface'!AD190</f>
        <v>0</v>
      </c>
      <c r="J44" s="1216">
        <f>'2.1 Revenue_Interface'!AE190</f>
        <v>0</v>
      </c>
      <c r="K44" s="1216">
        <f>'2.1 Revenue_Interface'!AF190</f>
        <v>0</v>
      </c>
      <c r="L44" s="1019" t="s">
        <v>3159</v>
      </c>
    </row>
    <row r="45" spans="1:13" ht="15.4">
      <c r="A45" s="1207" t="s">
        <v>1580</v>
      </c>
      <c r="B45" s="950" t="s">
        <v>2339</v>
      </c>
      <c r="D45" s="1017" t="s">
        <v>1558</v>
      </c>
      <c r="E45" s="1212" t="s">
        <v>2</v>
      </c>
      <c r="G45" s="1216">
        <f>'2.1 Revenue_Interface'!AB191</f>
        <v>0</v>
      </c>
      <c r="H45" s="1216">
        <f>'2.1 Revenue_Interface'!AC191</f>
        <v>0</v>
      </c>
      <c r="I45" s="1216">
        <f>'2.1 Revenue_Interface'!AD191</f>
        <v>0</v>
      </c>
      <c r="J45" s="1216">
        <f>'2.1 Revenue_Interface'!AE191</f>
        <v>0</v>
      </c>
      <c r="K45" s="1216">
        <f>'2.1 Revenue_Interface'!AF191</f>
        <v>0</v>
      </c>
      <c r="L45" s="1019" t="s">
        <v>3159</v>
      </c>
    </row>
    <row r="46" spans="1:13" ht="15.4">
      <c r="A46" s="1207" t="s">
        <v>1581</v>
      </c>
      <c r="B46" s="950" t="s">
        <v>2340</v>
      </c>
      <c r="D46" s="1017" t="s">
        <v>1558</v>
      </c>
      <c r="E46" s="1212" t="s">
        <v>2</v>
      </c>
      <c r="G46" s="1216">
        <f>IFERROR(G66,0)</f>
        <v>0</v>
      </c>
      <c r="H46" s="1216">
        <f>IFERROR(H66,0)</f>
        <v>0</v>
      </c>
      <c r="I46" s="1216">
        <f>IFERROR(I66,0)</f>
        <v>0</v>
      </c>
      <c r="J46" s="1216">
        <f>IFERROR(J66,0)</f>
        <v>0</v>
      </c>
      <c r="K46" s="1216">
        <f>IFERROR(K66,0)</f>
        <v>0</v>
      </c>
      <c r="L46" s="1019"/>
    </row>
    <row r="47" spans="1:13">
      <c r="A47" s="1207" t="s">
        <v>1582</v>
      </c>
      <c r="B47" s="950" t="s">
        <v>2341</v>
      </c>
      <c r="D47" s="1017" t="s">
        <v>1558</v>
      </c>
      <c r="E47" s="1212" t="s">
        <v>2</v>
      </c>
      <c r="G47" s="1216">
        <f>'2.1 Revenue_Interface'!AB192</f>
        <v>0</v>
      </c>
      <c r="H47" s="1216">
        <f>'2.1 Revenue_Interface'!AC192</f>
        <v>0</v>
      </c>
      <c r="I47" s="1216">
        <f>'2.1 Revenue_Interface'!AD192</f>
        <v>0</v>
      </c>
      <c r="J47" s="1216">
        <f>'2.1 Revenue_Interface'!AE192</f>
        <v>0</v>
      </c>
      <c r="K47" s="1216">
        <f>'2.1 Revenue_Interface'!AF192</f>
        <v>0</v>
      </c>
      <c r="L47" s="1019" t="s">
        <v>3159</v>
      </c>
    </row>
    <row r="48" spans="1:13" ht="15.4">
      <c r="A48" s="1207" t="s">
        <v>1583</v>
      </c>
      <c r="B48" s="950" t="s">
        <v>2342</v>
      </c>
      <c r="D48" s="1017" t="s">
        <v>1558</v>
      </c>
      <c r="E48" s="1212" t="s">
        <v>2</v>
      </c>
      <c r="G48" s="1216">
        <f>'2.1 Revenue_Interface'!AB193</f>
        <v>0</v>
      </c>
      <c r="H48" s="1216">
        <f>'2.1 Revenue_Interface'!AC193</f>
        <v>0</v>
      </c>
      <c r="I48" s="1216">
        <f>'2.1 Revenue_Interface'!AD193</f>
        <v>0</v>
      </c>
      <c r="J48" s="1216">
        <f>'2.1 Revenue_Interface'!AE193</f>
        <v>0</v>
      </c>
      <c r="K48" s="1216">
        <f>'2.1 Revenue_Interface'!AF193</f>
        <v>0</v>
      </c>
      <c r="L48" s="1019" t="s">
        <v>3159</v>
      </c>
    </row>
    <row r="49" spans="1:12" ht="15.4">
      <c r="A49" s="1207" t="s">
        <v>1584</v>
      </c>
      <c r="B49" s="950" t="s">
        <v>2343</v>
      </c>
      <c r="D49" s="1017" t="s">
        <v>1558</v>
      </c>
      <c r="E49" s="1212" t="s">
        <v>2</v>
      </c>
      <c r="G49" s="1216">
        <f>'2.1 Revenue_Interface'!AB194</f>
        <v>0</v>
      </c>
      <c r="H49" s="1216">
        <f>'2.1 Revenue_Interface'!AC194</f>
        <v>0</v>
      </c>
      <c r="I49" s="1216">
        <f>'2.1 Revenue_Interface'!AD194</f>
        <v>0</v>
      </c>
      <c r="J49" s="1216">
        <f>'2.1 Revenue_Interface'!AE194</f>
        <v>0</v>
      </c>
      <c r="K49" s="1216">
        <f>'2.1 Revenue_Interface'!AF194</f>
        <v>0</v>
      </c>
      <c r="L49" s="1019" t="s">
        <v>3159</v>
      </c>
    </row>
    <row r="50" spans="1:12" ht="15.4">
      <c r="A50" s="1205" t="s">
        <v>1567</v>
      </c>
      <c r="B50" s="962" t="s">
        <v>2344</v>
      </c>
      <c r="D50" s="1017" t="s">
        <v>1558</v>
      </c>
      <c r="E50" s="1212" t="s">
        <v>2</v>
      </c>
      <c r="G50" s="448">
        <f>(G37-G38-G39-G40+G41-(G42-G43)-G44-G45+G46-G47-G48-G49)</f>
        <v>0</v>
      </c>
      <c r="H50" s="448">
        <f t="shared" ref="H50:K50" si="4">(H37-H38-H39-H40+H41-(H42-H43)-H44-H45+H46-H47-H48-H49)</f>
        <v>0</v>
      </c>
      <c r="I50" s="448">
        <f t="shared" si="4"/>
        <v>0</v>
      </c>
      <c r="J50" s="448">
        <f t="shared" si="4"/>
        <v>0</v>
      </c>
      <c r="K50" s="448">
        <f t="shared" si="4"/>
        <v>0</v>
      </c>
      <c r="L50" s="1028"/>
    </row>
    <row r="51" spans="1:12" ht="13.15">
      <c r="A51" s="1205"/>
      <c r="B51" s="962"/>
      <c r="E51" s="1212"/>
      <c r="G51" s="449"/>
      <c r="H51" s="449"/>
      <c r="I51" s="449"/>
      <c r="J51" s="449"/>
      <c r="K51" s="449"/>
      <c r="L51" s="1028"/>
    </row>
    <row r="52" spans="1:12" ht="13.15">
      <c r="A52" s="1205"/>
      <c r="B52" s="962"/>
      <c r="E52" s="1212"/>
      <c r="G52" s="449"/>
      <c r="H52" s="449"/>
      <c r="I52" s="449"/>
      <c r="J52" s="449"/>
      <c r="K52" s="449"/>
      <c r="L52" s="1028"/>
    </row>
    <row r="53" spans="1:12" ht="14.65">
      <c r="A53" s="1209" t="s">
        <v>2345</v>
      </c>
      <c r="B53" s="962"/>
      <c r="C53" s="1004"/>
      <c r="E53" s="1004"/>
      <c r="J53" s="1210"/>
      <c r="L53" s="1028"/>
    </row>
    <row r="54" spans="1:12" ht="13.15">
      <c r="A54" s="1209"/>
      <c r="B54" s="962"/>
      <c r="C54" s="1004"/>
      <c r="E54" s="1004"/>
      <c r="L54" s="1028"/>
    </row>
    <row r="55" spans="1:12" ht="15.4">
      <c r="A55" s="1205" t="s">
        <v>1585</v>
      </c>
      <c r="B55" s="962" t="s">
        <v>2346</v>
      </c>
      <c r="C55" s="1004"/>
      <c r="D55" s="1017" t="s">
        <v>1558</v>
      </c>
      <c r="E55" s="1212" t="s">
        <v>2</v>
      </c>
      <c r="G55" s="1206">
        <f>G40</f>
        <v>0</v>
      </c>
      <c r="H55" s="1206">
        <f t="shared" ref="H55:K55" si="5">H40</f>
        <v>0</v>
      </c>
      <c r="I55" s="1206">
        <f t="shared" si="5"/>
        <v>0</v>
      </c>
      <c r="J55" s="1206">
        <f t="shared" si="5"/>
        <v>0</v>
      </c>
      <c r="K55" s="1206">
        <f t="shared" si="5"/>
        <v>0</v>
      </c>
      <c r="L55" s="1028"/>
    </row>
    <row r="56" spans="1:12" ht="15.4">
      <c r="A56" s="1205" t="s">
        <v>1586</v>
      </c>
      <c r="B56" s="962" t="s">
        <v>2347</v>
      </c>
      <c r="C56" s="1004"/>
      <c r="D56" s="1017" t="s">
        <v>1558</v>
      </c>
      <c r="E56" s="1212" t="s">
        <v>1587</v>
      </c>
      <c r="G56" s="1206">
        <f>'2.1 Revenue_Interface'!AB196</f>
        <v>0</v>
      </c>
      <c r="H56" s="1206">
        <f>'2.1 Revenue_Interface'!AC196</f>
        <v>0</v>
      </c>
      <c r="I56" s="1206">
        <f>'2.1 Revenue_Interface'!AD196</f>
        <v>0</v>
      </c>
      <c r="J56" s="1206">
        <f>'2.1 Revenue_Interface'!AE196</f>
        <v>0</v>
      </c>
      <c r="K56" s="1206">
        <f>'2.1 Revenue_Interface'!AF196</f>
        <v>0</v>
      </c>
      <c r="L56" s="1019" t="s">
        <v>2348</v>
      </c>
    </row>
    <row r="57" spans="1:12" ht="15.4">
      <c r="A57" s="1205" t="s">
        <v>1588</v>
      </c>
      <c r="B57" s="962" t="s">
        <v>2349</v>
      </c>
      <c r="C57" s="1004"/>
      <c r="D57" s="1017" t="s">
        <v>1558</v>
      </c>
      <c r="E57" s="1212" t="s">
        <v>1587</v>
      </c>
      <c r="G57" s="1206">
        <f>'2.1 Revenue_Interface'!AB197</f>
        <v>0</v>
      </c>
      <c r="H57" s="1206">
        <f>'2.1 Revenue_Interface'!AC197</f>
        <v>0</v>
      </c>
      <c r="I57" s="1206">
        <f>'2.1 Revenue_Interface'!AD197</f>
        <v>0</v>
      </c>
      <c r="J57" s="1206">
        <f>'2.1 Revenue_Interface'!AE197</f>
        <v>0</v>
      </c>
      <c r="K57" s="1206">
        <f>'2.1 Revenue_Interface'!AF197</f>
        <v>0</v>
      </c>
      <c r="L57" s="1019" t="s">
        <v>2348</v>
      </c>
    </row>
    <row r="58" spans="1:12" ht="15.4">
      <c r="A58" s="1205" t="s">
        <v>1589</v>
      </c>
      <c r="B58" s="962" t="s">
        <v>2350</v>
      </c>
      <c r="C58" s="1004"/>
      <c r="D58" s="1017" t="s">
        <v>1558</v>
      </c>
      <c r="E58" s="1212" t="s">
        <v>2</v>
      </c>
      <c r="G58" s="446">
        <f>IFERROR(G55*(1-(G56/G57)),0)</f>
        <v>0</v>
      </c>
      <c r="H58" s="446">
        <f t="shared" ref="H58:K58" si="6">IFERROR(H55*(1-(H56/H57)),0)</f>
        <v>0</v>
      </c>
      <c r="I58" s="446">
        <f t="shared" si="6"/>
        <v>0</v>
      </c>
      <c r="J58" s="446">
        <f t="shared" si="6"/>
        <v>0</v>
      </c>
      <c r="K58" s="446">
        <f t="shared" si="6"/>
        <v>0</v>
      </c>
      <c r="L58" s="1028"/>
    </row>
    <row r="59" spans="1:12" ht="13.15">
      <c r="A59" s="1205"/>
      <c r="B59" s="962"/>
      <c r="E59" s="1212"/>
      <c r="G59" s="449"/>
      <c r="H59" s="449"/>
      <c r="I59" s="449"/>
      <c r="J59" s="449"/>
      <c r="K59" s="449"/>
      <c r="L59" s="1028"/>
    </row>
    <row r="60" spans="1:12">
      <c r="A60" s="1041"/>
      <c r="L60" s="1028"/>
    </row>
    <row r="61" spans="1:12" ht="14.65">
      <c r="A61" s="1209" t="s">
        <v>2351</v>
      </c>
      <c r="B61" s="962"/>
      <c r="C61" s="1004"/>
      <c r="E61" s="1004"/>
      <c r="J61" s="1210"/>
      <c r="L61" s="1028"/>
    </row>
    <row r="62" spans="1:12" ht="13.15">
      <c r="A62" s="1209"/>
      <c r="B62" s="962"/>
      <c r="C62" s="1004"/>
      <c r="E62" s="1004"/>
      <c r="L62" s="1028"/>
    </row>
    <row r="63" spans="1:12" ht="15.4">
      <c r="A63" s="1207" t="s">
        <v>1580</v>
      </c>
      <c r="B63" s="962" t="s">
        <v>2352</v>
      </c>
      <c r="C63" s="1004"/>
      <c r="D63" s="1017" t="s">
        <v>1558</v>
      </c>
      <c r="E63" s="1212" t="s">
        <v>2</v>
      </c>
      <c r="G63" s="1206">
        <f>G45</f>
        <v>0</v>
      </c>
      <c r="H63" s="1206">
        <f t="shared" ref="H63:K63" si="7">H45</f>
        <v>0</v>
      </c>
      <c r="I63" s="1206">
        <f t="shared" si="7"/>
        <v>0</v>
      </c>
      <c r="J63" s="1206">
        <f t="shared" si="7"/>
        <v>0</v>
      </c>
      <c r="K63" s="1206">
        <f t="shared" si="7"/>
        <v>0</v>
      </c>
      <c r="L63" s="1028"/>
    </row>
    <row r="64" spans="1:12" ht="15.4">
      <c r="A64" s="1205" t="s">
        <v>1590</v>
      </c>
      <c r="B64" s="962" t="s">
        <v>2353</v>
      </c>
      <c r="C64" s="1004"/>
      <c r="D64" s="1017" t="s">
        <v>1558</v>
      </c>
      <c r="E64" s="1212" t="s">
        <v>1587</v>
      </c>
      <c r="G64" s="1206">
        <f>'2.1 Revenue_Interface'!AB199</f>
        <v>0</v>
      </c>
      <c r="H64" s="1206">
        <f>'2.1 Revenue_Interface'!AC199</f>
        <v>0</v>
      </c>
      <c r="I64" s="1206">
        <f>'2.1 Revenue_Interface'!AD199</f>
        <v>0</v>
      </c>
      <c r="J64" s="1206">
        <f>'2.1 Revenue_Interface'!AE199</f>
        <v>0</v>
      </c>
      <c r="K64" s="1206">
        <f>'2.1 Revenue_Interface'!AF199</f>
        <v>0</v>
      </c>
      <c r="L64" s="1019" t="s">
        <v>2348</v>
      </c>
    </row>
    <row r="65" spans="1:12" ht="15.4">
      <c r="A65" s="1205" t="s">
        <v>1591</v>
      </c>
      <c r="B65" s="962" t="s">
        <v>2354</v>
      </c>
      <c r="C65" s="1004"/>
      <c r="D65" s="1017" t="s">
        <v>1558</v>
      </c>
      <c r="E65" s="1212" t="s">
        <v>1587</v>
      </c>
      <c r="G65" s="1206">
        <f>'2.1 Revenue_Interface'!AB200</f>
        <v>0</v>
      </c>
      <c r="H65" s="1206">
        <f>'2.1 Revenue_Interface'!AC200</f>
        <v>0</v>
      </c>
      <c r="I65" s="1206">
        <f>'2.1 Revenue_Interface'!AD200</f>
        <v>0</v>
      </c>
      <c r="J65" s="1206">
        <f>'2.1 Revenue_Interface'!AE200</f>
        <v>0</v>
      </c>
      <c r="K65" s="1206">
        <f>'2.1 Revenue_Interface'!AF200</f>
        <v>0</v>
      </c>
      <c r="L65" s="1019" t="s">
        <v>2348</v>
      </c>
    </row>
    <row r="66" spans="1:12" ht="15.4">
      <c r="A66" s="1205" t="s">
        <v>1592</v>
      </c>
      <c r="B66" s="962" t="s">
        <v>2355</v>
      </c>
      <c r="C66" s="1004"/>
      <c r="D66" s="1017" t="s">
        <v>1558</v>
      </c>
      <c r="E66" s="1212" t="s">
        <v>2</v>
      </c>
      <c r="G66" s="446">
        <f>IFERROR(G63*(1-(G64/G65)),0)</f>
        <v>0</v>
      </c>
      <c r="H66" s="446">
        <f>IFERROR(H63*(1-(H64/H65)),0)</f>
        <v>0</v>
      </c>
      <c r="I66" s="446">
        <f>IFERROR(I63*(1-(I64/I65)),0)</f>
        <v>0</v>
      </c>
      <c r="J66" s="446">
        <f>IFERROR(J63*(1-(J64/J65)),0)</f>
        <v>0</v>
      </c>
      <c r="K66" s="446">
        <f>IFERROR(K63*(1-(K64/K65)),0)</f>
        <v>0</v>
      </c>
      <c r="L66" s="1028"/>
    </row>
    <row r="67" spans="1:12" ht="13.15">
      <c r="A67" s="1202"/>
      <c r="B67" s="962"/>
      <c r="E67" s="1212"/>
      <c r="G67" s="449"/>
      <c r="H67" s="449"/>
      <c r="I67" s="449"/>
      <c r="J67" s="449"/>
      <c r="K67" s="449"/>
      <c r="L67" s="1028"/>
    </row>
    <row r="68" spans="1:12">
      <c r="A68" s="1205"/>
      <c r="B68" s="962"/>
      <c r="C68" s="1004"/>
      <c r="E68" s="1004"/>
      <c r="G68" s="1004"/>
      <c r="L68" s="1028"/>
    </row>
    <row r="69" spans="1:12" ht="14.65">
      <c r="A69" s="1209" t="s">
        <v>2356</v>
      </c>
      <c r="B69" s="962"/>
      <c r="C69" s="1004"/>
      <c r="E69" s="1004"/>
      <c r="J69" s="1210"/>
      <c r="L69" s="1028"/>
    </row>
    <row r="70" spans="1:12" ht="13.15">
      <c r="A70" s="1209"/>
      <c r="B70" s="962"/>
      <c r="C70" s="1004"/>
      <c r="E70" s="1004"/>
      <c r="L70" s="1028"/>
    </row>
    <row r="71" spans="1:12" ht="15.4">
      <c r="A71" s="1205" t="s">
        <v>1593</v>
      </c>
      <c r="B71" s="962" t="s">
        <v>2357</v>
      </c>
      <c r="C71" s="1004"/>
      <c r="D71" s="1017" t="s">
        <v>1558</v>
      </c>
      <c r="E71" s="1212" t="s">
        <v>2</v>
      </c>
      <c r="G71" s="1206">
        <f>'2.1 Revenue_Interface'!AB202</f>
        <v>0</v>
      </c>
      <c r="H71" s="1206">
        <f>'2.1 Revenue_Interface'!AC202</f>
        <v>0</v>
      </c>
      <c r="I71" s="1206">
        <f>'2.1 Revenue_Interface'!AD202</f>
        <v>0</v>
      </c>
      <c r="J71" s="1206">
        <f>'2.1 Revenue_Interface'!AE202</f>
        <v>0</v>
      </c>
      <c r="K71" s="1206">
        <f>'2.1 Revenue_Interface'!AF202</f>
        <v>0</v>
      </c>
      <c r="L71" s="1019" t="s">
        <v>3159</v>
      </c>
    </row>
    <row r="72" spans="1:12" ht="15.4">
      <c r="A72" s="1205" t="s">
        <v>1594</v>
      </c>
      <c r="B72" s="962" t="s">
        <v>2358</v>
      </c>
      <c r="C72" s="1004"/>
      <c r="D72" s="1017" t="s">
        <v>1558</v>
      </c>
      <c r="E72" s="1212" t="s">
        <v>2</v>
      </c>
      <c r="G72" s="1206">
        <f>'2.1 Revenue_Interface'!AB203</f>
        <v>0</v>
      </c>
      <c r="H72" s="1206">
        <f>'2.1 Revenue_Interface'!AC203</f>
        <v>0</v>
      </c>
      <c r="I72" s="1206">
        <f>'2.1 Revenue_Interface'!AD203</f>
        <v>0</v>
      </c>
      <c r="J72" s="1206">
        <f>'2.1 Revenue_Interface'!AE203</f>
        <v>0</v>
      </c>
      <c r="K72" s="1206">
        <f>'2.1 Revenue_Interface'!AF203</f>
        <v>0</v>
      </c>
      <c r="L72" s="1019" t="s">
        <v>3159</v>
      </c>
    </row>
    <row r="73" spans="1:12" ht="15.4">
      <c r="A73" s="1205" t="s">
        <v>1595</v>
      </c>
      <c r="B73" s="962" t="s">
        <v>2359</v>
      </c>
      <c r="C73" s="1004"/>
      <c r="D73" s="1017" t="s">
        <v>1558</v>
      </c>
      <c r="E73" s="1212" t="s">
        <v>2</v>
      </c>
      <c r="G73" s="446">
        <f>G71+G72</f>
        <v>0</v>
      </c>
      <c r="H73" s="446">
        <f t="shared" ref="H73:K73" si="8">H71+H72</f>
        <v>0</v>
      </c>
      <c r="I73" s="446">
        <f t="shared" si="8"/>
        <v>0</v>
      </c>
      <c r="J73" s="446">
        <f t="shared" si="8"/>
        <v>0</v>
      </c>
      <c r="K73" s="446">
        <f t="shared" si="8"/>
        <v>0</v>
      </c>
      <c r="L73" s="1028"/>
    </row>
    <row r="74" spans="1:12">
      <c r="A74" s="1205"/>
      <c r="B74" s="962"/>
      <c r="C74" s="1004"/>
      <c r="E74" s="1004"/>
      <c r="G74" s="1210"/>
      <c r="I74" s="1210"/>
      <c r="L74" s="1028"/>
    </row>
    <row r="75" spans="1:12">
      <c r="A75" s="1205"/>
      <c r="B75" s="962"/>
      <c r="C75" s="1004"/>
      <c r="E75" s="1004"/>
      <c r="G75" s="1004"/>
      <c r="H75" s="1004"/>
      <c r="L75" s="1028"/>
    </row>
    <row r="76" spans="1:12" ht="14.65">
      <c r="A76" s="1209" t="s">
        <v>2360</v>
      </c>
      <c r="B76" s="962"/>
      <c r="C76" s="1004"/>
      <c r="E76" s="1004"/>
      <c r="H76" s="1004"/>
      <c r="J76" s="1210"/>
      <c r="L76" s="1028"/>
    </row>
    <row r="77" spans="1:12" ht="13.15">
      <c r="A77" s="1209"/>
      <c r="B77" s="962"/>
      <c r="C77" s="1004"/>
      <c r="E77" s="1004"/>
      <c r="L77" s="1028"/>
    </row>
    <row r="78" spans="1:12" ht="15.4">
      <c r="A78" s="1205" t="s">
        <v>1596</v>
      </c>
      <c r="B78" s="962" t="s">
        <v>2361</v>
      </c>
      <c r="C78" s="1004"/>
      <c r="D78" s="1017" t="s">
        <v>1558</v>
      </c>
      <c r="E78" s="1212" t="s">
        <v>2</v>
      </c>
      <c r="G78" s="1206">
        <f>'2.1 Revenue_Interface'!AB205</f>
        <v>0</v>
      </c>
      <c r="H78" s="1206">
        <f>'2.1 Revenue_Interface'!AC205</f>
        <v>0</v>
      </c>
      <c r="I78" s="1206">
        <f>'2.1 Revenue_Interface'!AD205</f>
        <v>0</v>
      </c>
      <c r="J78" s="1206">
        <f>'2.1 Revenue_Interface'!AE205</f>
        <v>0</v>
      </c>
      <c r="K78" s="1206">
        <f>'2.1 Revenue_Interface'!AF205</f>
        <v>0</v>
      </c>
      <c r="L78" s="1019" t="s">
        <v>3159</v>
      </c>
    </row>
    <row r="79" spans="1:12" ht="15.4">
      <c r="A79" s="1205" t="s">
        <v>1597</v>
      </c>
      <c r="B79" s="962" t="s">
        <v>2362</v>
      </c>
      <c r="C79" s="1004"/>
      <c r="D79" s="1017" t="s">
        <v>1558</v>
      </c>
      <c r="E79" s="1212" t="s">
        <v>2</v>
      </c>
      <c r="G79" s="1206">
        <f>'2.1 Revenue_Interface'!AB206</f>
        <v>0</v>
      </c>
      <c r="H79" s="1206">
        <f>'2.1 Revenue_Interface'!AC206</f>
        <v>0</v>
      </c>
      <c r="I79" s="1206">
        <f>'2.1 Revenue_Interface'!AD206</f>
        <v>0</v>
      </c>
      <c r="J79" s="1206">
        <f>'2.1 Revenue_Interface'!AE206</f>
        <v>0</v>
      </c>
      <c r="K79" s="1206">
        <f>'2.1 Revenue_Interface'!AF206</f>
        <v>0</v>
      </c>
      <c r="L79" s="1019" t="s">
        <v>3159</v>
      </c>
    </row>
    <row r="80" spans="1:12" ht="15.4">
      <c r="A80" s="1205" t="s">
        <v>1598</v>
      </c>
      <c r="B80" s="962" t="s">
        <v>2363</v>
      </c>
      <c r="C80" s="1004"/>
      <c r="D80" s="1017" t="s">
        <v>1558</v>
      </c>
      <c r="E80" s="1212" t="s">
        <v>2</v>
      </c>
      <c r="G80" s="446">
        <f>G78+G79</f>
        <v>0</v>
      </c>
      <c r="H80" s="446">
        <f t="shared" ref="H80:K80" si="9">H78+H79</f>
        <v>0</v>
      </c>
      <c r="I80" s="446">
        <f t="shared" si="9"/>
        <v>0</v>
      </c>
      <c r="J80" s="446">
        <f t="shared" si="9"/>
        <v>0</v>
      </c>
      <c r="K80" s="446">
        <f t="shared" si="9"/>
        <v>0</v>
      </c>
      <c r="L80" s="1028"/>
    </row>
    <row r="81" spans="1:12">
      <c r="A81" s="1207"/>
      <c r="L81" s="1028"/>
    </row>
    <row r="82" spans="1:12">
      <c r="A82" s="1207"/>
      <c r="H82" s="1217"/>
      <c r="L82" s="1028"/>
    </row>
    <row r="83" spans="1:12" ht="14.65">
      <c r="A83" s="1204" t="s">
        <v>2364</v>
      </c>
      <c r="G83" s="1218"/>
      <c r="K83" s="1210"/>
      <c r="L83" s="1028"/>
    </row>
    <row r="84" spans="1:12" ht="13.15">
      <c r="A84" s="1209"/>
      <c r="L84" s="1028"/>
    </row>
    <row r="85" spans="1:12" ht="15.4">
      <c r="A85" s="1207" t="s">
        <v>1599</v>
      </c>
      <c r="B85" s="950" t="s">
        <v>2365</v>
      </c>
      <c r="D85" s="1017" t="s">
        <v>1558</v>
      </c>
      <c r="E85" s="952" t="s">
        <v>1428</v>
      </c>
      <c r="G85" s="1215">
        <v>8.5</v>
      </c>
      <c r="H85" s="1215">
        <v>8.5</v>
      </c>
      <c r="I85" s="1215">
        <v>8.5</v>
      </c>
      <c r="J85" s="1215">
        <v>8.5</v>
      </c>
      <c r="K85" s="1215">
        <v>8.5</v>
      </c>
      <c r="L85" s="1028"/>
    </row>
    <row r="86" spans="1:12" ht="15.4">
      <c r="A86" s="1207" t="s">
        <v>1600</v>
      </c>
      <c r="B86" s="950" t="s">
        <v>2366</v>
      </c>
      <c r="D86" s="1017" t="s">
        <v>1558</v>
      </c>
      <c r="E86" s="952" t="s">
        <v>1428</v>
      </c>
      <c r="G86" s="1206" t="e">
        <f>'2.1 Revenue_Interface'!#REF!</f>
        <v>#REF!</v>
      </c>
      <c r="H86" s="1206" t="e">
        <f>'2.1 Revenue_Interface'!#REF!</f>
        <v>#REF!</v>
      </c>
      <c r="I86" s="1206" t="e">
        <f>'2.1 Revenue_Interface'!#REF!</f>
        <v>#REF!</v>
      </c>
      <c r="J86" s="1206" t="e">
        <f>'2.1 Revenue_Interface'!#REF!</f>
        <v>#REF!</v>
      </c>
      <c r="K86" s="1206" t="e">
        <f>'2.1 Revenue_Interface'!#REF!</f>
        <v>#REF!</v>
      </c>
      <c r="L86" s="1019" t="s">
        <v>2367</v>
      </c>
    </row>
    <row r="87" spans="1:12" ht="15.4">
      <c r="A87" s="1207" t="s">
        <v>1601</v>
      </c>
      <c r="B87" s="950" t="s">
        <v>2368</v>
      </c>
      <c r="D87" s="1017" t="s">
        <v>1558</v>
      </c>
      <c r="E87" s="952" t="s">
        <v>1428</v>
      </c>
      <c r="G87" s="446" t="e">
        <f>G85+G86</f>
        <v>#REF!</v>
      </c>
      <c r="H87" s="446" t="e">
        <f t="shared" ref="H87:K87" si="10">H85+H86</f>
        <v>#REF!</v>
      </c>
      <c r="I87" s="446" t="e">
        <f t="shared" si="10"/>
        <v>#REF!</v>
      </c>
      <c r="J87" s="446" t="e">
        <f t="shared" si="10"/>
        <v>#REF!</v>
      </c>
      <c r="K87" s="446" t="e">
        <f t="shared" si="10"/>
        <v>#REF!</v>
      </c>
      <c r="L87" s="1028"/>
    </row>
    <row r="88" spans="1:12">
      <c r="A88" s="1041"/>
      <c r="L88" s="1028"/>
    </row>
    <row r="89" spans="1:12">
      <c r="A89" s="1041"/>
      <c r="L89" s="1028"/>
    </row>
    <row r="90" spans="1:12">
      <c r="A90" s="1041"/>
      <c r="L90" s="1028"/>
    </row>
    <row r="91" spans="1:12">
      <c r="A91" s="1041"/>
      <c r="L91" s="1028"/>
    </row>
    <row r="92" spans="1:12">
      <c r="A92" s="1041"/>
      <c r="L92" s="1028"/>
    </row>
    <row r="93" spans="1:12">
      <c r="A93" s="1041"/>
      <c r="L93" s="1028"/>
    </row>
    <row r="94" spans="1:12" ht="13.15" thickBot="1">
      <c r="A94" s="1037"/>
      <c r="B94" s="1071"/>
      <c r="C94" s="1038"/>
      <c r="D94" s="1038"/>
      <c r="E94" s="1038"/>
      <c r="F94" s="1038"/>
      <c r="G94" s="1038"/>
      <c r="H94" s="1038"/>
      <c r="I94" s="1038"/>
      <c r="J94" s="1038"/>
      <c r="K94" s="1038"/>
      <c r="L94" s="1039"/>
    </row>
    <row r="96" spans="1:12" s="1219" customFormat="1" ht="5.0999999999999996" customHeight="1">
      <c r="B96" s="1220"/>
    </row>
    <row r="97" spans="1:13" ht="13.9">
      <c r="A97" s="1003"/>
      <c r="B97" s="961"/>
      <c r="C97" s="1003"/>
      <c r="D97" s="1004"/>
      <c r="E97" s="1005"/>
      <c r="F97" s="1005"/>
      <c r="G97" s="1005"/>
      <c r="H97" s="1005"/>
      <c r="I97" s="1005"/>
      <c r="J97" s="1005"/>
      <c r="K97" s="1005"/>
      <c r="L97" s="1005"/>
      <c r="M97" s="1006"/>
    </row>
    <row r="98" spans="1:13" ht="17.649999999999999">
      <c r="A98" s="1008"/>
      <c r="B98" s="961"/>
      <c r="C98" s="1003"/>
      <c r="D98" s="1003"/>
      <c r="E98" s="1009"/>
      <c r="F98" s="1009"/>
      <c r="G98" s="966" t="s">
        <v>1420</v>
      </c>
      <c r="H98" s="966" t="s">
        <v>1421</v>
      </c>
      <c r="I98" s="966" t="s">
        <v>1422</v>
      </c>
      <c r="J98" s="966" t="s">
        <v>1423</v>
      </c>
      <c r="K98" s="966" t="s">
        <v>1424</v>
      </c>
      <c r="L98" s="1011"/>
      <c r="M98" s="1014"/>
    </row>
    <row r="99" spans="1:13" s="1017" customFormat="1" ht="13.15" thickBot="1">
      <c r="B99" s="941"/>
    </row>
    <row r="100" spans="1:13" s="1017" customFormat="1" ht="20.65">
      <c r="A100" s="1221" t="s">
        <v>2369</v>
      </c>
      <c r="B100" s="1222"/>
      <c r="C100" s="1223"/>
      <c r="D100" s="1223"/>
      <c r="E100" s="1223"/>
      <c r="F100" s="1223"/>
      <c r="G100" s="1223"/>
      <c r="H100" s="1223"/>
      <c r="I100" s="1223"/>
      <c r="J100" s="1223"/>
      <c r="K100" s="1223"/>
      <c r="L100" s="1224"/>
    </row>
    <row r="101" spans="1:13" s="1017" customFormat="1">
      <c r="A101" s="1225"/>
      <c r="B101" s="941"/>
      <c r="L101" s="1226"/>
    </row>
    <row r="102" spans="1:13" s="1017" customFormat="1">
      <c r="A102" s="1225"/>
      <c r="B102" s="941"/>
      <c r="L102" s="1226"/>
    </row>
    <row r="103" spans="1:13" s="1017" customFormat="1">
      <c r="A103" s="1225"/>
      <c r="B103" s="941"/>
      <c r="L103" s="1226"/>
    </row>
    <row r="104" spans="1:13" s="1017" customFormat="1">
      <c r="A104" s="1225"/>
      <c r="B104" s="941"/>
      <c r="L104" s="1226"/>
    </row>
    <row r="105" spans="1:13" s="1017" customFormat="1" ht="13.9">
      <c r="A105" s="1207"/>
      <c r="B105" s="950"/>
      <c r="C105" s="1007"/>
      <c r="D105" s="1007"/>
      <c r="E105" s="1007"/>
      <c r="F105" s="1007"/>
      <c r="G105" s="1227">
        <v>2022</v>
      </c>
      <c r="H105" s="1227">
        <v>2023</v>
      </c>
      <c r="I105" s="1227">
        <v>2024</v>
      </c>
      <c r="J105" s="1227">
        <v>2025</v>
      </c>
      <c r="K105" s="1227">
        <v>2026</v>
      </c>
      <c r="L105" s="1028"/>
    </row>
    <row r="106" spans="1:13" s="1017" customFormat="1" ht="15.4">
      <c r="A106" s="1207" t="s">
        <v>1602</v>
      </c>
      <c r="B106" s="950" t="s">
        <v>2370</v>
      </c>
      <c r="C106" s="1007"/>
      <c r="D106" s="1017" t="s">
        <v>1603</v>
      </c>
      <c r="E106" s="952" t="s">
        <v>1428</v>
      </c>
      <c r="F106" s="1007"/>
      <c r="G106" s="1228">
        <f>G123</f>
        <v>0</v>
      </c>
      <c r="H106" s="1228">
        <f>H123</f>
        <v>0</v>
      </c>
      <c r="I106" s="1228">
        <f>I123</f>
        <v>0</v>
      </c>
      <c r="J106" s="1228">
        <f>J123</f>
        <v>0</v>
      </c>
      <c r="K106" s="1228" t="e">
        <f>K123</f>
        <v>#N/A</v>
      </c>
      <c r="L106" s="1214"/>
    </row>
    <row r="107" spans="1:13" s="1017" customFormat="1" ht="15.4">
      <c r="A107" s="1207" t="s">
        <v>1604</v>
      </c>
      <c r="B107" s="950" t="s">
        <v>2371</v>
      </c>
      <c r="C107" s="1007"/>
      <c r="D107" s="1017" t="s">
        <v>1603</v>
      </c>
      <c r="E107" s="952" t="s">
        <v>1428</v>
      </c>
      <c r="F107" s="1007"/>
      <c r="G107" s="1228">
        <f>'2.1 Revenue_Interface'!AB210</f>
        <v>0</v>
      </c>
      <c r="H107" s="1228">
        <f>'2.1 Revenue_Interface'!AC210</f>
        <v>0</v>
      </c>
      <c r="I107" s="1228">
        <f>'2.1 Revenue_Interface'!AD210</f>
        <v>0</v>
      </c>
      <c r="J107" s="1228">
        <f>'2.1 Revenue_Interface'!AE210</f>
        <v>0</v>
      </c>
      <c r="K107" s="1228">
        <f>'2.1 Revenue_Interface'!AF210</f>
        <v>0</v>
      </c>
      <c r="L107" s="1019" t="s">
        <v>1605</v>
      </c>
      <c r="M107" s="974"/>
    </row>
    <row r="108" spans="1:13" s="1017" customFormat="1" ht="15.4">
      <c r="A108" s="1207" t="s">
        <v>1606</v>
      </c>
      <c r="B108" s="950" t="s">
        <v>2372</v>
      </c>
      <c r="C108" s="1007"/>
      <c r="D108" s="1017" t="s">
        <v>1603</v>
      </c>
      <c r="E108" s="952" t="s">
        <v>1428</v>
      </c>
      <c r="F108" s="1007"/>
      <c r="G108" s="1228">
        <f>G280</f>
        <v>0</v>
      </c>
      <c r="H108" s="1228">
        <f>H280</f>
        <v>0</v>
      </c>
      <c r="I108" s="1228">
        <f>I280</f>
        <v>0</v>
      </c>
      <c r="J108" s="1228">
        <f>J280</f>
        <v>0</v>
      </c>
      <c r="K108" s="1228" t="e">
        <f>K280</f>
        <v>#N/A</v>
      </c>
      <c r="L108" s="1019" t="s">
        <v>1607</v>
      </c>
      <c r="M108" s="974"/>
    </row>
    <row r="109" spans="1:13" s="1017" customFormat="1" ht="13.5" customHeight="1">
      <c r="A109" s="1207" t="s">
        <v>1608</v>
      </c>
      <c r="B109" s="950" t="s">
        <v>2015</v>
      </c>
      <c r="C109" s="1007"/>
      <c r="D109" s="1017" t="s">
        <v>1603</v>
      </c>
      <c r="E109" s="952" t="s">
        <v>1428</v>
      </c>
      <c r="F109" s="1007"/>
      <c r="G109" s="1228" t="e">
        <f>G131</f>
        <v>#DIV/0!</v>
      </c>
      <c r="H109" s="1228">
        <f>H131</f>
        <v>0</v>
      </c>
      <c r="I109" s="1228">
        <f>I131</f>
        <v>0</v>
      </c>
      <c r="J109" s="1228">
        <f>J131</f>
        <v>0</v>
      </c>
      <c r="K109" s="1228" t="e">
        <f>K131</f>
        <v>#N/A</v>
      </c>
      <c r="L109" s="1226"/>
    </row>
    <row r="110" spans="1:13" s="1017" customFormat="1" ht="13.5" customHeight="1">
      <c r="A110" s="1207" t="s">
        <v>1609</v>
      </c>
      <c r="B110" s="950" t="s">
        <v>2017</v>
      </c>
      <c r="C110" s="1007"/>
      <c r="D110" s="1017" t="s">
        <v>1603</v>
      </c>
      <c r="E110" s="952" t="s">
        <v>1428</v>
      </c>
      <c r="F110" s="1007"/>
      <c r="G110" s="1228">
        <f ca="1">G151</f>
        <v>1.5</v>
      </c>
      <c r="H110" s="1228">
        <f>H151</f>
        <v>1.5</v>
      </c>
      <c r="I110" s="1228">
        <f>I151</f>
        <v>1.5</v>
      </c>
      <c r="J110" s="1228">
        <f>J151</f>
        <v>1.5</v>
      </c>
      <c r="K110" s="1228">
        <f>K151</f>
        <v>1.5</v>
      </c>
      <c r="L110" s="1226"/>
    </row>
    <row r="111" spans="1:13" s="1017" customFormat="1" ht="15.4">
      <c r="A111" s="1207" t="s">
        <v>1610</v>
      </c>
      <c r="B111" s="950" t="s">
        <v>2373</v>
      </c>
      <c r="C111" s="1007"/>
      <c r="D111" s="1017" t="s">
        <v>1603</v>
      </c>
      <c r="E111" s="952" t="s">
        <v>1428</v>
      </c>
      <c r="F111" s="1007"/>
      <c r="G111" s="1228">
        <f>G183</f>
        <v>0</v>
      </c>
      <c r="H111" s="1228">
        <f>H183</f>
        <v>0</v>
      </c>
      <c r="I111" s="1228">
        <f>I183</f>
        <v>0</v>
      </c>
      <c r="J111" s="1228">
        <f>J183</f>
        <v>0</v>
      </c>
      <c r="K111" s="1228" t="e">
        <f>K183</f>
        <v>#N/A</v>
      </c>
      <c r="L111" s="1226"/>
    </row>
    <row r="112" spans="1:13" s="1017" customFormat="1" ht="15.4">
      <c r="A112" s="1207" t="s">
        <v>1323</v>
      </c>
      <c r="B112" s="950" t="s">
        <v>2021</v>
      </c>
      <c r="C112" s="1007"/>
      <c r="D112" s="1017" t="s">
        <v>1603</v>
      </c>
      <c r="E112" s="952" t="s">
        <v>1428</v>
      </c>
      <c r="F112" s="1007"/>
      <c r="G112" s="1228">
        <f>G216</f>
        <v>0</v>
      </c>
      <c r="H112" s="1228">
        <f>H216</f>
        <v>0</v>
      </c>
      <c r="I112" s="1228">
        <f>I216</f>
        <v>0</v>
      </c>
      <c r="J112" s="1228">
        <f>J216</f>
        <v>0</v>
      </c>
      <c r="K112" s="1228" t="e">
        <f>K216</f>
        <v>#N/A</v>
      </c>
      <c r="L112" s="1226"/>
    </row>
    <row r="113" spans="1:13" s="1017" customFormat="1" ht="15.4">
      <c r="A113" s="1207" t="s">
        <v>1611</v>
      </c>
      <c r="B113" s="950" t="s">
        <v>2374</v>
      </c>
      <c r="C113" s="1007"/>
      <c r="D113" s="1017" t="s">
        <v>1603</v>
      </c>
      <c r="E113" s="952" t="s">
        <v>1428</v>
      </c>
      <c r="F113" s="1007"/>
      <c r="G113" s="446" t="e">
        <f>SUM(G106:G112)</f>
        <v>#DIV/0!</v>
      </c>
      <c r="H113" s="446">
        <f>SUM(H106:H112)</f>
        <v>1.5</v>
      </c>
      <c r="I113" s="446">
        <f>SUM(I106:I112)</f>
        <v>1.5</v>
      </c>
      <c r="J113" s="446">
        <f>SUM(J106:J112)</f>
        <v>1.5</v>
      </c>
      <c r="K113" s="446" t="e">
        <f>SUM(K106:K112)</f>
        <v>#N/A</v>
      </c>
      <c r="L113" s="1226"/>
    </row>
    <row r="114" spans="1:13" s="1017" customFormat="1" ht="13.9">
      <c r="A114" s="1207"/>
      <c r="B114" s="950"/>
      <c r="C114" s="1007"/>
      <c r="D114" s="1007"/>
      <c r="E114" s="1007"/>
      <c r="F114" s="1007"/>
      <c r="G114" s="1210"/>
      <c r="H114" s="1007"/>
      <c r="I114" s="1210"/>
      <c r="J114" s="1229"/>
      <c r="K114" s="1007"/>
      <c r="L114" s="1226"/>
    </row>
    <row r="115" spans="1:13" s="1017" customFormat="1" ht="14.25" thickBot="1">
      <c r="A115" s="1230"/>
      <c r="B115" s="1071"/>
      <c r="C115" s="1038"/>
      <c r="D115" s="1038"/>
      <c r="E115" s="1038"/>
      <c r="F115" s="1038"/>
      <c r="G115" s="1231"/>
      <c r="H115" s="1038"/>
      <c r="I115" s="1231"/>
      <c r="J115" s="1232"/>
      <c r="K115" s="1038"/>
      <c r="L115" s="1233"/>
    </row>
    <row r="116" spans="1:13" s="1017" customFormat="1" ht="13.9">
      <c r="A116" s="1234"/>
      <c r="B116" s="950"/>
      <c r="C116" s="1007"/>
      <c r="D116" s="1007"/>
      <c r="E116" s="1007"/>
      <c r="F116" s="1007"/>
      <c r="G116" s="1210"/>
      <c r="H116" s="1007"/>
      <c r="I116" s="1210"/>
      <c r="J116" s="1229"/>
      <c r="K116" s="1007"/>
    </row>
    <row r="117" spans="1:13" s="1017" customFormat="1" ht="14.25" thickBot="1">
      <c r="A117" s="1234"/>
      <c r="B117" s="950"/>
      <c r="C117" s="1007"/>
      <c r="D117" s="1007"/>
      <c r="E117" s="1007"/>
      <c r="F117" s="1007"/>
      <c r="G117" s="1210"/>
      <c r="H117" s="1007"/>
      <c r="I117" s="1210"/>
      <c r="J117" s="1229"/>
      <c r="K117" s="1007"/>
    </row>
    <row r="118" spans="1:13" s="1017" customFormat="1" ht="13.9">
      <c r="A118" s="1235" t="s">
        <v>1612</v>
      </c>
      <c r="B118" s="1076"/>
      <c r="C118" s="1024"/>
      <c r="D118" s="1024"/>
      <c r="E118" s="1024"/>
      <c r="F118" s="1024"/>
      <c r="G118" s="1024"/>
      <c r="H118" s="1024"/>
      <c r="I118" s="1024"/>
      <c r="J118" s="1024"/>
      <c r="K118" s="1024"/>
      <c r="L118" s="1224"/>
    </row>
    <row r="119" spans="1:13" s="1017" customFormat="1" ht="13.15">
      <c r="A119" s="1204"/>
      <c r="B119" s="950"/>
      <c r="C119" s="1007"/>
      <c r="D119" s="1007"/>
      <c r="E119" s="1007"/>
      <c r="F119" s="1007"/>
      <c r="G119" s="1007"/>
      <c r="H119" s="1007"/>
      <c r="I119" s="1007"/>
      <c r="J119" s="1007"/>
      <c r="K119" s="1007"/>
      <c r="L119" s="1226"/>
    </row>
    <row r="120" spans="1:13" s="1017" customFormat="1">
      <c r="A120" s="1207"/>
      <c r="B120" s="950"/>
      <c r="C120" s="1007"/>
      <c r="D120" s="1007"/>
      <c r="E120" s="1007"/>
      <c r="F120" s="1007"/>
      <c r="G120" s="1007"/>
      <c r="H120" s="1007"/>
      <c r="I120" s="1007"/>
      <c r="J120" s="1007"/>
      <c r="K120" s="1007"/>
      <c r="L120" s="1226"/>
    </row>
    <row r="121" spans="1:13" s="1017" customFormat="1">
      <c r="A121" s="1207" t="s">
        <v>1613</v>
      </c>
      <c r="B121" s="950" t="s">
        <v>1614</v>
      </c>
      <c r="C121" s="1007"/>
      <c r="D121" s="1017" t="s">
        <v>1603</v>
      </c>
      <c r="E121" s="1007" t="s">
        <v>2</v>
      </c>
      <c r="F121" s="1007"/>
      <c r="G121" s="1228">
        <f>'2.1 Revenue_Interface'!AB214</f>
        <v>0</v>
      </c>
      <c r="H121" s="1228">
        <f>'2.1 Revenue_Interface'!AC214</f>
        <v>0</v>
      </c>
      <c r="I121" s="1228">
        <f>'2.1 Revenue_Interface'!AD214</f>
        <v>0</v>
      </c>
      <c r="J121" s="1228">
        <f>'2.1 Revenue_Interface'!AE214</f>
        <v>0</v>
      </c>
      <c r="K121" s="1228">
        <f>'2.1 Revenue_Interface'!AF214</f>
        <v>0</v>
      </c>
      <c r="L121" s="1236" t="s">
        <v>2375</v>
      </c>
      <c r="M121" s="1237"/>
    </row>
    <row r="122" spans="1:13" s="1017" customFormat="1">
      <c r="A122" s="1207" t="s">
        <v>1615</v>
      </c>
      <c r="B122" s="950" t="s">
        <v>1616</v>
      </c>
      <c r="C122" s="1007"/>
      <c r="D122" s="1017" t="s">
        <v>1603</v>
      </c>
      <c r="E122" s="1007" t="s">
        <v>2</v>
      </c>
      <c r="F122" s="1007"/>
      <c r="G122" s="1228">
        <f>'2.1 Revenue_Interface'!AB215</f>
        <v>0</v>
      </c>
      <c r="H122" s="1228">
        <f>'2.1 Revenue_Interface'!AC215</f>
        <v>0</v>
      </c>
      <c r="I122" s="1228">
        <f>'2.1 Revenue_Interface'!AD215</f>
        <v>0</v>
      </c>
      <c r="J122" s="1228">
        <f>'2.1 Revenue_Interface'!AE215</f>
        <v>0</v>
      </c>
      <c r="K122" s="1228">
        <f>'2.1 Revenue_Interface'!AF215</f>
        <v>0</v>
      </c>
      <c r="L122" s="1236" t="s">
        <v>2376</v>
      </c>
      <c r="M122" s="1237"/>
    </row>
    <row r="123" spans="1:13" s="1017" customFormat="1" ht="15.4">
      <c r="A123" s="1207" t="s">
        <v>1602</v>
      </c>
      <c r="B123" s="950" t="s">
        <v>2370</v>
      </c>
      <c r="C123" s="1007"/>
      <c r="D123" s="1017" t="s">
        <v>1603</v>
      </c>
      <c r="E123" s="952" t="s">
        <v>1428</v>
      </c>
      <c r="F123" s="1007"/>
      <c r="G123" s="446">
        <f>(G121+G122)*VLOOKUP(H$5,'1.5 Universal Data'!$C$28:$F$39,4,FALSE)</f>
        <v>0</v>
      </c>
      <c r="H123" s="446">
        <f>(H121+H122)*VLOOKUP(I$5,'1.5 Universal Data'!$C$28:$F$39,4,FALSE)</f>
        <v>0</v>
      </c>
      <c r="I123" s="446">
        <f>(I121+I122)*VLOOKUP(J$5,'1.5 Universal Data'!$C$28:$F$39,4,FALSE)</f>
        <v>0</v>
      </c>
      <c r="J123" s="446">
        <f>(J121+J122)*VLOOKUP(K$5,'1.5 Universal Data'!$C$28:$F$39,4,FALSE)</f>
        <v>0</v>
      </c>
      <c r="K123" s="446" t="e">
        <f>(K121+K122)*VLOOKUP(L$5,'1.5 Universal Data'!$C$28:$F$39,4,FALSE)</f>
        <v>#N/A</v>
      </c>
      <c r="L123" s="1226"/>
    </row>
    <row r="124" spans="1:13" s="1017" customFormat="1" ht="13.15" thickBot="1">
      <c r="A124" s="1037"/>
      <c r="B124" s="1071"/>
      <c r="C124" s="1038"/>
      <c r="D124" s="1038"/>
      <c r="E124" s="1038"/>
      <c r="F124" s="1038"/>
      <c r="G124" s="1038"/>
      <c r="H124" s="1038"/>
      <c r="I124" s="1038"/>
      <c r="J124" s="1038"/>
      <c r="K124" s="1038"/>
      <c r="L124" s="1233"/>
    </row>
    <row r="125" spans="1:13" s="1017" customFormat="1" ht="13.15">
      <c r="A125" s="1238"/>
      <c r="B125" s="950"/>
      <c r="C125" s="1007"/>
      <c r="D125" s="1007"/>
      <c r="E125" s="1007"/>
      <c r="F125" s="1007"/>
      <c r="G125" s="1239"/>
      <c r="H125" s="1007"/>
      <c r="I125" s="1007"/>
      <c r="J125" s="1007"/>
      <c r="K125" s="1239"/>
    </row>
    <row r="126" spans="1:13" s="1017" customFormat="1" ht="13.5" thickBot="1">
      <c r="A126" s="1238"/>
      <c r="B126" s="950"/>
      <c r="C126" s="1007"/>
      <c r="D126" s="1007"/>
      <c r="E126" s="1007"/>
      <c r="F126" s="1007"/>
      <c r="G126" s="1239"/>
      <c r="H126" s="1007"/>
      <c r="I126" s="1007"/>
      <c r="J126" s="1007"/>
      <c r="K126" s="1239"/>
    </row>
    <row r="127" spans="1:13" s="1017" customFormat="1" ht="18">
      <c r="A127" s="1235" t="s">
        <v>1617</v>
      </c>
      <c r="B127" s="1076"/>
      <c r="C127" s="1024"/>
      <c r="D127" s="1024"/>
      <c r="E127" s="1024"/>
      <c r="F127" s="1024"/>
      <c r="G127" s="1024"/>
      <c r="H127" s="1024"/>
      <c r="I127" s="1024"/>
      <c r="J127" s="1024"/>
      <c r="K127" s="1240"/>
      <c r="L127" s="1224"/>
    </row>
    <row r="128" spans="1:13" s="1017" customFormat="1" ht="13.9">
      <c r="A128" s="1241"/>
      <c r="B128" s="950"/>
      <c r="C128" s="1007"/>
      <c r="D128" s="1007"/>
      <c r="E128" s="1007"/>
      <c r="F128" s="1007"/>
      <c r="G128" s="1007"/>
      <c r="H128" s="1007"/>
      <c r="I128" s="1007"/>
      <c r="J128" s="1007"/>
      <c r="K128" s="1210"/>
      <c r="L128" s="1226"/>
    </row>
    <row r="129" spans="1:13" s="1017" customFormat="1" ht="13.15">
      <c r="A129" s="1204"/>
      <c r="B129" s="950"/>
      <c r="C129" s="1007"/>
      <c r="D129" s="1007"/>
      <c r="E129" s="1007"/>
      <c r="F129" s="1007"/>
      <c r="G129" s="1007"/>
      <c r="H129" s="1007"/>
      <c r="I129" s="1007"/>
      <c r="J129" s="1007"/>
      <c r="K129" s="1007"/>
      <c r="L129" s="1226"/>
    </row>
    <row r="130" spans="1:13" s="1017" customFormat="1" ht="15.4">
      <c r="A130" s="1207" t="s">
        <v>1618</v>
      </c>
      <c r="B130" s="950" t="s">
        <v>2377</v>
      </c>
      <c r="C130" s="1007"/>
      <c r="D130" s="1017" t="s">
        <v>1603</v>
      </c>
      <c r="E130" s="1007" t="s">
        <v>2</v>
      </c>
      <c r="F130" s="1007"/>
      <c r="G130" s="1228" t="e">
        <f>G141</f>
        <v>#DIV/0!</v>
      </c>
      <c r="H130" s="1228">
        <f>H141</f>
        <v>0</v>
      </c>
      <c r="I130" s="1228">
        <f>I141</f>
        <v>0</v>
      </c>
      <c r="J130" s="1228">
        <f>J141</f>
        <v>0</v>
      </c>
      <c r="K130" s="1228">
        <f>K141</f>
        <v>0</v>
      </c>
      <c r="L130" s="1242"/>
      <c r="M130" s="1035"/>
    </row>
    <row r="131" spans="1:13" s="1017" customFormat="1" ht="15.4">
      <c r="A131" s="1207" t="s">
        <v>1619</v>
      </c>
      <c r="B131" s="950" t="s">
        <v>2378</v>
      </c>
      <c r="C131" s="1007"/>
      <c r="D131" s="1017" t="s">
        <v>1603</v>
      </c>
      <c r="E131" s="952" t="s">
        <v>1428</v>
      </c>
      <c r="F131" s="1007"/>
      <c r="G131" s="446" t="e">
        <f>(MIN(1.6,MAX(G130,-2.8)))*VLOOKUP(H$5,'1.5 Universal Data'!$C$28:$F$39,4,FALSE)</f>
        <v>#DIV/0!</v>
      </c>
      <c r="H131" s="446">
        <f>(MIN(1.6,MAX(H130,-2.8)))*VLOOKUP(I$5,'1.5 Universal Data'!$C$28:$F$39,4,FALSE)</f>
        <v>0</v>
      </c>
      <c r="I131" s="446">
        <f>(MIN(1.6,MAX(I130,-2.8)))*VLOOKUP(J$5,'1.5 Universal Data'!$C$28:$F$39,4,FALSE)</f>
        <v>0</v>
      </c>
      <c r="J131" s="446">
        <f>(MIN(1.6,MAX(J130,-2.8)))*VLOOKUP(K$5,'1.5 Universal Data'!$C$28:$F$39,4,FALSE)</f>
        <v>0</v>
      </c>
      <c r="K131" s="446" t="e">
        <f>(MIN(1.6,MAX(K130,-2.8)))*VLOOKUP(L$5,'1.5 Universal Data'!$C$28:$F$39,4,FALSE)</f>
        <v>#N/A</v>
      </c>
      <c r="L131" s="1236" t="s">
        <v>1620</v>
      </c>
      <c r="M131" s="1237"/>
    </row>
    <row r="132" spans="1:13" s="1017" customFormat="1">
      <c r="A132" s="1207"/>
      <c r="B132" s="950"/>
      <c r="C132" s="1007"/>
      <c r="D132" s="1007"/>
      <c r="E132" s="1007"/>
      <c r="F132" s="1007"/>
      <c r="G132" s="1007"/>
      <c r="H132" s="1007"/>
      <c r="I132" s="1007"/>
      <c r="J132" s="1007"/>
      <c r="K132" s="1007"/>
      <c r="L132" s="1226"/>
    </row>
    <row r="133" spans="1:13" s="1017" customFormat="1">
      <c r="A133" s="1207"/>
      <c r="B133" s="950"/>
      <c r="C133" s="1007"/>
      <c r="D133" s="1007"/>
      <c r="E133" s="1007"/>
      <c r="F133" s="1007"/>
      <c r="G133" s="1007"/>
      <c r="H133" s="1007"/>
      <c r="I133" s="1007"/>
      <c r="J133" s="1007"/>
      <c r="K133" s="1007"/>
      <c r="L133" s="1226"/>
    </row>
    <row r="134" spans="1:13" s="1017" customFormat="1">
      <c r="A134" s="1207"/>
      <c r="B134" s="950"/>
      <c r="C134" s="1007"/>
      <c r="D134" s="1007"/>
      <c r="E134" s="1007"/>
      <c r="F134" s="1007"/>
      <c r="G134" s="1007"/>
      <c r="H134" s="1007"/>
      <c r="I134" s="1007"/>
      <c r="J134" s="1007"/>
      <c r="K134" s="1007"/>
      <c r="L134" s="1226"/>
    </row>
    <row r="135" spans="1:13" s="1017" customFormat="1">
      <c r="A135" s="1207"/>
      <c r="B135" s="950"/>
      <c r="C135" s="1007"/>
      <c r="D135" s="1007"/>
      <c r="E135" s="1007"/>
      <c r="F135" s="1007"/>
      <c r="G135" s="1007"/>
      <c r="H135" s="1007"/>
      <c r="I135" s="1007"/>
      <c r="J135" s="1007"/>
      <c r="K135" s="1007"/>
      <c r="L135" s="1226"/>
    </row>
    <row r="136" spans="1:13" s="1017" customFormat="1">
      <c r="A136" s="1207"/>
      <c r="B136" s="950"/>
      <c r="C136" s="1007"/>
      <c r="D136" s="1007"/>
      <c r="E136" s="1007"/>
      <c r="F136" s="1007"/>
      <c r="G136" s="1007"/>
      <c r="H136" s="1007"/>
      <c r="I136" s="1007"/>
      <c r="J136" s="1007"/>
      <c r="K136" s="1007"/>
      <c r="L136" s="1226"/>
    </row>
    <row r="137" spans="1:13" s="1017" customFormat="1">
      <c r="A137" s="1207"/>
      <c r="B137" s="950"/>
      <c r="C137" s="1007"/>
      <c r="D137" s="1007"/>
      <c r="E137" s="1007"/>
      <c r="F137" s="1007"/>
      <c r="G137" s="1007"/>
      <c r="H137" s="1007"/>
      <c r="I137" s="1007"/>
      <c r="J137" s="1007"/>
      <c r="K137" s="1007"/>
      <c r="L137" s="1226"/>
    </row>
    <row r="138" spans="1:13" s="1017" customFormat="1" ht="18">
      <c r="A138" s="1204" t="s">
        <v>1621</v>
      </c>
      <c r="B138" s="950"/>
      <c r="C138" s="1007"/>
      <c r="D138" s="1007"/>
      <c r="E138" s="1007"/>
      <c r="F138" s="1007"/>
      <c r="G138" s="1007"/>
      <c r="H138" s="1007"/>
      <c r="I138" s="1007"/>
      <c r="J138" s="1007"/>
      <c r="K138" s="1007"/>
      <c r="L138" s="1226"/>
    </row>
    <row r="139" spans="1:13" s="1017" customFormat="1" ht="29.1" customHeight="1">
      <c r="A139" s="1207" t="s">
        <v>1622</v>
      </c>
      <c r="B139" s="950"/>
      <c r="C139" s="1007"/>
      <c r="D139" s="1017" t="s">
        <v>1603</v>
      </c>
      <c r="E139" s="1007" t="s">
        <v>2</v>
      </c>
      <c r="F139" s="1007"/>
      <c r="G139" s="1228" t="e">
        <f>'2.1 Revenue_Interface'!AB219</f>
        <v>#DIV/0!</v>
      </c>
      <c r="H139" s="1228">
        <f>'2.1 Revenue_Interface'!AC219</f>
        <v>0</v>
      </c>
      <c r="I139" s="1228">
        <f>'2.1 Revenue_Interface'!AD219</f>
        <v>0</v>
      </c>
      <c r="J139" s="1228">
        <f>'2.1 Revenue_Interface'!AE219</f>
        <v>0</v>
      </c>
      <c r="K139" s="1228">
        <f>'2.1 Revenue_Interface'!AF219</f>
        <v>0</v>
      </c>
      <c r="L139" s="1019" t="s">
        <v>1623</v>
      </c>
      <c r="M139" s="974"/>
    </row>
    <row r="140" spans="1:13" s="1017" customFormat="1" ht="18.600000000000001" customHeight="1">
      <c r="A140" s="1207" t="s">
        <v>1624</v>
      </c>
      <c r="B140" s="950"/>
      <c r="C140" s="1007"/>
      <c r="D140" s="1017" t="s">
        <v>1603</v>
      </c>
      <c r="E140" s="1007" t="s">
        <v>2</v>
      </c>
      <c r="F140" s="1007"/>
      <c r="G140" s="1228" t="e">
        <f>'2.1 Revenue_Interface'!AB220</f>
        <v>#N/A</v>
      </c>
      <c r="H140" s="1228">
        <f>'2.1 Revenue_Interface'!AC220</f>
        <v>0</v>
      </c>
      <c r="I140" s="1228">
        <f>'2.1 Revenue_Interface'!AD220</f>
        <v>0</v>
      </c>
      <c r="J140" s="1228">
        <f>'2.1 Revenue_Interface'!AE220</f>
        <v>0</v>
      </c>
      <c r="K140" s="1228">
        <f>'2.1 Revenue_Interface'!AF220</f>
        <v>0</v>
      </c>
      <c r="L140" s="1019" t="s">
        <v>1623</v>
      </c>
      <c r="M140" s="974"/>
    </row>
    <row r="141" spans="1:13" s="1017" customFormat="1" ht="21.95" customHeight="1">
      <c r="A141" s="1207" t="s">
        <v>1618</v>
      </c>
      <c r="B141" s="950" t="s">
        <v>2377</v>
      </c>
      <c r="C141" s="1007"/>
      <c r="D141" s="1017" t="s">
        <v>1603</v>
      </c>
      <c r="E141" s="1007" t="s">
        <v>2</v>
      </c>
      <c r="F141" s="1007"/>
      <c r="G141" s="446" t="e">
        <f>(G139+G140)/1000000</f>
        <v>#DIV/0!</v>
      </c>
      <c r="H141" s="446">
        <f>(H139+H140)/1000000</f>
        <v>0</v>
      </c>
      <c r="I141" s="446">
        <f>(I139+I140)/1000000</f>
        <v>0</v>
      </c>
      <c r="J141" s="446">
        <f>(J139+J140)/1000000</f>
        <v>0</v>
      </c>
      <c r="K141" s="446">
        <f>(K139+K140)/1000000</f>
        <v>0</v>
      </c>
      <c r="L141" s="1019"/>
      <c r="M141" s="974"/>
    </row>
    <row r="142" spans="1:13" s="1017" customFormat="1" ht="13.15" thickBot="1">
      <c r="A142" s="1230"/>
      <c r="B142" s="1071"/>
      <c r="C142" s="1038"/>
      <c r="D142" s="1038"/>
      <c r="E142" s="1038"/>
      <c r="F142" s="1038"/>
      <c r="G142" s="1038"/>
      <c r="H142" s="1038"/>
      <c r="I142" s="1038"/>
      <c r="J142" s="1038"/>
      <c r="K142" s="1038"/>
      <c r="L142" s="1233"/>
    </row>
    <row r="143" spans="1:13" s="1017" customFormat="1" ht="32.1" customHeight="1" thickBot="1">
      <c r="A143" s="1234"/>
      <c r="B143" s="950"/>
      <c r="C143" s="1007"/>
      <c r="D143" s="1007"/>
      <c r="E143" s="1007"/>
      <c r="F143" s="1007"/>
      <c r="G143" s="1007"/>
      <c r="H143" s="1007"/>
      <c r="I143" s="1007"/>
      <c r="J143" s="1007"/>
      <c r="K143" s="1007"/>
    </row>
    <row r="144" spans="1:13" s="1017" customFormat="1">
      <c r="A144" s="1243"/>
      <c r="B144" s="1076"/>
      <c r="C144" s="1024"/>
      <c r="D144" s="1024"/>
      <c r="E144" s="1024"/>
      <c r="F144" s="1024"/>
      <c r="G144" s="1024"/>
      <c r="H144" s="1024"/>
      <c r="I144" s="1024"/>
      <c r="J144" s="1024"/>
      <c r="K144" s="1024"/>
      <c r="L144" s="1224"/>
    </row>
    <row r="145" spans="1:13" s="1017" customFormat="1">
      <c r="A145" s="1207"/>
      <c r="B145" s="950"/>
      <c r="C145" s="1007"/>
      <c r="D145" s="1007"/>
      <c r="E145" s="1007"/>
      <c r="F145" s="1007"/>
      <c r="G145" s="1007"/>
      <c r="H145" s="1007"/>
      <c r="I145" s="1007"/>
      <c r="J145" s="1007"/>
      <c r="K145" s="1007"/>
      <c r="L145" s="1226"/>
    </row>
    <row r="146" spans="1:13" s="1017" customFormat="1">
      <c r="A146" s="1207"/>
      <c r="B146" s="950"/>
      <c r="C146" s="1007"/>
      <c r="D146" s="1007"/>
      <c r="E146" s="1007"/>
      <c r="F146" s="1007"/>
      <c r="G146" s="1007"/>
      <c r="H146" s="1007"/>
      <c r="I146" s="1007"/>
      <c r="J146" s="1007"/>
      <c r="K146" s="1007"/>
      <c r="L146" s="1226"/>
    </row>
    <row r="147" spans="1:13" s="1017" customFormat="1" ht="18">
      <c r="A147" s="1241" t="s">
        <v>1625</v>
      </c>
      <c r="B147" s="950"/>
      <c r="C147" s="1007"/>
      <c r="D147" s="1007"/>
      <c r="E147" s="1007"/>
      <c r="F147" s="1007"/>
      <c r="G147" s="1007"/>
      <c r="H147" s="1007"/>
      <c r="I147" s="1007"/>
      <c r="J147" s="1210"/>
      <c r="K147" s="1007"/>
      <c r="L147" s="1226"/>
    </row>
    <row r="148" spans="1:13" s="1017" customFormat="1" ht="13.15">
      <c r="A148" s="1244"/>
      <c r="B148" s="950"/>
      <c r="C148" s="1007"/>
      <c r="D148" s="1007"/>
      <c r="E148" s="1007"/>
      <c r="F148" s="1007"/>
      <c r="G148" s="1007"/>
      <c r="H148" s="1007"/>
      <c r="I148" s="1007"/>
      <c r="J148" s="1007"/>
      <c r="K148" s="1007"/>
      <c r="L148" s="1226"/>
    </row>
    <row r="149" spans="1:13" s="1017" customFormat="1" ht="15.4">
      <c r="A149" s="1041" t="s">
        <v>1626</v>
      </c>
      <c r="B149" s="950" t="s">
        <v>2379</v>
      </c>
      <c r="C149" s="1007"/>
      <c r="D149" s="1017" t="s">
        <v>1603</v>
      </c>
      <c r="E149" s="1007" t="s">
        <v>1627</v>
      </c>
      <c r="F149" s="1007"/>
      <c r="G149" s="1228">
        <f ca="1">G162</f>
        <v>0</v>
      </c>
      <c r="H149" s="1228">
        <f t="shared" ref="H149:K149" si="11">H162</f>
        <v>0</v>
      </c>
      <c r="I149" s="1228">
        <f t="shared" si="11"/>
        <v>0</v>
      </c>
      <c r="J149" s="1228">
        <f t="shared" si="11"/>
        <v>0</v>
      </c>
      <c r="K149" s="1228">
        <f t="shared" si="11"/>
        <v>0</v>
      </c>
      <c r="L149" s="1242"/>
      <c r="M149" s="1035"/>
    </row>
    <row r="150" spans="1:13" s="1017" customFormat="1" ht="15.4">
      <c r="A150" s="1041" t="s">
        <v>1229</v>
      </c>
      <c r="B150" s="950" t="s">
        <v>2380</v>
      </c>
      <c r="C150" s="1007"/>
      <c r="D150" s="1017" t="s">
        <v>1603</v>
      </c>
      <c r="E150" s="1007" t="s">
        <v>1628</v>
      </c>
      <c r="F150" s="1007"/>
      <c r="G150" s="1245">
        <f>MIN(1,G169)</f>
        <v>0</v>
      </c>
      <c r="H150" s="1245">
        <f>MIN(1,H169)</f>
        <v>0</v>
      </c>
      <c r="I150" s="1245">
        <f>MIN(1,I169)</f>
        <v>0</v>
      </c>
      <c r="J150" s="1245">
        <f>MIN(1,J169)</f>
        <v>0</v>
      </c>
      <c r="K150" s="1245">
        <f>MIN(1,K169)</f>
        <v>0</v>
      </c>
      <c r="L150" s="1019" t="s">
        <v>2381</v>
      </c>
      <c r="M150" s="974"/>
    </row>
    <row r="151" spans="1:13" s="1017" customFormat="1" ht="15.4">
      <c r="A151" s="1041" t="s">
        <v>1629</v>
      </c>
      <c r="B151" s="950" t="s">
        <v>2017</v>
      </c>
      <c r="C151" s="1007"/>
      <c r="D151" s="1017" t="s">
        <v>1603</v>
      </c>
      <c r="E151" s="952" t="s">
        <v>1428</v>
      </c>
      <c r="F151" s="1007"/>
      <c r="G151" s="446">
        <f ca="1">IF(G149&lt;=(4.5+G150),1.5,MAX((3.253-(0.38961*(G149-G150))),-1.5))</f>
        <v>1.5</v>
      </c>
      <c r="H151" s="446">
        <f>IF(H149&lt;=(4.5+H150),1.5,MAX((3.253-(0.38961*(H149-H150))),-1.5))</f>
        <v>1.5</v>
      </c>
      <c r="I151" s="446">
        <f>IF(I149&lt;=(4.5+I150),1.5,MAX((3.253-(0.38961*(I149-I150))),-1.5))</f>
        <v>1.5</v>
      </c>
      <c r="J151" s="446">
        <f>IF(J149&lt;=(4.5+J150),1.5,MAX((3.253-(0.38961*(J149-J150))),-1.5))</f>
        <v>1.5</v>
      </c>
      <c r="K151" s="446">
        <f>IF(K149&lt;=(4.5+K150),1.5,MAX((3.253-(0.38961*(K149-K150))),-1.5))</f>
        <v>1.5</v>
      </c>
      <c r="L151" s="1226"/>
    </row>
    <row r="152" spans="1:13" s="1017" customFormat="1">
      <c r="A152" s="1041"/>
      <c r="B152" s="950"/>
      <c r="C152" s="1007"/>
      <c r="D152" s="1007"/>
      <c r="E152" s="1007"/>
      <c r="F152" s="1007"/>
      <c r="G152" s="1007"/>
      <c r="H152" s="1007"/>
      <c r="I152" s="1007"/>
      <c r="J152" s="1007"/>
      <c r="K152" s="1007"/>
      <c r="L152" s="1226"/>
    </row>
    <row r="153" spans="1:13" s="1017" customFormat="1">
      <c r="A153" s="1041"/>
      <c r="B153" s="950"/>
      <c r="C153" s="1007"/>
      <c r="D153" s="1007"/>
      <c r="E153" s="1007"/>
      <c r="F153" s="1007"/>
      <c r="G153" s="1007"/>
      <c r="H153" s="1007"/>
      <c r="I153" s="1007"/>
      <c r="J153" s="1007"/>
      <c r="K153" s="1007"/>
      <c r="L153" s="1226"/>
    </row>
    <row r="154" spans="1:13" s="1017" customFormat="1">
      <c r="A154" s="1041"/>
      <c r="B154" s="950"/>
      <c r="C154" s="1007"/>
      <c r="D154" s="1007"/>
      <c r="E154" s="1007"/>
      <c r="F154" s="1007"/>
      <c r="G154" s="1007"/>
      <c r="H154" s="1007"/>
      <c r="I154" s="1007"/>
      <c r="J154" s="1007"/>
      <c r="K154" s="1007"/>
      <c r="L154" s="1226"/>
    </row>
    <row r="155" spans="1:13" s="1017" customFormat="1" ht="13.15">
      <c r="A155" s="1244"/>
      <c r="B155" s="950"/>
      <c r="C155" s="1007"/>
      <c r="D155" s="1007"/>
      <c r="E155" s="1007"/>
      <c r="F155" s="1007"/>
      <c r="G155" s="1210"/>
      <c r="H155" s="1007"/>
      <c r="I155" s="1210"/>
      <c r="J155" s="1007"/>
      <c r="K155" s="1007"/>
      <c r="L155" s="1226"/>
    </row>
    <row r="156" spans="1:13" s="1017" customFormat="1" ht="18">
      <c r="A156" s="1244" t="s">
        <v>1630</v>
      </c>
      <c r="B156" s="939"/>
      <c r="C156" s="1007"/>
      <c r="D156" s="1007"/>
      <c r="E156" s="1007"/>
      <c r="F156" s="1007"/>
      <c r="G156" s="1007"/>
      <c r="H156" s="1007"/>
      <c r="I156" s="1007"/>
      <c r="J156" s="939"/>
      <c r="K156" s="1007"/>
      <c r="L156" s="1226"/>
    </row>
    <row r="157" spans="1:13" s="1017" customFormat="1" ht="13.15">
      <c r="A157" s="1244"/>
      <c r="B157" s="950"/>
      <c r="C157" s="1007"/>
      <c r="D157" s="1007"/>
      <c r="E157" s="1007"/>
      <c r="F157" s="1007"/>
      <c r="G157" s="1007"/>
      <c r="H157" s="1007"/>
      <c r="I157" s="1007"/>
      <c r="J157" s="1007"/>
      <c r="K157" s="1007"/>
      <c r="L157" s="1226"/>
    </row>
    <row r="158" spans="1:13" s="1017" customFormat="1" ht="13.15">
      <c r="A158" s="1244"/>
      <c r="B158" s="950"/>
      <c r="C158" s="1007"/>
      <c r="D158" s="1007"/>
      <c r="E158" s="1007"/>
      <c r="F158" s="1007"/>
      <c r="G158" s="1007"/>
      <c r="H158" s="1007"/>
      <c r="I158" s="1007"/>
      <c r="J158" s="1007"/>
      <c r="K158" s="1007"/>
      <c r="L158" s="1226"/>
    </row>
    <row r="159" spans="1:13" s="1017" customFormat="1" ht="15.4">
      <c r="A159" s="1041" t="s">
        <v>1208</v>
      </c>
      <c r="B159" s="950" t="s">
        <v>2382</v>
      </c>
      <c r="C159" s="1007"/>
      <c r="D159" s="1017" t="s">
        <v>1603</v>
      </c>
      <c r="E159" s="1007" t="s">
        <v>1628</v>
      </c>
      <c r="F159" s="1007"/>
      <c r="G159" s="1228">
        <f>'2.1 Revenue_Interface'!AB224</f>
        <v>0</v>
      </c>
      <c r="H159" s="1228">
        <f>'2.1 Revenue_Interface'!AC224</f>
        <v>0</v>
      </c>
      <c r="I159" s="1228">
        <f>'2.1 Revenue_Interface'!AD224</f>
        <v>0</v>
      </c>
      <c r="J159" s="1228">
        <f>'2.1 Revenue_Interface'!AE224</f>
        <v>0</v>
      </c>
      <c r="K159" s="1228">
        <f>'2.1 Revenue_Interface'!AF224</f>
        <v>0</v>
      </c>
      <c r="L159" s="1019" t="s">
        <v>1631</v>
      </c>
      <c r="M159" s="974"/>
    </row>
    <row r="160" spans="1:13" s="1017" customFormat="1" ht="15.4">
      <c r="A160" s="1041" t="s">
        <v>1632</v>
      </c>
      <c r="B160" s="950" t="s">
        <v>2383</v>
      </c>
      <c r="C160" s="1007"/>
      <c r="D160" s="1017" t="s">
        <v>1603</v>
      </c>
      <c r="E160" s="1007" t="s">
        <v>1628</v>
      </c>
      <c r="F160" s="1007"/>
      <c r="G160" s="1228" t="e" vm="2">
        <f ca="1">'2.1 Revenue_Interface'!AB225</f>
        <v>#VALUE!</v>
      </c>
      <c r="H160" s="1228">
        <f>'2.1 Revenue_Interface'!AC225</f>
        <v>0</v>
      </c>
      <c r="I160" s="1228">
        <f>'2.1 Revenue_Interface'!AD225</f>
        <v>0</v>
      </c>
      <c r="J160" s="1228">
        <f>'2.1 Revenue_Interface'!AE225</f>
        <v>0</v>
      </c>
      <c r="K160" s="1228">
        <f>'2.1 Revenue_Interface'!AF225</f>
        <v>0</v>
      </c>
      <c r="L160" s="1019" t="s">
        <v>1631</v>
      </c>
      <c r="M160" s="974"/>
    </row>
    <row r="161" spans="1:13" s="1017" customFormat="1" ht="20.45" customHeight="1">
      <c r="A161" s="1041"/>
      <c r="B161" s="950"/>
      <c r="C161" s="1007"/>
      <c r="D161" s="1017" t="s">
        <v>1603</v>
      </c>
      <c r="E161" s="1007"/>
      <c r="F161" s="1007"/>
      <c r="G161" s="1228">
        <f>'2.1 Revenue_Interface'!AB226</f>
        <v>0</v>
      </c>
      <c r="H161" s="1228">
        <f>'2.1 Revenue_Interface'!AC226</f>
        <v>0</v>
      </c>
      <c r="I161" s="1228">
        <f>'2.1 Revenue_Interface'!AD226</f>
        <v>0</v>
      </c>
      <c r="J161" s="1228">
        <f>'2.1 Revenue_Interface'!AE226</f>
        <v>0</v>
      </c>
      <c r="K161" s="1228">
        <f>'2.1 Revenue_Interface'!AF226</f>
        <v>0</v>
      </c>
      <c r="L161" s="1019"/>
      <c r="M161" s="974"/>
    </row>
    <row r="162" spans="1:13" s="1017" customFormat="1" ht="15.4">
      <c r="A162" s="1041" t="s">
        <v>1626</v>
      </c>
      <c r="B162" s="950" t="s">
        <v>2379</v>
      </c>
      <c r="C162" s="1007"/>
      <c r="D162" s="1017" t="s">
        <v>1603</v>
      </c>
      <c r="E162" s="1007" t="s">
        <v>1627</v>
      </c>
      <c r="F162" s="1007"/>
      <c r="G162" s="726">
        <f ca="1">IFERROR((G159-G160)*(G160/G161),0)</f>
        <v>0</v>
      </c>
      <c r="H162" s="726">
        <f>IFERROR(IMABS(H159-H160)*(H160/H161),0)</f>
        <v>0</v>
      </c>
      <c r="I162" s="726">
        <f>IFERROR(IMABS(I159-I160)*(I160/I161),0)</f>
        <v>0</v>
      </c>
      <c r="J162" s="726">
        <f>IFERROR(IMABS(J159-J160)*(J160/J161),0)</f>
        <v>0</v>
      </c>
      <c r="K162" s="726">
        <f>IFERROR(IMABS(K159-K160)*(K160/K161),0)</f>
        <v>0</v>
      </c>
      <c r="L162" s="1246"/>
      <c r="M162" s="1247"/>
    </row>
    <row r="163" spans="1:13" s="1017" customFormat="1" ht="13.15">
      <c r="A163" s="1244"/>
      <c r="B163" s="950"/>
      <c r="C163" s="1007"/>
      <c r="D163" s="1007"/>
      <c r="E163" s="1007"/>
      <c r="F163" s="1007"/>
      <c r="G163" s="1210"/>
      <c r="H163" s="1007"/>
      <c r="I163" s="1210"/>
      <c r="J163" s="1007"/>
      <c r="K163" s="1007"/>
      <c r="L163" s="1226"/>
    </row>
    <row r="164" spans="1:13">
      <c r="A164" s="1041"/>
      <c r="L164" s="1028"/>
    </row>
    <row r="165" spans="1:13" s="1017" customFormat="1" ht="18">
      <c r="A165" s="1244" t="s">
        <v>1633</v>
      </c>
      <c r="B165" s="950"/>
      <c r="C165" s="1007"/>
      <c r="D165" s="1007"/>
      <c r="E165" s="1007"/>
      <c r="F165" s="1007"/>
      <c r="G165" s="1007"/>
      <c r="H165" s="1007"/>
      <c r="I165" s="1007"/>
      <c r="J165" s="1210"/>
      <c r="K165" s="1007"/>
      <c r="L165" s="1226"/>
    </row>
    <row r="166" spans="1:13" s="1017" customFormat="1" ht="13.15">
      <c r="A166" s="1244"/>
      <c r="B166" s="950"/>
      <c r="C166" s="1007"/>
      <c r="D166" s="1007"/>
      <c r="E166" s="1007"/>
      <c r="F166" s="1007"/>
      <c r="G166" s="1007"/>
      <c r="H166" s="1007"/>
      <c r="I166" s="1007"/>
      <c r="J166" s="1007"/>
      <c r="K166" s="1007"/>
      <c r="L166" s="1226"/>
    </row>
    <row r="167" spans="1:13" s="1017" customFormat="1" ht="15.4">
      <c r="A167" s="1041" t="s">
        <v>1634</v>
      </c>
      <c r="B167" s="950" t="s">
        <v>2384</v>
      </c>
      <c r="C167" s="1007"/>
      <c r="D167" s="1017" t="s">
        <v>1603</v>
      </c>
      <c r="E167" s="1007" t="s">
        <v>1628</v>
      </c>
      <c r="F167" s="1228">
        <f>F176</f>
        <v>0</v>
      </c>
      <c r="G167" s="1228">
        <f>G176</f>
        <v>0</v>
      </c>
      <c r="H167" s="1228">
        <f t="shared" ref="H167:K167" si="12">H176</f>
        <v>0</v>
      </c>
      <c r="I167" s="1228">
        <f t="shared" si="12"/>
        <v>0</v>
      </c>
      <c r="J167" s="1228">
        <f t="shared" si="12"/>
        <v>0</v>
      </c>
      <c r="K167" s="1228">
        <f t="shared" si="12"/>
        <v>0</v>
      </c>
      <c r="L167" s="1019" t="s">
        <v>1631</v>
      </c>
      <c r="M167" s="974"/>
    </row>
    <row r="168" spans="1:13" s="1017" customFormat="1" ht="15.4">
      <c r="A168" s="1041" t="s">
        <v>1635</v>
      </c>
      <c r="B168" s="950" t="s">
        <v>2385</v>
      </c>
      <c r="C168" s="1007"/>
      <c r="D168" s="1017" t="s">
        <v>1603</v>
      </c>
      <c r="E168" s="1007"/>
      <c r="F168" s="1007"/>
      <c r="G168" s="1248">
        <v>0.5</v>
      </c>
      <c r="H168" s="1249">
        <v>0.5</v>
      </c>
      <c r="I168" s="1249">
        <v>0.5</v>
      </c>
      <c r="J168" s="1249">
        <v>0.5</v>
      </c>
      <c r="K168" s="1249">
        <v>0.5</v>
      </c>
      <c r="L168" s="1019"/>
      <c r="M168" s="974"/>
    </row>
    <row r="169" spans="1:13" s="1017" customFormat="1" ht="15.4">
      <c r="A169" s="1041" t="s">
        <v>1636</v>
      </c>
      <c r="B169" s="950" t="s">
        <v>2386</v>
      </c>
      <c r="C169" s="1007"/>
      <c r="D169" s="1017" t="s">
        <v>1603</v>
      </c>
      <c r="E169" s="1007" t="s">
        <v>1628</v>
      </c>
      <c r="F169" s="727">
        <f>'2.1 Revenue_Interface'!AA230</f>
        <v>0</v>
      </c>
      <c r="G169" s="446">
        <f>MAX(0,0.038*(G176-F176)+(F169*F168))</f>
        <v>0</v>
      </c>
      <c r="H169" s="446">
        <f>MAX(0,0.038*(H176-G176)+(G169*G168))</f>
        <v>0</v>
      </c>
      <c r="I169" s="446">
        <f t="shared" ref="I169:K169" si="13">MAX(0,0.038*(I176-H176)+(H169*H168))</f>
        <v>0</v>
      </c>
      <c r="J169" s="446">
        <f t="shared" si="13"/>
        <v>0</v>
      </c>
      <c r="K169" s="446">
        <f t="shared" si="13"/>
        <v>0</v>
      </c>
      <c r="L169" s="1246"/>
      <c r="M169" s="1247"/>
    </row>
    <row r="170" spans="1:13" s="1017" customFormat="1" ht="13.15">
      <c r="A170" s="1041"/>
      <c r="B170" s="950"/>
      <c r="C170" s="1007"/>
      <c r="D170" s="1007"/>
      <c r="E170" s="1007"/>
      <c r="F170" s="1007"/>
      <c r="G170" s="447"/>
      <c r="H170" s="447"/>
      <c r="I170" s="447"/>
      <c r="J170" s="447"/>
      <c r="K170" s="447"/>
      <c r="L170" s="1019"/>
      <c r="M170" s="974"/>
    </row>
    <row r="171" spans="1:13">
      <c r="A171" s="1041"/>
      <c r="L171" s="1028"/>
    </row>
    <row r="172" spans="1:13" s="1017" customFormat="1" ht="18">
      <c r="A172" s="1244" t="s">
        <v>1637</v>
      </c>
      <c r="B172" s="950"/>
      <c r="C172" s="1007"/>
      <c r="D172" s="1007"/>
      <c r="E172" s="1007"/>
      <c r="F172" s="1007"/>
      <c r="G172" s="1007"/>
      <c r="H172" s="1007"/>
      <c r="I172" s="1007"/>
      <c r="J172" s="1210"/>
      <c r="K172" s="1007"/>
      <c r="L172" s="1226"/>
    </row>
    <row r="173" spans="1:13" s="1017" customFormat="1" ht="13.15">
      <c r="A173" s="1244"/>
      <c r="B173" s="950"/>
      <c r="C173" s="1007"/>
      <c r="D173" s="1007"/>
      <c r="E173" s="1007"/>
      <c r="F173" s="1007"/>
      <c r="G173" s="1007"/>
      <c r="H173" s="1007"/>
      <c r="I173" s="1007"/>
      <c r="J173" s="1007"/>
      <c r="K173" s="1007"/>
      <c r="L173" s="1226"/>
    </row>
    <row r="174" spans="1:13" s="1017" customFormat="1">
      <c r="A174" s="1250" t="s">
        <v>2387</v>
      </c>
      <c r="B174" s="950"/>
      <c r="C174" s="1007"/>
      <c r="D174" s="1017" t="s">
        <v>1603</v>
      </c>
      <c r="E174" s="1007" t="s">
        <v>1627</v>
      </c>
      <c r="F174" s="1328">
        <f>'2.1 Revenue_Interface'!AA232</f>
        <v>0</v>
      </c>
      <c r="G174" s="1328">
        <f>'2.1 Revenue_Interface'!AB232</f>
        <v>0</v>
      </c>
      <c r="H174" s="1328">
        <f>'2.1 Revenue_Interface'!AC232</f>
        <v>0</v>
      </c>
      <c r="I174" s="1328">
        <f>'2.1 Revenue_Interface'!AD232</f>
        <v>0</v>
      </c>
      <c r="J174" s="1328">
        <f>'2.1 Revenue_Interface'!AE232</f>
        <v>0</v>
      </c>
      <c r="K174" s="1328">
        <f>'2.1 Revenue_Interface'!AF232</f>
        <v>0</v>
      </c>
      <c r="L174" s="1019" t="s">
        <v>1638</v>
      </c>
      <c r="M174" s="974"/>
    </row>
    <row r="175" spans="1:13" s="1017" customFormat="1" ht="23.1" customHeight="1">
      <c r="A175" s="1041" t="s">
        <v>1639</v>
      </c>
      <c r="B175" s="950" t="s">
        <v>2388</v>
      </c>
      <c r="C175" s="1007"/>
      <c r="D175" s="1017" t="s">
        <v>1603</v>
      </c>
      <c r="E175" s="1007"/>
      <c r="F175" s="1249">
        <v>365</v>
      </c>
      <c r="G175" s="1249">
        <v>365</v>
      </c>
      <c r="H175" s="1249">
        <v>365</v>
      </c>
      <c r="I175" s="1249">
        <v>366</v>
      </c>
      <c r="J175" s="1249">
        <v>365</v>
      </c>
      <c r="K175" s="1249">
        <v>365</v>
      </c>
      <c r="L175" s="1019" t="s">
        <v>1631</v>
      </c>
      <c r="M175" s="974"/>
    </row>
    <row r="176" spans="1:13" s="1017" customFormat="1" ht="15.4">
      <c r="A176" s="1041" t="s">
        <v>1634</v>
      </c>
      <c r="B176" s="950" t="s">
        <v>2384</v>
      </c>
      <c r="C176" s="1007"/>
      <c r="D176" s="1017" t="s">
        <v>1603</v>
      </c>
      <c r="E176" s="1007" t="s">
        <v>1627</v>
      </c>
      <c r="F176" s="446">
        <f>IFERROR(F174/F175,0)</f>
        <v>0</v>
      </c>
      <c r="G176" s="446">
        <f>G174/G175</f>
        <v>0</v>
      </c>
      <c r="H176" s="446">
        <f>H174/H175</f>
        <v>0</v>
      </c>
      <c r="I176" s="446">
        <f>I174/I175</f>
        <v>0</v>
      </c>
      <c r="J176" s="446">
        <f>J174/J175</f>
        <v>0</v>
      </c>
      <c r="K176" s="446">
        <f>K174/K175</f>
        <v>0</v>
      </c>
      <c r="L176" s="1019"/>
      <c r="M176" s="974"/>
    </row>
    <row r="177" spans="1:13" s="1017" customFormat="1" ht="13.5" thickBot="1">
      <c r="A177" s="1251"/>
      <c r="B177" s="1071"/>
      <c r="C177" s="1038"/>
      <c r="D177" s="1038"/>
      <c r="E177" s="1038"/>
      <c r="F177" s="1038"/>
      <c r="G177" s="1231"/>
      <c r="H177" s="1038"/>
      <c r="I177" s="1231"/>
      <c r="J177" s="1038"/>
      <c r="K177" s="1038"/>
      <c r="L177" s="1039"/>
      <c r="M177" s="1007"/>
    </row>
    <row r="178" spans="1:13" s="1017" customFormat="1" ht="21.95" customHeight="1" thickBot="1">
      <c r="A178" s="1238"/>
      <c r="B178" s="950"/>
      <c r="C178" s="1007"/>
      <c r="D178" s="1007"/>
      <c r="E178" s="1007"/>
      <c r="F178" s="1007"/>
      <c r="G178" s="1210"/>
      <c r="H178" s="1007"/>
      <c r="I178" s="1210"/>
      <c r="J178" s="1007"/>
      <c r="K178" s="1007"/>
    </row>
    <row r="179" spans="1:13" s="1017" customFormat="1" ht="13.15">
      <c r="A179" s="1252"/>
      <c r="B179" s="1076"/>
      <c r="C179" s="1024"/>
      <c r="D179" s="1024"/>
      <c r="E179" s="1024"/>
      <c r="F179" s="1024"/>
      <c r="G179" s="1240"/>
      <c r="H179" s="1024"/>
      <c r="I179" s="1240"/>
      <c r="J179" s="1024"/>
      <c r="K179" s="1024"/>
      <c r="L179" s="1224"/>
    </row>
    <row r="180" spans="1:13" s="1017" customFormat="1" ht="18">
      <c r="A180" s="1241" t="s">
        <v>1640</v>
      </c>
      <c r="B180" s="950"/>
      <c r="C180" s="1007"/>
      <c r="D180" s="1007"/>
      <c r="E180" s="1007"/>
      <c r="F180" s="1007"/>
      <c r="G180" s="1007"/>
      <c r="H180" s="1007"/>
      <c r="I180" s="1007"/>
      <c r="J180" s="1007"/>
      <c r="K180" s="1007"/>
      <c r="L180" s="1226"/>
    </row>
    <row r="181" spans="1:13" s="1017" customFormat="1" ht="13.15">
      <c r="A181" s="1204"/>
      <c r="B181" s="950"/>
      <c r="C181" s="1007"/>
      <c r="E181" s="1007"/>
      <c r="F181" s="1007"/>
      <c r="G181" s="1007"/>
      <c r="H181" s="1007"/>
      <c r="I181" s="1007"/>
      <c r="J181" s="1007"/>
      <c r="K181" s="1007"/>
      <c r="L181" s="1226"/>
    </row>
    <row r="182" spans="1:13" s="1017" customFormat="1" ht="15.4">
      <c r="A182" s="1207" t="s">
        <v>1641</v>
      </c>
      <c r="B182" s="950" t="s">
        <v>2389</v>
      </c>
      <c r="C182" s="1007"/>
      <c r="D182" s="1017" t="s">
        <v>1603</v>
      </c>
      <c r="E182" s="952" t="s">
        <v>1428</v>
      </c>
      <c r="F182" s="1007"/>
      <c r="G182" s="1228">
        <f>G192</f>
        <v>0</v>
      </c>
      <c r="H182" s="1228">
        <f>H192</f>
        <v>0</v>
      </c>
      <c r="I182" s="1228">
        <f>I192</f>
        <v>0</v>
      </c>
      <c r="J182" s="1228">
        <f>J192</f>
        <v>0</v>
      </c>
      <c r="K182" s="1228" t="e">
        <f>K192</f>
        <v>#N/A</v>
      </c>
      <c r="L182" s="1019" t="s">
        <v>1642</v>
      </c>
      <c r="M182" s="974"/>
    </row>
    <row r="183" spans="1:13" s="1017" customFormat="1" ht="15.4">
      <c r="A183" s="1207" t="s">
        <v>1643</v>
      </c>
      <c r="B183" s="950" t="s">
        <v>2373</v>
      </c>
      <c r="C183" s="1007"/>
      <c r="D183" s="1017" t="s">
        <v>1603</v>
      </c>
      <c r="E183" s="952" t="s">
        <v>1428</v>
      </c>
      <c r="F183" s="1007"/>
      <c r="G183" s="1245">
        <f>MIN(1.5,MAX(G182,-1.5))</f>
        <v>0</v>
      </c>
      <c r="H183" s="1245">
        <f>MIN(1.5,MAX(H182,-1.5))</f>
        <v>0</v>
      </c>
      <c r="I183" s="1245">
        <f>MIN(1.5,MAX(I182,-1.5))</f>
        <v>0</v>
      </c>
      <c r="J183" s="1245">
        <f>MIN(1.5,MAX(J182,-1.5))</f>
        <v>0</v>
      </c>
      <c r="K183" s="1245" t="e">
        <f>MIN(1.5,MAX(K182,-1.5))</f>
        <v>#N/A</v>
      </c>
      <c r="L183" s="1019"/>
      <c r="M183" s="974"/>
    </row>
    <row r="184" spans="1:13" s="1017" customFormat="1" ht="13.15">
      <c r="A184" s="1207"/>
      <c r="B184" s="1253"/>
      <c r="C184" s="1007"/>
      <c r="D184" s="1234"/>
      <c r="E184" s="1234"/>
      <c r="F184" s="1007"/>
      <c r="G184" s="450"/>
      <c r="H184" s="450"/>
      <c r="I184" s="450"/>
      <c r="J184" s="450"/>
      <c r="K184" s="450"/>
      <c r="L184" s="1226"/>
    </row>
    <row r="185" spans="1:13" s="1017" customFormat="1">
      <c r="A185" s="1207"/>
      <c r="B185" s="950"/>
      <c r="C185" s="1007"/>
      <c r="D185" s="1007"/>
      <c r="E185" s="1007"/>
      <c r="F185" s="1007"/>
      <c r="G185" s="1007"/>
      <c r="H185" s="1007"/>
      <c r="I185" s="1007"/>
      <c r="J185" s="1007"/>
      <c r="K185" s="1007"/>
      <c r="L185" s="1226"/>
    </row>
    <row r="186" spans="1:13" s="1017" customFormat="1" ht="18">
      <c r="A186" s="1204" t="s">
        <v>1644</v>
      </c>
      <c r="B186" s="950"/>
      <c r="C186" s="1007"/>
      <c r="D186" s="1007"/>
      <c r="E186" s="1007"/>
      <c r="F186" s="1007"/>
      <c r="G186" s="1007"/>
      <c r="H186" s="1007"/>
      <c r="I186" s="1007"/>
      <c r="J186" s="1007"/>
      <c r="K186" s="1007"/>
      <c r="L186" s="1226"/>
    </row>
    <row r="187" spans="1:13" s="1017" customFormat="1" ht="13.15">
      <c r="A187" s="1204"/>
      <c r="B187" s="950"/>
      <c r="C187" s="1007"/>
      <c r="D187" s="1007"/>
      <c r="E187" s="1007"/>
      <c r="F187" s="1007"/>
      <c r="G187" s="1007"/>
      <c r="H187" s="1007"/>
      <c r="I187" s="1007"/>
      <c r="J187" s="1007"/>
      <c r="K187" s="1007"/>
      <c r="L187" s="1226"/>
    </row>
    <row r="188" spans="1:13" s="1017" customFormat="1" ht="13.15">
      <c r="A188" s="1204"/>
      <c r="B188" s="950"/>
      <c r="C188" s="1007"/>
      <c r="D188" s="1007"/>
      <c r="E188" s="1007"/>
      <c r="F188" s="1007"/>
      <c r="G188" s="1007"/>
      <c r="H188" s="1007"/>
      <c r="I188" s="1007"/>
      <c r="J188" s="1007"/>
      <c r="K188" s="1007"/>
      <c r="L188" s="1226"/>
    </row>
    <row r="189" spans="1:13" s="1017" customFormat="1" ht="15.4">
      <c r="A189" s="1207" t="s">
        <v>1645</v>
      </c>
      <c r="B189" s="950" t="s">
        <v>2390</v>
      </c>
      <c r="C189" s="1007"/>
      <c r="D189" s="1017" t="s">
        <v>1603</v>
      </c>
      <c r="E189" s="1007" t="s">
        <v>1646</v>
      </c>
      <c r="F189" s="1007"/>
      <c r="G189" s="1228">
        <f>'2.1 Revenue_Interface'!AB236</f>
        <v>0</v>
      </c>
      <c r="H189" s="1228">
        <f>'2.1 Revenue_Interface'!AC236</f>
        <v>0</v>
      </c>
      <c r="I189" s="1228">
        <f>'2.1 Revenue_Interface'!AD236</f>
        <v>0</v>
      </c>
      <c r="J189" s="1228">
        <f>'2.1 Revenue_Interface'!AE236</f>
        <v>0</v>
      </c>
      <c r="K189" s="1228">
        <f>'2.1 Revenue_Interface'!AF236</f>
        <v>0</v>
      </c>
      <c r="L189" s="1019" t="s">
        <v>1642</v>
      </c>
      <c r="M189" s="974"/>
    </row>
    <row r="190" spans="1:13" s="1017" customFormat="1" ht="15.4">
      <c r="A190" s="1207" t="s">
        <v>1647</v>
      </c>
      <c r="B190" s="950" t="s">
        <v>2391</v>
      </c>
      <c r="C190" s="1007"/>
      <c r="D190" s="1017" t="s">
        <v>1603</v>
      </c>
      <c r="E190" s="1007" t="s">
        <v>1646</v>
      </c>
      <c r="F190" s="1007"/>
      <c r="G190" s="1249">
        <v>2897</v>
      </c>
      <c r="H190" s="1249">
        <v>2897</v>
      </c>
      <c r="I190" s="1249">
        <v>2897</v>
      </c>
      <c r="J190" s="1249">
        <v>2897</v>
      </c>
      <c r="K190" s="1249">
        <v>2897</v>
      </c>
      <c r="L190" s="1019"/>
      <c r="M190" s="974"/>
    </row>
    <row r="191" spans="1:13" s="1017" customFormat="1" ht="15.4">
      <c r="A191" s="1207" t="s">
        <v>1648</v>
      </c>
      <c r="B191" s="950" t="s">
        <v>2392</v>
      </c>
      <c r="C191" s="1007"/>
      <c r="D191" s="1017" t="s">
        <v>1603</v>
      </c>
      <c r="E191" s="1007" t="s">
        <v>1649</v>
      </c>
      <c r="F191" s="1007"/>
      <c r="G191" s="1228">
        <f>G199</f>
        <v>0</v>
      </c>
      <c r="H191" s="1228">
        <f t="shared" ref="H191:K191" si="14">H199</f>
        <v>0</v>
      </c>
      <c r="I191" s="1228">
        <f t="shared" si="14"/>
        <v>0</v>
      </c>
      <c r="J191" s="1228">
        <f t="shared" si="14"/>
        <v>0</v>
      </c>
      <c r="K191" s="1228">
        <f t="shared" si="14"/>
        <v>0</v>
      </c>
      <c r="L191" s="1019" t="s">
        <v>1642</v>
      </c>
      <c r="M191" s="974"/>
    </row>
    <row r="192" spans="1:13" s="1017" customFormat="1" ht="15.4">
      <c r="A192" s="1207" t="s">
        <v>1650</v>
      </c>
      <c r="B192" s="950" t="s">
        <v>2389</v>
      </c>
      <c r="C192" s="1007"/>
      <c r="D192" s="1017" t="s">
        <v>1603</v>
      </c>
      <c r="E192" s="952" t="s">
        <v>1428</v>
      </c>
      <c r="F192" s="1007"/>
      <c r="G192" s="446">
        <f>(((G190-G189)*G191)/1000000)*VLOOKUP(H$5,'1.5 Universal Data'!$C$28:$F$39,4,FALSE)</f>
        <v>0</v>
      </c>
      <c r="H192" s="446">
        <f>(((H190-H189)*H191)/1000000)*VLOOKUP(I$5,'1.5 Universal Data'!$C$28:$F$39,4,FALSE)</f>
        <v>0</v>
      </c>
      <c r="I192" s="446">
        <f>(((I190-I189)*I191)/1000000)*VLOOKUP(J$5,'1.5 Universal Data'!$C$28:$F$39,4,FALSE)</f>
        <v>0</v>
      </c>
      <c r="J192" s="446">
        <f>(((J190-J189)*J191)/1000000)*VLOOKUP(K$5,'1.5 Universal Data'!$C$28:$F$39,4,FALSE)</f>
        <v>0</v>
      </c>
      <c r="K192" s="446" t="e">
        <f>(((K190-K189)*K191)/1000000)*VLOOKUP(L$5,'1.5 Universal Data'!$C$28:$F$39,4,FALSE)</f>
        <v>#N/A</v>
      </c>
      <c r="L192" s="1019"/>
      <c r="M192" s="974"/>
    </row>
    <row r="193" spans="1:13" s="1017" customFormat="1" ht="13.15">
      <c r="A193" s="1041"/>
      <c r="B193" s="950"/>
      <c r="C193" s="1007"/>
      <c r="D193" s="1007"/>
      <c r="E193" s="1007"/>
      <c r="F193" s="1007"/>
      <c r="G193" s="447"/>
      <c r="H193" s="447"/>
      <c r="I193" s="447"/>
      <c r="J193" s="447"/>
      <c r="K193" s="447"/>
      <c r="L193" s="1226"/>
    </row>
    <row r="194" spans="1:13" s="1017" customFormat="1">
      <c r="A194" s="1207"/>
      <c r="B194" s="950"/>
      <c r="C194" s="1007"/>
      <c r="D194" s="1007"/>
      <c r="E194" s="1007"/>
      <c r="F194" s="1007"/>
      <c r="G194" s="1210"/>
      <c r="H194" s="1007"/>
      <c r="I194" s="1210"/>
      <c r="J194" s="1007"/>
      <c r="K194" s="1007"/>
      <c r="L194" s="1226"/>
    </row>
    <row r="195" spans="1:13" s="1017" customFormat="1" ht="18">
      <c r="A195" s="1204" t="s">
        <v>1651</v>
      </c>
      <c r="B195" s="950"/>
      <c r="C195" s="1007"/>
      <c r="D195" s="1007"/>
      <c r="E195" s="1007"/>
      <c r="F195" s="1007"/>
      <c r="G195" s="1210"/>
      <c r="H195" s="1007"/>
      <c r="I195" s="1210"/>
      <c r="J195" s="1007"/>
      <c r="K195" s="1007"/>
      <c r="L195" s="1226"/>
    </row>
    <row r="196" spans="1:13" s="1017" customFormat="1">
      <c r="A196" s="1207"/>
      <c r="B196" s="950"/>
      <c r="C196" s="1007"/>
      <c r="E196" s="1007"/>
      <c r="F196" s="1007"/>
      <c r="G196" s="1210"/>
      <c r="H196" s="1007"/>
      <c r="I196" s="1210"/>
      <c r="J196" s="1007"/>
      <c r="K196" s="1007"/>
      <c r="L196" s="1226"/>
    </row>
    <row r="197" spans="1:13" s="1017" customFormat="1" ht="15.4">
      <c r="A197" s="1207" t="s">
        <v>1652</v>
      </c>
      <c r="B197" s="950" t="s">
        <v>2393</v>
      </c>
      <c r="C197" s="1007"/>
      <c r="D197" s="1017" t="s">
        <v>1603</v>
      </c>
      <c r="E197" s="1007"/>
      <c r="F197" s="1007"/>
      <c r="G197" s="1249">
        <v>25</v>
      </c>
      <c r="H197" s="1249">
        <v>25</v>
      </c>
      <c r="I197" s="1249">
        <v>25</v>
      </c>
      <c r="J197" s="1249">
        <v>25</v>
      </c>
      <c r="K197" s="1249">
        <v>25</v>
      </c>
      <c r="L197" s="1226"/>
    </row>
    <row r="198" spans="1:13" s="1017" customFormat="1" ht="15.4">
      <c r="A198" s="1207" t="s">
        <v>1653</v>
      </c>
      <c r="B198" s="950" t="s">
        <v>2394</v>
      </c>
      <c r="C198" s="1007"/>
      <c r="D198" s="1017" t="s">
        <v>1603</v>
      </c>
      <c r="E198" s="1007" t="s">
        <v>1654</v>
      </c>
      <c r="F198" s="1007"/>
      <c r="G198" s="1228">
        <f>G207</f>
        <v>0</v>
      </c>
      <c r="H198" s="1228">
        <f t="shared" ref="H198:K198" si="15">H207</f>
        <v>0</v>
      </c>
      <c r="I198" s="1228">
        <f t="shared" si="15"/>
        <v>0</v>
      </c>
      <c r="J198" s="1228">
        <f t="shared" si="15"/>
        <v>0</v>
      </c>
      <c r="K198" s="1228">
        <f t="shared" si="15"/>
        <v>0</v>
      </c>
      <c r="L198" s="1226"/>
    </row>
    <row r="199" spans="1:13" s="1017" customFormat="1" ht="15.4">
      <c r="A199" s="1207" t="s">
        <v>1655</v>
      </c>
      <c r="B199" s="950" t="s">
        <v>2395</v>
      </c>
      <c r="C199" s="1007"/>
      <c r="D199" s="1017" t="s">
        <v>1603</v>
      </c>
      <c r="E199" s="1007" t="s">
        <v>1649</v>
      </c>
      <c r="F199" s="1007"/>
      <c r="G199" s="446">
        <f>G197*G198</f>
        <v>0</v>
      </c>
      <c r="H199" s="446">
        <f>H197*H198</f>
        <v>0</v>
      </c>
      <c r="I199" s="446">
        <f>I197*I198</f>
        <v>0</v>
      </c>
      <c r="J199" s="446">
        <f>J197*J198</f>
        <v>0</v>
      </c>
      <c r="K199" s="446">
        <f>K197*K198</f>
        <v>0</v>
      </c>
      <c r="L199" s="1226"/>
    </row>
    <row r="200" spans="1:13" s="1017" customFormat="1">
      <c r="A200" s="1207"/>
      <c r="B200" s="950"/>
      <c r="C200" s="1007"/>
      <c r="D200" s="1007"/>
      <c r="E200" s="1007"/>
      <c r="F200" s="1007"/>
      <c r="G200" s="1210"/>
      <c r="H200" s="1007"/>
      <c r="I200" s="1210"/>
      <c r="J200" s="1007"/>
      <c r="K200" s="1007"/>
      <c r="L200" s="1226"/>
    </row>
    <row r="201" spans="1:13" s="1017" customFormat="1">
      <c r="A201" s="1207"/>
      <c r="B201" s="950"/>
      <c r="C201" s="1007"/>
      <c r="D201" s="1007"/>
      <c r="E201" s="1007"/>
      <c r="F201" s="1007"/>
      <c r="G201" s="1210"/>
      <c r="H201" s="1007"/>
      <c r="I201" s="1210"/>
      <c r="J201" s="1007"/>
      <c r="K201" s="1007"/>
      <c r="L201" s="1226"/>
    </row>
    <row r="202" spans="1:13" s="1017" customFormat="1" ht="18">
      <c r="A202" s="1204" t="s">
        <v>1656</v>
      </c>
      <c r="B202" s="950"/>
      <c r="C202" s="1007"/>
      <c r="D202" s="1007"/>
      <c r="E202" s="1007"/>
      <c r="F202" s="1007"/>
      <c r="G202" s="1210"/>
      <c r="H202" s="1007"/>
      <c r="I202" s="1210"/>
      <c r="J202" s="1007"/>
      <c r="K202" s="1007"/>
      <c r="L202" s="1226"/>
    </row>
    <row r="203" spans="1:13" s="1017" customFormat="1">
      <c r="A203" s="1207"/>
      <c r="B203" s="950"/>
      <c r="C203" s="1007"/>
      <c r="E203" s="1007"/>
      <c r="F203" s="1007"/>
      <c r="G203" s="1210"/>
      <c r="H203" s="1007"/>
      <c r="I203" s="1210"/>
      <c r="J203" s="1007"/>
      <c r="K203" s="1007"/>
      <c r="L203" s="1226"/>
    </row>
    <row r="204" spans="1:13" s="1017" customFormat="1" ht="23.1" customHeight="1">
      <c r="A204" s="1207" t="s">
        <v>2396</v>
      </c>
      <c r="B204" s="950"/>
      <c r="C204" s="1007"/>
      <c r="D204" s="1017" t="s">
        <v>1603</v>
      </c>
      <c r="E204" s="1007"/>
      <c r="F204" s="1007"/>
      <c r="G204" s="1228">
        <f>'2.1 Revenue_Interface'!AB238</f>
        <v>0</v>
      </c>
      <c r="H204" s="1228">
        <f>'2.1 Revenue_Interface'!AC238</f>
        <v>0</v>
      </c>
      <c r="I204" s="1228">
        <f>'2.1 Revenue_Interface'!AD238</f>
        <v>0</v>
      </c>
      <c r="J204" s="1228">
        <f>'2.1 Revenue_Interface'!AE238</f>
        <v>0</v>
      </c>
      <c r="K204" s="1228">
        <f>'2.1 Revenue_Interface'!AF238</f>
        <v>0</v>
      </c>
      <c r="L204" s="1226"/>
    </row>
    <row r="205" spans="1:13" s="1017" customFormat="1" ht="15.4">
      <c r="A205" s="1207" t="s">
        <v>1657</v>
      </c>
      <c r="B205" s="950" t="s">
        <v>2397</v>
      </c>
      <c r="C205" s="1007"/>
      <c r="D205" s="1017" t="s">
        <v>1603</v>
      </c>
      <c r="E205" s="1007" t="s">
        <v>1654</v>
      </c>
      <c r="F205" s="1007"/>
      <c r="G205" s="1228">
        <f>'2.1 Revenue_Interface'!AB239</f>
        <v>0</v>
      </c>
      <c r="H205" s="1228">
        <f>'2.1 Revenue_Interface'!AC239</f>
        <v>0</v>
      </c>
      <c r="I205" s="1228">
        <f>'2.1 Revenue_Interface'!AD239</f>
        <v>0</v>
      </c>
      <c r="J205" s="1228">
        <f>'2.1 Revenue_Interface'!AE239</f>
        <v>0</v>
      </c>
      <c r="K205" s="1228">
        <f>'2.1 Revenue_Interface'!AF239</f>
        <v>0</v>
      </c>
      <c r="L205" s="1019" t="s">
        <v>1658</v>
      </c>
      <c r="M205" s="974"/>
    </row>
    <row r="206" spans="1:13" s="1017" customFormat="1" ht="15.4">
      <c r="A206" s="1207" t="s">
        <v>1659</v>
      </c>
      <c r="B206" s="950" t="s">
        <v>2398</v>
      </c>
      <c r="C206" s="1007"/>
      <c r="D206" s="1017" t="s">
        <v>1603</v>
      </c>
      <c r="E206" s="1007"/>
      <c r="F206" s="1007"/>
      <c r="G206" s="1228">
        <f>'2.1 Revenue_Interface'!AB240</f>
        <v>0</v>
      </c>
      <c r="H206" s="1228">
        <f>'2.1 Revenue_Interface'!AC240</f>
        <v>0</v>
      </c>
      <c r="I206" s="1228">
        <f>'2.1 Revenue_Interface'!AD240</f>
        <v>0</v>
      </c>
      <c r="J206" s="1228">
        <f>'2.1 Revenue_Interface'!AE240</f>
        <v>0</v>
      </c>
      <c r="K206" s="1228">
        <f>'2.1 Revenue_Interface'!AF240</f>
        <v>0</v>
      </c>
      <c r="L206" s="1236" t="s">
        <v>1660</v>
      </c>
      <c r="M206" s="1237"/>
    </row>
    <row r="207" spans="1:13" s="1017" customFormat="1" ht="15.4">
      <c r="A207" s="1207" t="s">
        <v>1653</v>
      </c>
      <c r="B207" s="950" t="s">
        <v>2394</v>
      </c>
      <c r="C207" s="1007"/>
      <c r="D207" s="1017" t="s">
        <v>1603</v>
      </c>
      <c r="E207" s="952" t="s">
        <v>1654</v>
      </c>
      <c r="F207" s="1007"/>
      <c r="G207" s="446">
        <f>G204*((G205*G206)/12)</f>
        <v>0</v>
      </c>
      <c r="H207" s="446">
        <f t="shared" ref="H207:K207" si="16">H204*((H205*H206)/12)</f>
        <v>0</v>
      </c>
      <c r="I207" s="446">
        <f t="shared" si="16"/>
        <v>0</v>
      </c>
      <c r="J207" s="446">
        <f t="shared" si="16"/>
        <v>0</v>
      </c>
      <c r="K207" s="446">
        <f t="shared" si="16"/>
        <v>0</v>
      </c>
      <c r="L207" s="1246"/>
      <c r="M207" s="1247"/>
    </row>
    <row r="208" spans="1:13" s="1017" customFormat="1">
      <c r="A208" s="1207"/>
      <c r="B208" s="950"/>
      <c r="C208" s="1007"/>
      <c r="D208" s="1007"/>
      <c r="E208" s="1007"/>
      <c r="F208" s="1007"/>
      <c r="G208" s="1210"/>
      <c r="H208" s="1007"/>
      <c r="I208" s="1210"/>
      <c r="J208" s="1007"/>
      <c r="K208" s="1007"/>
      <c r="L208" s="1226"/>
    </row>
    <row r="209" spans="1:12" s="1017" customFormat="1" ht="13.15" thickBot="1">
      <c r="A209" s="1230"/>
      <c r="B209" s="1071"/>
      <c r="C209" s="1038"/>
      <c r="D209" s="1038"/>
      <c r="E209" s="1038"/>
      <c r="F209" s="1038"/>
      <c r="G209" s="1038"/>
      <c r="H209" s="1038"/>
      <c r="I209" s="1038"/>
      <c r="J209" s="1038"/>
      <c r="K209" s="1038"/>
      <c r="L209" s="1233"/>
    </row>
    <row r="210" spans="1:12" s="1017" customFormat="1" ht="23.45" customHeight="1" thickBot="1">
      <c r="A210" s="939"/>
      <c r="B210" s="950"/>
      <c r="C210" s="1007"/>
      <c r="D210" s="1007"/>
      <c r="E210" s="1007"/>
      <c r="F210" s="1007"/>
      <c r="G210" s="1007"/>
      <c r="H210" s="1007"/>
      <c r="I210" s="1007"/>
      <c r="J210" s="1007"/>
      <c r="K210" s="1007"/>
    </row>
    <row r="211" spans="1:12" s="1017" customFormat="1" ht="15.4">
      <c r="A211" s="1235" t="s">
        <v>2399</v>
      </c>
      <c r="B211" s="1076"/>
      <c r="C211" s="1024"/>
      <c r="D211" s="1024"/>
      <c r="E211" s="1024"/>
      <c r="F211" s="1024"/>
      <c r="G211" s="1024"/>
      <c r="H211" s="1024"/>
      <c r="I211" s="1024"/>
      <c r="J211" s="1240"/>
      <c r="K211" s="1024"/>
      <c r="L211" s="1224"/>
    </row>
    <row r="212" spans="1:12" s="1017" customFormat="1" ht="13.15">
      <c r="A212" s="1204"/>
      <c r="B212" s="950"/>
      <c r="C212" s="1007"/>
      <c r="D212" s="1007"/>
      <c r="E212" s="1007"/>
      <c r="F212" s="1007"/>
      <c r="G212" s="1007"/>
      <c r="H212" s="1007"/>
      <c r="I212" s="1007"/>
      <c r="J212" s="1007"/>
      <c r="K212" s="1007"/>
      <c r="L212" s="1226"/>
    </row>
    <row r="213" spans="1:12" s="1017" customFormat="1" ht="15.4">
      <c r="A213" s="1207" t="s">
        <v>1661</v>
      </c>
      <c r="B213" s="950" t="s">
        <v>2400</v>
      </c>
      <c r="C213" s="1007"/>
      <c r="D213" s="1017" t="s">
        <v>1603</v>
      </c>
      <c r="E213" s="1007" t="s">
        <v>2</v>
      </c>
      <c r="F213" s="1007"/>
      <c r="G213" s="1228">
        <f>G235</f>
        <v>0</v>
      </c>
      <c r="H213" s="1228">
        <f>H235</f>
        <v>0</v>
      </c>
      <c r="I213" s="1228">
        <f>I235</f>
        <v>0</v>
      </c>
      <c r="J213" s="1228">
        <f>J235</f>
        <v>0</v>
      </c>
      <c r="K213" s="1228">
        <f>K235</f>
        <v>0</v>
      </c>
      <c r="L213" s="1226"/>
    </row>
    <row r="214" spans="1:12" s="1017" customFormat="1" ht="15.4">
      <c r="A214" s="1207" t="s">
        <v>1662</v>
      </c>
      <c r="B214" s="950" t="s">
        <v>2401</v>
      </c>
      <c r="C214" s="1007"/>
      <c r="D214" s="1017" t="s">
        <v>1603</v>
      </c>
      <c r="E214" s="1007" t="s">
        <v>2</v>
      </c>
      <c r="F214" s="1007"/>
      <c r="G214" s="1228">
        <f>G252</f>
        <v>0</v>
      </c>
      <c r="H214" s="1228">
        <f>H252</f>
        <v>0</v>
      </c>
      <c r="I214" s="1228">
        <f>I252</f>
        <v>0</v>
      </c>
      <c r="J214" s="1228">
        <f>J252</f>
        <v>0</v>
      </c>
      <c r="K214" s="1228">
        <f>K252</f>
        <v>0</v>
      </c>
      <c r="L214" s="1226"/>
    </row>
    <row r="215" spans="1:12" s="1017" customFormat="1" ht="15.4">
      <c r="A215" s="1207" t="s">
        <v>1663</v>
      </c>
      <c r="B215" s="950" t="s">
        <v>2402</v>
      </c>
      <c r="C215" s="1007"/>
      <c r="D215" s="1017" t="s">
        <v>1603</v>
      </c>
      <c r="E215" s="1007" t="s">
        <v>2</v>
      </c>
      <c r="F215" s="1007"/>
      <c r="G215" s="1228">
        <f>G267</f>
        <v>0</v>
      </c>
      <c r="H215" s="1228">
        <f>H267</f>
        <v>0</v>
      </c>
      <c r="I215" s="1228">
        <f>I267</f>
        <v>0</v>
      </c>
      <c r="J215" s="1228">
        <f>J267</f>
        <v>0</v>
      </c>
      <c r="K215" s="1228">
        <f>K267</f>
        <v>0</v>
      </c>
      <c r="L215" s="1226"/>
    </row>
    <row r="216" spans="1:12" s="1017" customFormat="1" ht="15.4">
      <c r="A216" s="1207" t="s">
        <v>1664</v>
      </c>
      <c r="B216" s="950" t="s">
        <v>2021</v>
      </c>
      <c r="C216" s="1007"/>
      <c r="D216" s="1017" t="s">
        <v>1603</v>
      </c>
      <c r="E216" s="952" t="s">
        <v>1428</v>
      </c>
      <c r="F216" s="1007"/>
      <c r="G216" s="446">
        <f>(G213+G214+G215)*VLOOKUP(H$5,'1.5 Universal Data'!$C$28:$F$39,4,FALSE)</f>
        <v>0</v>
      </c>
      <c r="H216" s="446">
        <f>(H213+H214+H215)*VLOOKUP(I$5,'1.5 Universal Data'!$C$28:$F$39,4,FALSE)</f>
        <v>0</v>
      </c>
      <c r="I216" s="446">
        <f>(I213+I214+I215)*VLOOKUP(J$5,'1.5 Universal Data'!$C$28:$F$39,4,FALSE)</f>
        <v>0</v>
      </c>
      <c r="J216" s="446">
        <f>(J213+J214+J215)*VLOOKUP(K$5,'1.5 Universal Data'!$C$28:$F$39,4,FALSE)</f>
        <v>0</v>
      </c>
      <c r="K216" s="446" t="e">
        <f>(K213+K214+K215)*VLOOKUP(L$5,'1.5 Universal Data'!$C$28:$F$39,4,FALSE)</f>
        <v>#N/A</v>
      </c>
      <c r="L216" s="1226"/>
    </row>
    <row r="217" spans="1:12" s="1017" customFormat="1">
      <c r="A217" s="1207"/>
      <c r="B217" s="950"/>
      <c r="C217" s="1007"/>
      <c r="D217" s="1007"/>
      <c r="E217" s="1007"/>
      <c r="F217" s="1007"/>
      <c r="G217" s="1210"/>
      <c r="H217" s="1007"/>
      <c r="I217" s="1210"/>
      <c r="J217" s="1007"/>
      <c r="K217" s="1007"/>
      <c r="L217" s="1226"/>
    </row>
    <row r="218" spans="1:12" s="1017" customFormat="1">
      <c r="A218" s="1207"/>
      <c r="B218" s="950"/>
      <c r="C218" s="1007"/>
      <c r="D218" s="1007"/>
      <c r="E218" s="1007"/>
      <c r="F218" s="1007"/>
      <c r="G218" s="1210"/>
      <c r="H218" s="1007"/>
      <c r="I218" s="1210"/>
      <c r="J218" s="1007"/>
      <c r="K218" s="1007"/>
      <c r="L218" s="1226"/>
    </row>
    <row r="219" spans="1:12" s="1017" customFormat="1" ht="14.65">
      <c r="A219" s="1204" t="s">
        <v>2403</v>
      </c>
      <c r="B219" s="950"/>
      <c r="C219" s="1007"/>
      <c r="D219" s="1007"/>
      <c r="E219" s="1007"/>
      <c r="F219" s="1007"/>
      <c r="G219" s="1210"/>
      <c r="H219" s="1007"/>
      <c r="I219" s="1210"/>
      <c r="J219" s="1007"/>
      <c r="K219" s="1007"/>
      <c r="L219" s="1226"/>
    </row>
    <row r="220" spans="1:12" s="1017" customFormat="1" ht="13.15">
      <c r="A220" s="1204"/>
      <c r="B220" s="950"/>
      <c r="C220" s="1007"/>
      <c r="D220" s="1007"/>
      <c r="E220" s="1007"/>
      <c r="F220" s="1007"/>
      <c r="G220" s="1210"/>
      <c r="H220" s="1007"/>
      <c r="I220" s="1210"/>
      <c r="J220" s="1007"/>
      <c r="K220" s="1007"/>
      <c r="L220" s="1226"/>
    </row>
    <row r="221" spans="1:12" s="1017" customFormat="1">
      <c r="A221" s="1207"/>
      <c r="B221" s="950"/>
      <c r="C221" s="1007"/>
      <c r="D221" s="1007"/>
      <c r="E221" s="1007"/>
      <c r="F221" s="1007"/>
      <c r="G221" s="1210"/>
      <c r="H221" s="1007"/>
      <c r="I221" s="1210"/>
      <c r="J221" s="1007"/>
      <c r="K221" s="1007"/>
      <c r="L221" s="1226"/>
    </row>
    <row r="222" spans="1:12" s="1017" customFormat="1">
      <c r="A222" s="1207"/>
      <c r="B222" s="950"/>
      <c r="C222" s="1007"/>
      <c r="D222" s="1007"/>
      <c r="E222" s="1007"/>
      <c r="F222" s="1007"/>
      <c r="G222" s="1210"/>
      <c r="H222" s="1007"/>
      <c r="I222" s="1210"/>
      <c r="J222" s="1007"/>
      <c r="K222" s="1007"/>
      <c r="L222" s="1226"/>
    </row>
    <row r="223" spans="1:12" s="1017" customFormat="1">
      <c r="A223" s="1207"/>
      <c r="B223" s="950"/>
      <c r="C223" s="1007"/>
      <c r="D223" s="1007"/>
      <c r="E223" s="1007"/>
      <c r="F223" s="1007"/>
      <c r="G223" s="1210"/>
      <c r="H223" s="1007"/>
      <c r="I223" s="1210"/>
      <c r="J223" s="1007"/>
      <c r="K223" s="1007"/>
      <c r="L223" s="1226"/>
    </row>
    <row r="224" spans="1:12" s="1017" customFormat="1">
      <c r="A224" s="1207"/>
      <c r="B224" s="950"/>
      <c r="C224" s="1007"/>
      <c r="D224" s="1007"/>
      <c r="E224" s="1007"/>
      <c r="F224" s="1007"/>
      <c r="G224" s="1210"/>
      <c r="H224" s="1007"/>
      <c r="I224" s="1210"/>
      <c r="J224" s="1007"/>
      <c r="K224" s="1007"/>
      <c r="L224" s="1226"/>
    </row>
    <row r="225" spans="1:13" s="1017" customFormat="1">
      <c r="A225" s="1207"/>
      <c r="B225" s="950"/>
      <c r="C225" s="1007"/>
      <c r="D225" s="1007"/>
      <c r="E225" s="1007"/>
      <c r="F225" s="1007"/>
      <c r="G225" s="1210"/>
      <c r="H225" s="1007"/>
      <c r="I225" s="1210"/>
      <c r="J225" s="1007"/>
      <c r="K225" s="1007"/>
      <c r="L225" s="1226"/>
    </row>
    <row r="226" spans="1:13" s="1017" customFormat="1">
      <c r="A226" s="1207"/>
      <c r="B226" s="950"/>
      <c r="C226" s="1007"/>
      <c r="D226" s="1007"/>
      <c r="E226" s="1007"/>
      <c r="F226" s="1007"/>
      <c r="G226" s="1210"/>
      <c r="H226" s="1007"/>
      <c r="I226" s="1210"/>
      <c r="J226" s="939"/>
      <c r="K226" s="1007"/>
      <c r="L226" s="1226"/>
    </row>
    <row r="227" spans="1:13" s="1017" customFormat="1">
      <c r="A227" s="1225"/>
      <c r="B227" s="941"/>
      <c r="F227" s="1007"/>
      <c r="G227" s="1007"/>
      <c r="H227" s="1007"/>
      <c r="I227" s="1007"/>
      <c r="J227" s="1210"/>
      <c r="K227" s="1007"/>
      <c r="L227" s="1226"/>
    </row>
    <row r="228" spans="1:13" s="1017" customFormat="1">
      <c r="A228" s="1225"/>
      <c r="B228" s="941"/>
      <c r="F228" s="1007"/>
      <c r="G228" s="1007"/>
      <c r="H228" s="1007"/>
      <c r="I228" s="1007"/>
      <c r="J228" s="1007"/>
      <c r="K228" s="1007"/>
      <c r="L228" s="1226"/>
    </row>
    <row r="229" spans="1:13" s="1017" customFormat="1">
      <c r="A229" s="1041" t="s">
        <v>2404</v>
      </c>
      <c r="B229" s="950"/>
      <c r="C229" s="1007"/>
      <c r="D229" s="1007"/>
      <c r="E229" s="1007" t="s">
        <v>2405</v>
      </c>
      <c r="F229" s="1007"/>
      <c r="G229" s="1228">
        <f>'2.1 Revenue_Interface'!AB244</f>
        <v>0</v>
      </c>
      <c r="H229" s="1228">
        <f>'2.1 Revenue_Interface'!AC244</f>
        <v>0</v>
      </c>
      <c r="I229" s="1228">
        <f>'2.1 Revenue_Interface'!AD244</f>
        <v>0</v>
      </c>
      <c r="J229" s="1228">
        <f>'2.1 Revenue_Interface'!AE244</f>
        <v>0</v>
      </c>
      <c r="K229" s="1228">
        <f>'2.1 Revenue_Interface'!AF244</f>
        <v>0</v>
      </c>
      <c r="L229" s="1226"/>
    </row>
    <row r="230" spans="1:13" s="1017" customFormat="1">
      <c r="A230" s="1041" t="s">
        <v>2406</v>
      </c>
      <c r="B230" s="950"/>
      <c r="C230" s="1007"/>
      <c r="D230" s="1007"/>
      <c r="E230" s="1007"/>
      <c r="F230" s="1007"/>
      <c r="G230" s="1254">
        <v>7.2499999999999995E-2</v>
      </c>
      <c r="H230" s="1254">
        <v>7.2499999999999995E-2</v>
      </c>
      <c r="I230" s="1254">
        <v>7.2499999999999995E-2</v>
      </c>
      <c r="J230" s="1254">
        <v>7.2499999999999995E-2</v>
      </c>
      <c r="K230" s="1254">
        <v>7.2499999999999995E-2</v>
      </c>
      <c r="L230" s="1226"/>
    </row>
    <row r="231" spans="1:13" s="1017" customFormat="1" ht="15.4">
      <c r="A231" s="1207" t="s">
        <v>1665</v>
      </c>
      <c r="B231" s="950" t="s">
        <v>2407</v>
      </c>
      <c r="C231" s="1007"/>
      <c r="D231" s="1007"/>
      <c r="E231" s="1007" t="s">
        <v>1666</v>
      </c>
      <c r="F231" s="1007"/>
      <c r="G231" s="1043">
        <f>G229*G230</f>
        <v>0</v>
      </c>
      <c r="H231" s="1043">
        <f t="shared" ref="H231:K231" si="17">H229*H230</f>
        <v>0</v>
      </c>
      <c r="I231" s="1043">
        <f t="shared" si="17"/>
        <v>0</v>
      </c>
      <c r="J231" s="1043">
        <f t="shared" si="17"/>
        <v>0</v>
      </c>
      <c r="K231" s="1043">
        <f t="shared" si="17"/>
        <v>0</v>
      </c>
      <c r="L231" s="1236" t="s">
        <v>1667</v>
      </c>
      <c r="M231" s="1237"/>
    </row>
    <row r="232" spans="1:13" s="1017" customFormat="1" ht="15.4">
      <c r="A232" s="1207" t="s">
        <v>1668</v>
      </c>
      <c r="B232" s="950" t="s">
        <v>2408</v>
      </c>
      <c r="C232" s="1007"/>
      <c r="D232" s="1007"/>
      <c r="E232" s="1007" t="s">
        <v>1666</v>
      </c>
      <c r="F232" s="1007"/>
      <c r="G232" s="1228">
        <f>'2.1 Revenue_Interface'!AB245</f>
        <v>0</v>
      </c>
      <c r="H232" s="1228">
        <f>'2.1 Revenue_Interface'!AC245</f>
        <v>0</v>
      </c>
      <c r="I232" s="1228">
        <f>'2.1 Revenue_Interface'!AD245</f>
        <v>0</v>
      </c>
      <c r="J232" s="1228">
        <f>'2.1 Revenue_Interface'!AE245</f>
        <v>0</v>
      </c>
      <c r="K232" s="1228">
        <f>'2.1 Revenue_Interface'!AF245</f>
        <v>0</v>
      </c>
      <c r="L232" s="1019" t="s">
        <v>1669</v>
      </c>
      <c r="M232" s="974"/>
    </row>
    <row r="233" spans="1:13" s="1017" customFormat="1" ht="15.4">
      <c r="A233" s="1207" t="s">
        <v>1670</v>
      </c>
      <c r="B233" s="950" t="s">
        <v>2409</v>
      </c>
      <c r="C233" s="1007"/>
      <c r="D233" s="1007"/>
      <c r="E233" s="1007" t="s">
        <v>1666</v>
      </c>
      <c r="F233" s="1007"/>
      <c r="G233" s="446">
        <f>G231-G232</f>
        <v>0</v>
      </c>
      <c r="H233" s="446">
        <f>H231-H232</f>
        <v>0</v>
      </c>
      <c r="I233" s="446">
        <f>I231-I232</f>
        <v>0</v>
      </c>
      <c r="J233" s="446">
        <f>J231-J232</f>
        <v>0</v>
      </c>
      <c r="K233" s="446">
        <f>K231-K232</f>
        <v>0</v>
      </c>
      <c r="L233" s="1019"/>
      <c r="M233" s="974"/>
    </row>
    <row r="234" spans="1:13">
      <c r="A234" s="1041"/>
      <c r="L234" s="1028"/>
    </row>
    <row r="235" spans="1:13" ht="15.4">
      <c r="A235" s="1207" t="s">
        <v>1671</v>
      </c>
      <c r="B235" s="950" t="s">
        <v>2400</v>
      </c>
      <c r="E235" s="1007" t="s">
        <v>2</v>
      </c>
      <c r="G235" s="1043">
        <f>IF(G232&lt;=G231,0,MAX((G233*0.05),-0.5))</f>
        <v>0</v>
      </c>
      <c r="H235" s="1043">
        <f>IF(H232&lt;=H231,0,MAX((H233*0.05),-0.5))</f>
        <v>0</v>
      </c>
      <c r="I235" s="1043">
        <f>IF(I232&lt;=I231,0,MAX((I233*0.05),-0.5))</f>
        <v>0</v>
      </c>
      <c r="J235" s="1043">
        <f>IF(J232&lt;=J231,0,MAX((J233*0.05),-0.5))</f>
        <v>0</v>
      </c>
      <c r="K235" s="1043">
        <f>IF(K232&lt;=K231,0,MAX((K233*0.05),-0.5))</f>
        <v>0</v>
      </c>
      <c r="L235" s="1019" t="s">
        <v>1669</v>
      </c>
      <c r="M235" s="974"/>
    </row>
    <row r="236" spans="1:13">
      <c r="A236" s="1207"/>
      <c r="L236" s="1028"/>
    </row>
    <row r="237" spans="1:13" ht="14.65">
      <c r="A237" s="1204" t="s">
        <v>2410</v>
      </c>
      <c r="G237" s="1210"/>
      <c r="I237" s="1210"/>
      <c r="L237" s="1028"/>
    </row>
    <row r="238" spans="1:13" ht="13.15">
      <c r="A238" s="1204"/>
      <c r="G238" s="1210"/>
      <c r="I238" s="1210"/>
      <c r="L238" s="1028"/>
    </row>
    <row r="239" spans="1:13">
      <c r="A239" s="1207"/>
      <c r="G239" s="1210"/>
      <c r="I239" s="1210"/>
      <c r="L239" s="1028"/>
    </row>
    <row r="240" spans="1:13">
      <c r="A240" s="1207"/>
      <c r="G240" s="1210"/>
      <c r="I240" s="1210"/>
      <c r="L240" s="1028"/>
    </row>
    <row r="241" spans="1:13">
      <c r="A241" s="1207"/>
      <c r="G241" s="1210"/>
      <c r="I241" s="1210"/>
      <c r="L241" s="1028"/>
    </row>
    <row r="242" spans="1:13">
      <c r="A242" s="1207"/>
      <c r="G242" s="1210"/>
      <c r="I242" s="1210"/>
      <c r="L242" s="1028"/>
    </row>
    <row r="243" spans="1:13">
      <c r="A243" s="1207"/>
      <c r="G243" s="1210"/>
      <c r="I243" s="1210"/>
      <c r="L243" s="1028"/>
    </row>
    <row r="244" spans="1:13">
      <c r="A244" s="1207"/>
      <c r="G244" s="1210"/>
      <c r="I244" s="1210"/>
      <c r="L244" s="1028"/>
    </row>
    <row r="245" spans="1:13">
      <c r="A245" s="1041"/>
      <c r="L245" s="1028"/>
    </row>
    <row r="246" spans="1:13" ht="15.4">
      <c r="A246" s="1041" t="s">
        <v>2411</v>
      </c>
      <c r="B246" s="950" t="s">
        <v>2412</v>
      </c>
      <c r="E246" s="1007" t="s">
        <v>1666</v>
      </c>
      <c r="G246" s="1228">
        <f>'2.1 Revenue_Interface'!AB248</f>
        <v>0</v>
      </c>
      <c r="H246" s="1228">
        <f>'2.1 Revenue_Interface'!AC248</f>
        <v>0</v>
      </c>
      <c r="I246" s="1228">
        <f>'2.1 Revenue_Interface'!AD248</f>
        <v>0</v>
      </c>
      <c r="J246" s="1228">
        <f>'2.1 Revenue_Interface'!AE248</f>
        <v>0</v>
      </c>
      <c r="K246" s="1228">
        <f>'2.1 Revenue_Interface'!AF248</f>
        <v>0</v>
      </c>
      <c r="L246" s="1028"/>
    </row>
    <row r="247" spans="1:13">
      <c r="A247" s="1041" t="s">
        <v>2406</v>
      </c>
      <c r="G247" s="1254">
        <v>7.4999999999999997E-2</v>
      </c>
      <c r="H247" s="1254">
        <v>7.4999999999999997E-2</v>
      </c>
      <c r="I247" s="1254">
        <v>7.4999999999999997E-2</v>
      </c>
      <c r="J247" s="1254">
        <v>7.4999999999999997E-2</v>
      </c>
      <c r="K247" s="1254">
        <v>7.4999999999999997E-2</v>
      </c>
      <c r="L247" s="1028"/>
    </row>
    <row r="248" spans="1:13" ht="15.4">
      <c r="A248" s="1207" t="s">
        <v>1672</v>
      </c>
      <c r="B248" s="950" t="s">
        <v>2413</v>
      </c>
      <c r="E248" s="1007" t="s">
        <v>1666</v>
      </c>
      <c r="G248" s="1043">
        <f>G246*G247</f>
        <v>0</v>
      </c>
      <c r="H248" s="1043">
        <f t="shared" ref="H248:K248" si="18">H246*H247</f>
        <v>0</v>
      </c>
      <c r="I248" s="1043">
        <f t="shared" si="18"/>
        <v>0</v>
      </c>
      <c r="J248" s="1043">
        <f t="shared" si="18"/>
        <v>0</v>
      </c>
      <c r="K248" s="1043">
        <f t="shared" si="18"/>
        <v>0</v>
      </c>
      <c r="L248" s="1019" t="s">
        <v>1673</v>
      </c>
      <c r="M248" s="974"/>
    </row>
    <row r="249" spans="1:13" ht="15.4">
      <c r="A249" s="1207" t="s">
        <v>1674</v>
      </c>
      <c r="B249" s="950" t="s">
        <v>2414</v>
      </c>
      <c r="E249" s="1007" t="s">
        <v>1666</v>
      </c>
      <c r="G249" s="1228">
        <f>'2.1 Revenue_Interface'!AB249</f>
        <v>0</v>
      </c>
      <c r="H249" s="1228">
        <f>'2.1 Revenue_Interface'!AC249</f>
        <v>0</v>
      </c>
      <c r="I249" s="1228">
        <f>'2.1 Revenue_Interface'!AD249</f>
        <v>0</v>
      </c>
      <c r="J249" s="1228">
        <f>'2.1 Revenue_Interface'!AE249</f>
        <v>0</v>
      </c>
      <c r="K249" s="1228">
        <f>'2.1 Revenue_Interface'!AF249</f>
        <v>0</v>
      </c>
      <c r="L249" s="1019" t="s">
        <v>1669</v>
      </c>
      <c r="M249" s="974"/>
    </row>
    <row r="250" spans="1:13" ht="15.4">
      <c r="A250" s="1207" t="s">
        <v>1675</v>
      </c>
      <c r="B250" s="950" t="s">
        <v>2415</v>
      </c>
      <c r="E250" s="1007" t="s">
        <v>1666</v>
      </c>
      <c r="G250" s="446">
        <f>G249-G248</f>
        <v>0</v>
      </c>
      <c r="H250" s="446">
        <f>H249-H248</f>
        <v>0</v>
      </c>
      <c r="I250" s="446">
        <f>I249-I248</f>
        <v>0</v>
      </c>
      <c r="J250" s="446">
        <f>J249-J248</f>
        <v>0</v>
      </c>
      <c r="K250" s="446">
        <f>K249-K248</f>
        <v>0</v>
      </c>
      <c r="L250" s="1028"/>
    </row>
    <row r="251" spans="1:13">
      <c r="A251" s="1041"/>
      <c r="L251" s="1028"/>
    </row>
    <row r="252" spans="1:13" ht="15.4">
      <c r="A252" s="1207" t="s">
        <v>1662</v>
      </c>
      <c r="B252" s="950" t="s">
        <v>2401</v>
      </c>
      <c r="E252" s="1007" t="s">
        <v>2</v>
      </c>
      <c r="G252" s="446">
        <f>IF(G249&gt;=G248,MIN(0.5,G250*0.05),MAX(G250*0.05,-0.5))</f>
        <v>0</v>
      </c>
      <c r="H252" s="446">
        <f>IF(H249&gt;=H248,MIN(0.5,H250*0.05),MAX(H250*0.05,-0.5))</f>
        <v>0</v>
      </c>
      <c r="I252" s="446">
        <f>IF(I249&gt;=I248,MIN(0.5,I250*0.05),MAX(I250*0.05,-0.5))</f>
        <v>0</v>
      </c>
      <c r="J252" s="446">
        <f>IF(J249&gt;=J248,MIN(0.5,J250*0.05),MAX(J250*0.05,-0.5))</f>
        <v>0</v>
      </c>
      <c r="K252" s="446">
        <f>IF(K249&gt;=K248,MIN(0.5,K250*0.05),MAX(K250*0.05,-0.5))</f>
        <v>0</v>
      </c>
      <c r="L252" s="1028"/>
    </row>
    <row r="253" spans="1:13">
      <c r="A253" s="1207"/>
      <c r="L253" s="1028"/>
    </row>
    <row r="254" spans="1:13" ht="14.65">
      <c r="A254" s="1204" t="s">
        <v>2416</v>
      </c>
      <c r="G254" s="1210"/>
      <c r="I254" s="1210"/>
      <c r="L254" s="1028"/>
    </row>
    <row r="255" spans="1:13" ht="13.15">
      <c r="A255" s="1204"/>
      <c r="G255" s="1210"/>
      <c r="I255" s="1210"/>
      <c r="L255" s="1028"/>
    </row>
    <row r="256" spans="1:13">
      <c r="A256" s="1207"/>
      <c r="G256" s="1210"/>
      <c r="I256" s="1210"/>
      <c r="L256" s="1028"/>
    </row>
    <row r="257" spans="1:13">
      <c r="A257" s="1207"/>
      <c r="G257" s="1210"/>
      <c r="I257" s="1210"/>
      <c r="L257" s="1028"/>
    </row>
    <row r="258" spans="1:13">
      <c r="A258" s="1207"/>
      <c r="G258" s="1210"/>
      <c r="I258" s="1210"/>
      <c r="L258" s="1028"/>
    </row>
    <row r="259" spans="1:13">
      <c r="A259" s="1207"/>
      <c r="G259" s="1210"/>
      <c r="I259" s="1210"/>
      <c r="L259" s="1028"/>
    </row>
    <row r="260" spans="1:13">
      <c r="A260" s="1207"/>
      <c r="G260" s="1210"/>
      <c r="I260" s="1210"/>
      <c r="L260" s="1028"/>
    </row>
    <row r="261" spans="1:13">
      <c r="A261" s="1207"/>
      <c r="G261" s="1210"/>
      <c r="I261" s="1210"/>
      <c r="L261" s="1028"/>
    </row>
    <row r="262" spans="1:13">
      <c r="A262" s="1041"/>
      <c r="L262" s="1028"/>
    </row>
    <row r="263" spans="1:13" ht="15.4">
      <c r="A263" s="1207" t="s">
        <v>1676</v>
      </c>
      <c r="B263" s="950" t="s">
        <v>2417</v>
      </c>
      <c r="E263" s="1007" t="s">
        <v>1666</v>
      </c>
      <c r="G263" s="1249">
        <v>11</v>
      </c>
      <c r="H263" s="1249">
        <v>11</v>
      </c>
      <c r="I263" s="1249">
        <v>11</v>
      </c>
      <c r="J263" s="1249">
        <v>11</v>
      </c>
      <c r="K263" s="1249">
        <v>11</v>
      </c>
      <c r="L263" s="1019" t="s">
        <v>1677</v>
      </c>
      <c r="M263" s="974"/>
    </row>
    <row r="264" spans="1:13" ht="15.4">
      <c r="A264" s="1207" t="s">
        <v>1678</v>
      </c>
      <c r="B264" s="950" t="s">
        <v>2418</v>
      </c>
      <c r="E264" s="1007" t="s">
        <v>1666</v>
      </c>
      <c r="G264" s="1228">
        <f>'2.1 Revenue_Interface'!AB251</f>
        <v>0</v>
      </c>
      <c r="H264" s="1228">
        <f>'2.1 Revenue_Interface'!AC251</f>
        <v>0</v>
      </c>
      <c r="I264" s="1228">
        <f>'2.1 Revenue_Interface'!AD251</f>
        <v>0</v>
      </c>
      <c r="J264" s="1228">
        <f>'2.1 Revenue_Interface'!AE251</f>
        <v>0</v>
      </c>
      <c r="K264" s="1228">
        <f>'2.1 Revenue_Interface'!AF251</f>
        <v>0</v>
      </c>
      <c r="L264" s="1019" t="s">
        <v>1679</v>
      </c>
      <c r="M264" s="974"/>
    </row>
    <row r="265" spans="1:13" ht="15.4">
      <c r="A265" s="1207" t="s">
        <v>1680</v>
      </c>
      <c r="B265" s="950" t="s">
        <v>2419</v>
      </c>
      <c r="E265" s="1007" t="s">
        <v>1666</v>
      </c>
      <c r="G265" s="446">
        <f>G263-G264</f>
        <v>11</v>
      </c>
      <c r="H265" s="446">
        <f>H263-H264</f>
        <v>11</v>
      </c>
      <c r="I265" s="446">
        <f>I263-I264</f>
        <v>11</v>
      </c>
      <c r="J265" s="446">
        <f>J263-J264</f>
        <v>11</v>
      </c>
      <c r="K265" s="446">
        <f>K263-K264</f>
        <v>11</v>
      </c>
      <c r="L265" s="1028"/>
    </row>
    <row r="266" spans="1:13">
      <c r="A266" s="1041"/>
      <c r="L266" s="1028"/>
    </row>
    <row r="267" spans="1:13" ht="15.4">
      <c r="A267" s="1207" t="s">
        <v>1681</v>
      </c>
      <c r="B267" s="950" t="s">
        <v>2402</v>
      </c>
      <c r="E267" s="1007" t="s">
        <v>2</v>
      </c>
      <c r="G267" s="446">
        <f>IF(G264&lt;=10,0,MAX(G265*0.02,-0.5))</f>
        <v>0</v>
      </c>
      <c r="H267" s="446">
        <f>IF(H264&lt;=10,0,MAX(H265*0.02,-0.5))</f>
        <v>0</v>
      </c>
      <c r="I267" s="446">
        <f>IF(I264&lt;=10,0,MAX(I265*0.02,-0.5))</f>
        <v>0</v>
      </c>
      <c r="J267" s="446">
        <f>IF(J264&lt;=10,0,MAX(J265*0.02,-0.5))</f>
        <v>0</v>
      </c>
      <c r="K267" s="446">
        <f>IF(K264&lt;=10,0,MAX(K265*0.02,-0.5))</f>
        <v>0</v>
      </c>
      <c r="L267" s="1028"/>
    </row>
    <row r="268" spans="1:13">
      <c r="A268" s="1041"/>
      <c r="L268" s="1028"/>
    </row>
    <row r="269" spans="1:13">
      <c r="A269" s="1207"/>
      <c r="L269" s="1028"/>
    </row>
    <row r="270" spans="1:13" ht="13.15" thickBot="1">
      <c r="A270" s="1230"/>
      <c r="B270" s="1071"/>
      <c r="C270" s="1038"/>
      <c r="D270" s="1038"/>
      <c r="E270" s="1038"/>
      <c r="F270" s="1038"/>
      <c r="G270" s="1038"/>
      <c r="H270" s="1038"/>
      <c r="I270" s="1038"/>
      <c r="J270" s="1038"/>
      <c r="K270" s="1038"/>
      <c r="L270" s="1039"/>
    </row>
    <row r="271" spans="1:13" ht="30.6" customHeight="1" thickBot="1">
      <c r="A271" s="1234"/>
    </row>
    <row r="272" spans="1:13">
      <c r="A272" s="1243"/>
      <c r="B272" s="1076"/>
      <c r="C272" s="1024"/>
      <c r="D272" s="1024"/>
      <c r="E272" s="1024"/>
      <c r="F272" s="1024"/>
      <c r="G272" s="1024"/>
      <c r="H272" s="1024"/>
      <c r="I272" s="1024"/>
      <c r="J272" s="1024"/>
      <c r="K272" s="1024"/>
      <c r="L272" s="1026"/>
    </row>
    <row r="273" spans="1:13" ht="13.9">
      <c r="A273" s="1241" t="s">
        <v>1682</v>
      </c>
      <c r="J273" s="1210"/>
      <c r="L273" s="1028"/>
    </row>
    <row r="274" spans="1:13" ht="13.15">
      <c r="A274" s="1204"/>
      <c r="L274" s="1028"/>
    </row>
    <row r="275" spans="1:13" ht="13.15">
      <c r="A275" s="1204"/>
      <c r="L275" s="1028"/>
    </row>
    <row r="276" spans="1:13">
      <c r="A276" s="1207" t="s">
        <v>1683</v>
      </c>
      <c r="B276" s="950" t="s">
        <v>1684</v>
      </c>
      <c r="E276" s="1007" t="s">
        <v>2</v>
      </c>
      <c r="G276" s="1228">
        <f>'2.1 Revenue_Interface'!AB255</f>
        <v>0</v>
      </c>
      <c r="H276" s="1228">
        <f>'2.1 Revenue_Interface'!AC255</f>
        <v>0</v>
      </c>
      <c r="I276" s="1228">
        <f>'2.1 Revenue_Interface'!AD255</f>
        <v>0</v>
      </c>
      <c r="J276" s="1228">
        <f>'2.1 Revenue_Interface'!AE255</f>
        <v>0</v>
      </c>
      <c r="K276" s="1228">
        <f>'2.1 Revenue_Interface'!AF255</f>
        <v>0</v>
      </c>
      <c r="L276" s="1019" t="s">
        <v>1607</v>
      </c>
      <c r="M276" s="974"/>
    </row>
    <row r="277" spans="1:13">
      <c r="A277" s="1207" t="s">
        <v>1685</v>
      </c>
      <c r="B277" s="950" t="s">
        <v>1686</v>
      </c>
      <c r="E277" s="1007" t="s">
        <v>2</v>
      </c>
      <c r="G277" s="1228">
        <f>'2.1 Revenue_Interface'!AB256</f>
        <v>0</v>
      </c>
      <c r="H277" s="1228">
        <f>'2.1 Revenue_Interface'!AC256</f>
        <v>0</v>
      </c>
      <c r="I277" s="1228">
        <f>'2.1 Revenue_Interface'!AD256</f>
        <v>0</v>
      </c>
      <c r="J277" s="1228">
        <f>'2.1 Revenue_Interface'!AE256</f>
        <v>0</v>
      </c>
      <c r="K277" s="1228">
        <f>'2.1 Revenue_Interface'!AF256</f>
        <v>0</v>
      </c>
      <c r="L277" s="1019" t="s">
        <v>1607</v>
      </c>
      <c r="M277" s="974"/>
    </row>
    <row r="278" spans="1:13" ht="15.4">
      <c r="A278" s="1207" t="s">
        <v>1687</v>
      </c>
      <c r="B278" s="950" t="s">
        <v>2420</v>
      </c>
      <c r="E278" s="1007" t="s">
        <v>2</v>
      </c>
      <c r="F278" s="1255"/>
      <c r="G278" s="1256">
        <f>G276+G277</f>
        <v>0</v>
      </c>
      <c r="H278" s="1256">
        <f t="shared" ref="H278:K278" si="19">H276+H277</f>
        <v>0</v>
      </c>
      <c r="I278" s="1256">
        <f t="shared" si="19"/>
        <v>0</v>
      </c>
      <c r="J278" s="1257">
        <f t="shared" si="19"/>
        <v>0</v>
      </c>
      <c r="K278" s="1258">
        <f t="shared" si="19"/>
        <v>0</v>
      </c>
      <c r="L278" s="1019" t="s">
        <v>1607</v>
      </c>
      <c r="M278" s="974"/>
    </row>
    <row r="279" spans="1:13" ht="15.4">
      <c r="A279" s="1207" t="s">
        <v>1688</v>
      </c>
      <c r="B279" s="950" t="s">
        <v>2421</v>
      </c>
      <c r="E279" s="1007" t="s">
        <v>2</v>
      </c>
      <c r="G279" s="1329">
        <f>'2.1 Revenue_Interface'!AB257</f>
        <v>0</v>
      </c>
      <c r="H279" s="1329">
        <f>'2.1 Revenue_Interface'!AC257</f>
        <v>0</v>
      </c>
      <c r="I279" s="1329">
        <f>'2.1 Revenue_Interface'!AD257</f>
        <v>0</v>
      </c>
      <c r="J279" s="1329">
        <f>'2.1 Revenue_Interface'!AE257</f>
        <v>0</v>
      </c>
      <c r="K279" s="1329">
        <f>'2.1 Revenue_Interface'!AF257</f>
        <v>0</v>
      </c>
      <c r="L279" s="1019" t="s">
        <v>1607</v>
      </c>
      <c r="M279" s="974"/>
    </row>
    <row r="280" spans="1:13" ht="15.4">
      <c r="A280" s="1207" t="s">
        <v>1606</v>
      </c>
      <c r="B280" s="950" t="s">
        <v>2372</v>
      </c>
      <c r="E280" s="952" t="s">
        <v>1428</v>
      </c>
      <c r="G280" s="1245">
        <f>SUM(G278:G279)*VLOOKUP(H$5,'1.5 Universal Data'!$C$28:$F$39,4,FALSE)</f>
        <v>0</v>
      </c>
      <c r="H280" s="1245">
        <f>SUM(H278:H279)*VLOOKUP(I$5,'1.5 Universal Data'!$C$28:$F$39,4,FALSE)</f>
        <v>0</v>
      </c>
      <c r="I280" s="1245">
        <f>SUM(I278:I279)*VLOOKUP(J$5,'1.5 Universal Data'!$C$28:$F$39,4,FALSE)</f>
        <v>0</v>
      </c>
      <c r="J280" s="1245">
        <f>SUM(J278:J279)*VLOOKUP(K$5,'1.5 Universal Data'!$C$28:$F$39,4,FALSE)</f>
        <v>0</v>
      </c>
      <c r="K280" s="1245" t="e">
        <f>SUM(K278:K279)*VLOOKUP(L$5,'1.5 Universal Data'!$C$28:$F$39,4,FALSE)</f>
        <v>#N/A</v>
      </c>
      <c r="L280" s="1214"/>
      <c r="M280" s="974"/>
    </row>
    <row r="281" spans="1:13">
      <c r="A281" s="1041"/>
      <c r="L281" s="1028"/>
    </row>
    <row r="282" spans="1:13" ht="13.15" thickBot="1">
      <c r="A282" s="1037"/>
      <c r="B282" s="1071"/>
      <c r="C282" s="1038"/>
      <c r="D282" s="1038"/>
      <c r="E282" s="1038"/>
      <c r="F282" s="1038"/>
      <c r="G282" s="1038"/>
      <c r="H282" s="1038"/>
      <c r="I282" s="1038"/>
      <c r="J282" s="1038"/>
      <c r="K282" s="1038"/>
      <c r="L282" s="1039"/>
    </row>
  </sheetData>
  <pageMargins left="0.19685039370078741" right="0.19685039370078741" top="0.39370078740157483" bottom="0.53" header="0.19685039370078741" footer="0.23622047244094491"/>
  <pageSetup paperSize="8" scale="26" orientation="portrait" r:id="rId1"/>
  <headerFooter>
    <oddFooter>&amp;C&amp;D&amp;R&amp;F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zoomScale="90" zoomScaleNormal="90" workbookViewId="0"/>
  </sheetViews>
  <sheetFormatPr defaultColWidth="10.59765625" defaultRowHeight="12.4"/>
  <cols>
    <col min="1" max="2" width="10.59765625" style="936"/>
    <col min="3" max="3" width="12.73046875" style="936" customWidth="1"/>
    <col min="4" max="16384" width="10.59765625" style="936"/>
  </cols>
  <sheetData>
    <row r="1" spans="1:43" ht="14.65">
      <c r="A1" s="930" t="s">
        <v>1418</v>
      </c>
      <c r="B1" s="931"/>
      <c r="C1" s="1259"/>
      <c r="D1" s="932"/>
      <c r="E1" s="932"/>
      <c r="F1" s="932"/>
      <c r="G1" s="932"/>
      <c r="H1" s="932"/>
      <c r="I1" s="932"/>
      <c r="J1" s="932"/>
      <c r="K1" s="932"/>
      <c r="L1" s="932"/>
      <c r="M1" s="932"/>
    </row>
    <row r="2" spans="1:43" ht="14.65">
      <c r="A2" s="930" t="str">
        <f>'1.1 Cover'!A3</f>
        <v>Price base - 2018/19</v>
      </c>
      <c r="B2" s="935"/>
      <c r="C2" s="1259"/>
      <c r="D2" s="930"/>
      <c r="E2" s="930"/>
      <c r="F2" s="930"/>
      <c r="G2" s="930"/>
      <c r="H2" s="930"/>
      <c r="I2" s="930"/>
      <c r="J2" s="930"/>
      <c r="K2" s="930"/>
      <c r="L2" s="930"/>
      <c r="M2" s="930"/>
    </row>
    <row r="3" spans="1:43" ht="15" customHeight="1">
      <c r="A3" s="935"/>
      <c r="B3" s="935"/>
      <c r="C3" s="935"/>
      <c r="D3" s="930"/>
      <c r="E3" s="930"/>
      <c r="F3" s="930"/>
      <c r="G3" s="930"/>
      <c r="H3" s="930"/>
      <c r="I3" s="930"/>
      <c r="J3" s="930"/>
      <c r="K3" s="930"/>
      <c r="L3" s="930"/>
      <c r="M3" s="930"/>
    </row>
    <row r="4" spans="1:43" ht="18" customHeight="1">
      <c r="A4" s="1260" t="s">
        <v>2422</v>
      </c>
      <c r="B4" s="1261"/>
      <c r="C4" s="1261"/>
      <c r="D4" s="1262"/>
      <c r="E4" s="1262"/>
      <c r="F4" s="1262"/>
      <c r="G4" s="1262"/>
      <c r="H4" s="1262"/>
      <c r="I4" s="1262"/>
      <c r="J4" s="1262"/>
      <c r="K4" s="1262"/>
      <c r="L4" s="1262"/>
      <c r="M4" s="1262"/>
    </row>
    <row r="7" spans="1:43" s="1263" customFormat="1" ht="15" customHeight="1">
      <c r="A7" s="691" t="s">
        <v>2423</v>
      </c>
      <c r="B7" s="691"/>
      <c r="C7" s="691"/>
      <c r="D7" s="691"/>
      <c r="E7" s="691"/>
      <c r="F7" s="691"/>
      <c r="G7" s="691"/>
      <c r="H7" s="691"/>
      <c r="I7" s="691"/>
      <c r="J7" s="691"/>
      <c r="K7" s="691"/>
      <c r="L7" s="691"/>
      <c r="M7" s="691"/>
    </row>
    <row r="8" spans="1:43" s="1263" customFormat="1" ht="15" customHeight="1">
      <c r="A8" s="1264"/>
      <c r="B8" s="1264"/>
      <c r="C8" s="1264"/>
      <c r="D8" s="1264"/>
      <c r="E8" s="1264"/>
      <c r="F8" s="1264"/>
      <c r="G8" s="1264"/>
      <c r="H8" s="1264"/>
      <c r="I8" s="1264" t="s">
        <v>1420</v>
      </c>
      <c r="J8" s="1264" t="s">
        <v>1421</v>
      </c>
      <c r="K8" s="1264" t="s">
        <v>1422</v>
      </c>
      <c r="L8" s="1264" t="s">
        <v>1423</v>
      </c>
      <c r="M8" s="1264" t="s">
        <v>1424</v>
      </c>
    </row>
    <row r="9" spans="1:43" s="1263" customFormat="1" ht="15.4">
      <c r="A9" s="728" t="s">
        <v>2424</v>
      </c>
      <c r="B9" s="728"/>
      <c r="C9" s="728"/>
      <c r="D9" s="728"/>
      <c r="E9" s="728"/>
      <c r="F9" s="728"/>
      <c r="G9" s="728"/>
      <c r="H9" s="728"/>
      <c r="I9" s="728"/>
      <c r="J9" s="728"/>
      <c r="K9" s="728"/>
      <c r="L9" s="728"/>
      <c r="M9" s="728"/>
    </row>
    <row r="10" spans="1:43" s="1263" customFormat="1" ht="15.4">
      <c r="A10" s="1264"/>
      <c r="B10" s="1264"/>
      <c r="C10" s="1264"/>
      <c r="D10" s="1264"/>
      <c r="E10" s="1264"/>
      <c r="F10" s="1264"/>
      <c r="G10" s="1264"/>
      <c r="H10" s="1264"/>
      <c r="I10" s="1264"/>
      <c r="J10" s="1264"/>
      <c r="K10" s="1264"/>
      <c r="L10" s="1264"/>
      <c r="M10" s="1264"/>
    </row>
    <row r="11" spans="1:43" s="1263" customFormat="1" ht="15.4">
      <c r="A11" s="1264"/>
      <c r="B11" s="1264" t="s">
        <v>2425</v>
      </c>
      <c r="C11" s="1264"/>
      <c r="D11" s="1264" t="s">
        <v>1403</v>
      </c>
      <c r="E11" s="1265" t="s">
        <v>2426</v>
      </c>
      <c r="F11" s="1264"/>
      <c r="G11" s="1264"/>
      <c r="H11" s="1266"/>
      <c r="I11" s="1324">
        <f>'2.1 Revenue_Interface'!AB261</f>
        <v>0</v>
      </c>
      <c r="J11" s="1324">
        <f>'2.1 Revenue_Interface'!AC261</f>
        <v>0</v>
      </c>
      <c r="K11" s="1324">
        <f>'2.1 Revenue_Interface'!AD261</f>
        <v>0</v>
      </c>
      <c r="L11" s="1324">
        <f>'2.1 Revenue_Interface'!AE261</f>
        <v>0</v>
      </c>
      <c r="M11" s="1324">
        <f>'2.1 Revenue_Interface'!AF261</f>
        <v>0</v>
      </c>
      <c r="N11" s="1264" t="s">
        <v>2427</v>
      </c>
      <c r="AM11" s="1263">
        <v>0</v>
      </c>
      <c r="AN11" s="1263">
        <v>0</v>
      </c>
      <c r="AO11" s="1263">
        <v>0</v>
      </c>
      <c r="AP11" s="1263">
        <v>0</v>
      </c>
      <c r="AQ11" s="1263">
        <v>0</v>
      </c>
    </row>
    <row r="12" spans="1:43" s="1263" customFormat="1" ht="15.4">
      <c r="A12" s="1264"/>
      <c r="B12" s="1264" t="s">
        <v>2425</v>
      </c>
      <c r="C12" s="1264"/>
      <c r="D12" s="1264" t="s">
        <v>1403</v>
      </c>
      <c r="E12" s="1265" t="s">
        <v>2428</v>
      </c>
      <c r="F12" s="1264"/>
      <c r="G12" s="1264"/>
      <c r="H12" s="1266"/>
      <c r="I12" s="1324">
        <f>'2.1 Revenue_Interface'!AB262</f>
        <v>0</v>
      </c>
      <c r="J12" s="1324">
        <f>'2.1 Revenue_Interface'!AC262</f>
        <v>0</v>
      </c>
      <c r="K12" s="1324">
        <f>'2.1 Revenue_Interface'!AD262</f>
        <v>0</v>
      </c>
      <c r="L12" s="1324">
        <f>'2.1 Revenue_Interface'!AE262</f>
        <v>0</v>
      </c>
      <c r="M12" s="1324">
        <f>'2.1 Revenue_Interface'!AF262</f>
        <v>0</v>
      </c>
      <c r="AM12" s="1263">
        <v>0</v>
      </c>
      <c r="AN12" s="1263">
        <v>0</v>
      </c>
      <c r="AO12" s="1263">
        <v>0</v>
      </c>
      <c r="AP12" s="1263">
        <v>0</v>
      </c>
      <c r="AQ12" s="1263">
        <v>0</v>
      </c>
    </row>
    <row r="13" spans="1:43" s="1263" customFormat="1" ht="15.4">
      <c r="A13" s="1264"/>
      <c r="B13" s="1264" t="s">
        <v>2425</v>
      </c>
      <c r="C13" s="1264"/>
      <c r="D13" s="1264" t="s">
        <v>1403</v>
      </c>
      <c r="E13" s="1265" t="s">
        <v>2429</v>
      </c>
      <c r="F13" s="1264"/>
      <c r="G13" s="1264"/>
      <c r="H13" s="1266"/>
      <c r="I13" s="1324">
        <f>'2.1 Revenue_Interface'!AB263</f>
        <v>0</v>
      </c>
      <c r="J13" s="1324">
        <f>'2.1 Revenue_Interface'!AC263</f>
        <v>0</v>
      </c>
      <c r="K13" s="1324">
        <f>'2.1 Revenue_Interface'!AD263</f>
        <v>0</v>
      </c>
      <c r="L13" s="1324">
        <f>'2.1 Revenue_Interface'!AE263</f>
        <v>0</v>
      </c>
      <c r="M13" s="1324">
        <f>'2.1 Revenue_Interface'!AF263</f>
        <v>0</v>
      </c>
      <c r="AM13" s="1263">
        <v>0.57001000000000002</v>
      </c>
      <c r="AN13" s="1263">
        <v>0.65868000000000004</v>
      </c>
      <c r="AO13" s="1263">
        <v>0.64093999999999995</v>
      </c>
      <c r="AP13" s="1263">
        <v>0.66456999999999999</v>
      </c>
      <c r="AQ13" s="1263">
        <v>0.61523000000000005</v>
      </c>
    </row>
    <row r="14" spans="1:43" s="1263" customFormat="1" ht="15.4">
      <c r="A14" s="1264"/>
      <c r="B14" s="1264" t="s">
        <v>2425</v>
      </c>
      <c r="C14" s="1264"/>
      <c r="D14" s="1264" t="s">
        <v>1403</v>
      </c>
      <c r="E14" s="1265" t="s">
        <v>2430</v>
      </c>
      <c r="F14" s="1264"/>
      <c r="G14" s="1264"/>
      <c r="H14" s="1266"/>
      <c r="I14" s="1324">
        <f>'2.1 Revenue_Interface'!AB264</f>
        <v>0</v>
      </c>
      <c r="J14" s="1324">
        <f>'2.1 Revenue_Interface'!AC264</f>
        <v>0</v>
      </c>
      <c r="K14" s="1324">
        <f>'2.1 Revenue_Interface'!AD264</f>
        <v>0</v>
      </c>
      <c r="L14" s="1324">
        <f>'2.1 Revenue_Interface'!AE264</f>
        <v>0</v>
      </c>
      <c r="M14" s="1324">
        <f>'2.1 Revenue_Interface'!AF264</f>
        <v>0</v>
      </c>
      <c r="AM14" s="1263">
        <v>0</v>
      </c>
      <c r="AN14" s="1263">
        <v>0</v>
      </c>
      <c r="AO14" s="1263">
        <v>0</v>
      </c>
      <c r="AP14" s="1263">
        <v>0</v>
      </c>
      <c r="AQ14" s="1263">
        <v>0</v>
      </c>
    </row>
    <row r="15" spans="1:43" s="1263" customFormat="1" ht="15.4">
      <c r="A15" s="1264"/>
      <c r="B15" s="1264" t="s">
        <v>2425</v>
      </c>
      <c r="C15" s="1264"/>
      <c r="D15" s="1264" t="s">
        <v>1403</v>
      </c>
      <c r="E15" s="1265" t="s">
        <v>2431</v>
      </c>
      <c r="F15" s="1264"/>
      <c r="G15" s="1264"/>
      <c r="H15" s="1266"/>
      <c r="I15" s="1324">
        <f>'2.1 Revenue_Interface'!AB265</f>
        <v>0</v>
      </c>
      <c r="J15" s="1324">
        <f>'2.1 Revenue_Interface'!AC265</f>
        <v>0</v>
      </c>
      <c r="K15" s="1324">
        <f>'2.1 Revenue_Interface'!AD265</f>
        <v>0</v>
      </c>
      <c r="L15" s="1324">
        <f>'2.1 Revenue_Interface'!AE265</f>
        <v>0</v>
      </c>
      <c r="M15" s="1324">
        <f>'2.1 Revenue_Interface'!AF265</f>
        <v>0</v>
      </c>
      <c r="AM15" s="1263">
        <v>0</v>
      </c>
      <c r="AN15" s="1263">
        <v>0</v>
      </c>
      <c r="AO15" s="1263">
        <v>0</v>
      </c>
      <c r="AP15" s="1263">
        <v>0</v>
      </c>
      <c r="AQ15" s="1263">
        <v>0</v>
      </c>
    </row>
    <row r="16" spans="1:43" s="1263" customFormat="1" ht="15.4">
      <c r="A16" s="1264"/>
      <c r="B16" s="1267" t="s">
        <v>2425</v>
      </c>
      <c r="C16" s="1267"/>
      <c r="D16" s="1267" t="s">
        <v>1403</v>
      </c>
      <c r="E16" s="1268" t="s">
        <v>2432</v>
      </c>
      <c r="F16" s="1267"/>
      <c r="G16" s="1267"/>
      <c r="H16" s="1269"/>
      <c r="I16" s="1325">
        <f>'2.1 Revenue_Interface'!AB266</f>
        <v>0</v>
      </c>
      <c r="J16" s="1325">
        <f>'2.1 Revenue_Interface'!AC266</f>
        <v>0</v>
      </c>
      <c r="K16" s="1325">
        <f>'2.1 Revenue_Interface'!AD266</f>
        <v>0</v>
      </c>
      <c r="L16" s="1325">
        <f>'2.1 Revenue_Interface'!AE266</f>
        <v>0</v>
      </c>
      <c r="M16" s="1325">
        <f>'2.1 Revenue_Interface'!AF266</f>
        <v>0</v>
      </c>
      <c r="AM16" s="1263">
        <v>0.45669999999999999</v>
      </c>
      <c r="AN16" s="1263">
        <v>0.32285999999999998</v>
      </c>
      <c r="AO16" s="1263">
        <v>0.36942999999999998</v>
      </c>
      <c r="AP16" s="1263">
        <v>0.44368999999999997</v>
      </c>
      <c r="AQ16" s="1263">
        <v>0.51836000000000004</v>
      </c>
    </row>
    <row r="17" spans="1:43" s="1263" customFormat="1" ht="15.4">
      <c r="A17" s="1264"/>
      <c r="B17" s="1264" t="s">
        <v>2433</v>
      </c>
      <c r="C17" s="1264"/>
      <c r="D17" s="1264" t="s">
        <v>1403</v>
      </c>
      <c r="E17" s="1265" t="s">
        <v>2426</v>
      </c>
      <c r="F17" s="1264"/>
      <c r="G17" s="1264"/>
      <c r="H17" s="1266"/>
      <c r="I17" s="1324">
        <f>'2.1 Revenue_Interface'!AB267</f>
        <v>0</v>
      </c>
      <c r="J17" s="1324">
        <f>'2.1 Revenue_Interface'!AC267</f>
        <v>0</v>
      </c>
      <c r="K17" s="1324">
        <f>'2.1 Revenue_Interface'!AD267</f>
        <v>0</v>
      </c>
      <c r="L17" s="1324">
        <f>'2.1 Revenue_Interface'!AE267</f>
        <v>0</v>
      </c>
      <c r="M17" s="1324">
        <f>'2.1 Revenue_Interface'!AF267</f>
        <v>0</v>
      </c>
      <c r="AM17" s="1263">
        <v>0.92091999999999996</v>
      </c>
      <c r="AN17" s="1263">
        <v>0.92740999999999996</v>
      </c>
      <c r="AO17" s="1263">
        <v>0.91927000000000003</v>
      </c>
      <c r="AP17" s="1263">
        <v>0.87880000000000003</v>
      </c>
      <c r="AQ17" s="1263">
        <v>0.89095000000000002</v>
      </c>
    </row>
    <row r="18" spans="1:43" s="1263" customFormat="1" ht="15.4">
      <c r="A18" s="1264"/>
      <c r="B18" s="1264" t="s">
        <v>2433</v>
      </c>
      <c r="C18" s="1264"/>
      <c r="D18" s="1264" t="s">
        <v>1403</v>
      </c>
      <c r="E18" s="1265" t="s">
        <v>2428</v>
      </c>
      <c r="F18" s="1264"/>
      <c r="G18" s="1264"/>
      <c r="H18" s="1266"/>
      <c r="I18" s="1324">
        <f>'2.1 Revenue_Interface'!AB268</f>
        <v>0</v>
      </c>
      <c r="J18" s="1324">
        <f>'2.1 Revenue_Interface'!AC268</f>
        <v>0</v>
      </c>
      <c r="K18" s="1324">
        <f>'2.1 Revenue_Interface'!AD268</f>
        <v>0</v>
      </c>
      <c r="L18" s="1324">
        <f>'2.1 Revenue_Interface'!AE268</f>
        <v>0</v>
      </c>
      <c r="M18" s="1324">
        <f>'2.1 Revenue_Interface'!AF268</f>
        <v>0</v>
      </c>
      <c r="AM18" s="1263">
        <v>0.94843</v>
      </c>
      <c r="AN18" s="1263">
        <v>0.93854000000000004</v>
      </c>
      <c r="AO18" s="1263">
        <v>0.90883999999999998</v>
      </c>
      <c r="AP18" s="1263">
        <v>0.89154</v>
      </c>
      <c r="AQ18" s="1263">
        <v>0.88639999999999997</v>
      </c>
    </row>
    <row r="19" spans="1:43" s="1263" customFormat="1" ht="15.4">
      <c r="A19" s="1264"/>
      <c r="B19" s="1264" t="s">
        <v>2433</v>
      </c>
      <c r="C19" s="1264"/>
      <c r="D19" s="1264" t="s">
        <v>1403</v>
      </c>
      <c r="E19" s="1265" t="s">
        <v>2429</v>
      </c>
      <c r="F19" s="1264"/>
      <c r="G19" s="1264"/>
      <c r="H19" s="1266"/>
      <c r="I19" s="1324">
        <f>'2.1 Revenue_Interface'!AB269</f>
        <v>0</v>
      </c>
      <c r="J19" s="1324">
        <f>'2.1 Revenue_Interface'!AC269</f>
        <v>0</v>
      </c>
      <c r="K19" s="1324">
        <f>'2.1 Revenue_Interface'!AD269</f>
        <v>0</v>
      </c>
      <c r="L19" s="1324">
        <f>'2.1 Revenue_Interface'!AE269</f>
        <v>0</v>
      </c>
      <c r="M19" s="1324">
        <f>'2.1 Revenue_Interface'!AF269</f>
        <v>0</v>
      </c>
      <c r="AM19" s="1263">
        <v>0.39854000000000001</v>
      </c>
      <c r="AN19" s="1263">
        <v>0.30214000000000002</v>
      </c>
      <c r="AO19" s="1263">
        <v>0.31859999999999999</v>
      </c>
      <c r="AP19" s="1263">
        <v>0.29692000000000002</v>
      </c>
      <c r="AQ19" s="1263">
        <v>0.34469</v>
      </c>
    </row>
    <row r="20" spans="1:43" s="1263" customFormat="1" ht="15.4">
      <c r="A20" s="1264"/>
      <c r="B20" s="1264" t="s">
        <v>2433</v>
      </c>
      <c r="C20" s="1264"/>
      <c r="D20" s="1264" t="s">
        <v>1403</v>
      </c>
      <c r="E20" s="1265" t="s">
        <v>2430</v>
      </c>
      <c r="F20" s="1264"/>
      <c r="G20" s="1264"/>
      <c r="H20" s="1266"/>
      <c r="I20" s="1324">
        <f>'2.1 Revenue_Interface'!AB270</f>
        <v>0</v>
      </c>
      <c r="J20" s="1324">
        <f>'2.1 Revenue_Interface'!AC270</f>
        <v>0</v>
      </c>
      <c r="K20" s="1324">
        <f>'2.1 Revenue_Interface'!AD270</f>
        <v>0</v>
      </c>
      <c r="L20" s="1324">
        <f>'2.1 Revenue_Interface'!AE270</f>
        <v>0</v>
      </c>
      <c r="M20" s="1324">
        <f>'2.1 Revenue_Interface'!AF270</f>
        <v>0</v>
      </c>
      <c r="AM20" s="1263">
        <v>0</v>
      </c>
      <c r="AN20" s="1263">
        <v>0</v>
      </c>
      <c r="AO20" s="1263">
        <v>0</v>
      </c>
      <c r="AP20" s="1263">
        <v>0</v>
      </c>
      <c r="AQ20" s="1263">
        <v>0</v>
      </c>
    </row>
    <row r="21" spans="1:43" s="1263" customFormat="1" ht="15.4">
      <c r="A21" s="1264"/>
      <c r="B21" s="1264" t="s">
        <v>2433</v>
      </c>
      <c r="C21" s="1264"/>
      <c r="D21" s="1264" t="s">
        <v>1403</v>
      </c>
      <c r="E21" s="1265" t="s">
        <v>2431</v>
      </c>
      <c r="F21" s="1264"/>
      <c r="G21" s="1264"/>
      <c r="H21" s="1266"/>
      <c r="I21" s="1324">
        <f>'2.1 Revenue_Interface'!AB271</f>
        <v>0</v>
      </c>
      <c r="J21" s="1324">
        <f>'2.1 Revenue_Interface'!AC271</f>
        <v>0</v>
      </c>
      <c r="K21" s="1324">
        <f>'2.1 Revenue_Interface'!AD271</f>
        <v>0</v>
      </c>
      <c r="L21" s="1324">
        <f>'2.1 Revenue_Interface'!AE271</f>
        <v>0</v>
      </c>
      <c r="M21" s="1324">
        <f>'2.1 Revenue_Interface'!AF271</f>
        <v>0</v>
      </c>
      <c r="AM21" s="1263">
        <v>0</v>
      </c>
      <c r="AN21" s="1263">
        <v>0</v>
      </c>
      <c r="AO21" s="1263">
        <v>0</v>
      </c>
      <c r="AP21" s="1263">
        <v>0</v>
      </c>
      <c r="AQ21" s="1263">
        <v>0</v>
      </c>
    </row>
    <row r="22" spans="1:43" s="1263" customFormat="1" ht="15.4">
      <c r="A22" s="1264"/>
      <c r="B22" s="1267" t="s">
        <v>2433</v>
      </c>
      <c r="C22" s="1267"/>
      <c r="D22" s="1267" t="s">
        <v>1403</v>
      </c>
      <c r="E22" s="1268" t="s">
        <v>2432</v>
      </c>
      <c r="F22" s="1267"/>
      <c r="G22" s="1267"/>
      <c r="H22" s="1269"/>
      <c r="I22" s="1325">
        <f>'2.1 Revenue_Interface'!AB272</f>
        <v>0</v>
      </c>
      <c r="J22" s="1325">
        <f>'2.1 Revenue_Interface'!AC272</f>
        <v>0</v>
      </c>
      <c r="K22" s="1325">
        <f>'2.1 Revenue_Interface'!AD272</f>
        <v>0</v>
      </c>
      <c r="L22" s="1325">
        <f>'2.1 Revenue_Interface'!AE272</f>
        <v>0</v>
      </c>
      <c r="M22" s="1325">
        <f>'2.1 Revenue_Interface'!AF272</f>
        <v>0</v>
      </c>
      <c r="AM22" s="1263">
        <v>0.14717</v>
      </c>
      <c r="AN22" s="1263">
        <v>0.15761</v>
      </c>
      <c r="AO22" s="1263">
        <v>0.15298</v>
      </c>
      <c r="AP22" s="1263">
        <v>0.25076999999999999</v>
      </c>
      <c r="AQ22" s="1263">
        <v>0.21711</v>
      </c>
    </row>
    <row r="23" spans="1:43" s="1263" customFormat="1" ht="15.4">
      <c r="A23" s="1264"/>
      <c r="B23" s="1264" t="s">
        <v>2434</v>
      </c>
      <c r="C23" s="1264"/>
      <c r="D23" s="1264" t="s">
        <v>1403</v>
      </c>
      <c r="E23" s="1265" t="s">
        <v>2426</v>
      </c>
      <c r="F23" s="1264"/>
      <c r="G23" s="1264"/>
      <c r="H23" s="1266"/>
      <c r="I23" s="1324">
        <f>'2.1 Revenue_Interface'!AB273</f>
        <v>0</v>
      </c>
      <c r="J23" s="1324">
        <f>'2.1 Revenue_Interface'!AC273</f>
        <v>0</v>
      </c>
      <c r="K23" s="1324">
        <f>'2.1 Revenue_Interface'!AD273</f>
        <v>0</v>
      </c>
      <c r="L23" s="1324">
        <f>'2.1 Revenue_Interface'!AE273</f>
        <v>0</v>
      </c>
      <c r="M23" s="1324">
        <f>'2.1 Revenue_Interface'!AF273</f>
        <v>0</v>
      </c>
      <c r="AM23" s="1263">
        <v>5.9080000000000001E-2</v>
      </c>
      <c r="AN23" s="1263">
        <v>5.2589999999999998E-2</v>
      </c>
      <c r="AO23" s="1263">
        <v>6.0729999999999999E-2</v>
      </c>
      <c r="AP23" s="1263">
        <v>0.1012</v>
      </c>
      <c r="AQ23" s="1263">
        <v>8.9050000000000004E-2</v>
      </c>
    </row>
    <row r="24" spans="1:43" s="1263" customFormat="1" ht="15.4">
      <c r="A24" s="1264"/>
      <c r="B24" s="1264" t="s">
        <v>2434</v>
      </c>
      <c r="C24" s="1264"/>
      <c r="D24" s="1264" t="s">
        <v>1403</v>
      </c>
      <c r="E24" s="1265" t="s">
        <v>2428</v>
      </c>
      <c r="F24" s="1264"/>
      <c r="G24" s="1264"/>
      <c r="H24" s="1266"/>
      <c r="I24" s="1324">
        <f>'2.1 Revenue_Interface'!AB274</f>
        <v>0</v>
      </c>
      <c r="J24" s="1324">
        <f>'2.1 Revenue_Interface'!AC274</f>
        <v>0</v>
      </c>
      <c r="K24" s="1324">
        <f>'2.1 Revenue_Interface'!AD274</f>
        <v>0</v>
      </c>
      <c r="L24" s="1324">
        <f>'2.1 Revenue_Interface'!AE274</f>
        <v>0</v>
      </c>
      <c r="M24" s="1324">
        <f>'2.1 Revenue_Interface'!AF274</f>
        <v>0</v>
      </c>
      <c r="AM24" s="1263">
        <v>3.1570000000000001E-2</v>
      </c>
      <c r="AN24" s="1263">
        <v>3.8339999999999999E-2</v>
      </c>
      <c r="AO24" s="1263">
        <v>7.1160000000000001E-2</v>
      </c>
      <c r="AP24" s="1263">
        <v>8.8459999999999997E-2</v>
      </c>
      <c r="AQ24" s="1263">
        <v>9.3600000000000003E-2</v>
      </c>
    </row>
    <row r="25" spans="1:43" s="1263" customFormat="1" ht="15.4">
      <c r="A25" s="1264"/>
      <c r="B25" s="1264" t="s">
        <v>2434</v>
      </c>
      <c r="C25" s="1264"/>
      <c r="D25" s="1264" t="s">
        <v>1403</v>
      </c>
      <c r="E25" s="1265" t="s">
        <v>2429</v>
      </c>
      <c r="F25" s="1264"/>
      <c r="G25" s="1264"/>
      <c r="H25" s="1266"/>
      <c r="I25" s="1324">
        <f>'2.1 Revenue_Interface'!AB275</f>
        <v>0</v>
      </c>
      <c r="J25" s="1324">
        <f>'2.1 Revenue_Interface'!AC275</f>
        <v>0</v>
      </c>
      <c r="K25" s="1324">
        <f>'2.1 Revenue_Interface'!AD275</f>
        <v>0</v>
      </c>
      <c r="L25" s="1324">
        <f>'2.1 Revenue_Interface'!AE275</f>
        <v>0</v>
      </c>
      <c r="M25" s="1324">
        <f>'2.1 Revenue_Interface'!AF275</f>
        <v>0</v>
      </c>
      <c r="AM25" s="1263">
        <v>0</v>
      </c>
      <c r="AN25" s="1263">
        <v>0</v>
      </c>
      <c r="AO25" s="1263">
        <v>0</v>
      </c>
      <c r="AP25" s="1263">
        <v>0</v>
      </c>
      <c r="AQ25" s="1263">
        <v>0</v>
      </c>
    </row>
    <row r="26" spans="1:43" s="1263" customFormat="1" ht="15.4">
      <c r="A26" s="1264"/>
      <c r="B26" s="1264" t="s">
        <v>2434</v>
      </c>
      <c r="C26" s="1264"/>
      <c r="D26" s="1264" t="s">
        <v>1403</v>
      </c>
      <c r="E26" s="1265" t="s">
        <v>2430</v>
      </c>
      <c r="F26" s="1264"/>
      <c r="G26" s="1264"/>
      <c r="H26" s="1266"/>
      <c r="I26" s="1324">
        <f>'2.1 Revenue_Interface'!AB276</f>
        <v>0</v>
      </c>
      <c r="J26" s="1324">
        <f>'2.1 Revenue_Interface'!AC276</f>
        <v>0</v>
      </c>
      <c r="K26" s="1324">
        <f>'2.1 Revenue_Interface'!AD276</f>
        <v>0</v>
      </c>
      <c r="L26" s="1324">
        <f>'2.1 Revenue_Interface'!AE276</f>
        <v>0</v>
      </c>
      <c r="M26" s="1324">
        <f>'2.1 Revenue_Interface'!AF276</f>
        <v>0</v>
      </c>
      <c r="AM26" s="1263">
        <v>0</v>
      </c>
      <c r="AN26" s="1263">
        <v>0</v>
      </c>
      <c r="AO26" s="1263">
        <v>0</v>
      </c>
      <c r="AP26" s="1263">
        <v>0</v>
      </c>
      <c r="AQ26" s="1263">
        <v>0</v>
      </c>
    </row>
    <row r="27" spans="1:43" s="1263" customFormat="1" ht="15.4">
      <c r="A27" s="1264"/>
      <c r="B27" s="1264" t="s">
        <v>2434</v>
      </c>
      <c r="C27" s="1264"/>
      <c r="D27" s="1264" t="s">
        <v>1403</v>
      </c>
      <c r="E27" s="1265" t="s">
        <v>2431</v>
      </c>
      <c r="F27" s="1264"/>
      <c r="G27" s="1264"/>
      <c r="H27" s="1266"/>
      <c r="I27" s="1324">
        <f>'2.1 Revenue_Interface'!AB277</f>
        <v>0</v>
      </c>
      <c r="J27" s="1324">
        <f>'2.1 Revenue_Interface'!AC277</f>
        <v>0</v>
      </c>
      <c r="K27" s="1324">
        <f>'2.1 Revenue_Interface'!AD277</f>
        <v>0</v>
      </c>
      <c r="L27" s="1324">
        <f>'2.1 Revenue_Interface'!AE277</f>
        <v>0</v>
      </c>
      <c r="M27" s="1324">
        <f>'2.1 Revenue_Interface'!AF277</f>
        <v>0</v>
      </c>
      <c r="AM27" s="1263">
        <v>0</v>
      </c>
      <c r="AN27" s="1263">
        <v>0</v>
      </c>
      <c r="AO27" s="1263">
        <v>0</v>
      </c>
      <c r="AP27" s="1263">
        <v>0</v>
      </c>
      <c r="AQ27" s="1263">
        <v>0</v>
      </c>
    </row>
    <row r="28" spans="1:43" s="1263" customFormat="1" ht="15.4">
      <c r="A28" s="1264"/>
      <c r="B28" s="1267" t="s">
        <v>2434</v>
      </c>
      <c r="C28" s="1267"/>
      <c r="D28" s="1267" t="s">
        <v>1403</v>
      </c>
      <c r="E28" s="1268" t="s">
        <v>2432</v>
      </c>
      <c r="F28" s="1267"/>
      <c r="G28" s="1267"/>
      <c r="H28" s="1269"/>
      <c r="I28" s="1325">
        <f>'2.1 Revenue_Interface'!AB278</f>
        <v>0</v>
      </c>
      <c r="J28" s="1325">
        <f>'2.1 Revenue_Interface'!AC278</f>
        <v>0</v>
      </c>
      <c r="K28" s="1325">
        <f>'2.1 Revenue_Interface'!AD278</f>
        <v>0</v>
      </c>
      <c r="L28" s="1325">
        <f>'2.1 Revenue_Interface'!AE278</f>
        <v>0</v>
      </c>
      <c r="M28" s="1325">
        <f>'2.1 Revenue_Interface'!AF278</f>
        <v>0</v>
      </c>
      <c r="AM28" s="1263">
        <v>0.35849999999999999</v>
      </c>
      <c r="AN28" s="1263">
        <v>0.46799000000000002</v>
      </c>
      <c r="AO28" s="1263">
        <v>0.43070999999999998</v>
      </c>
      <c r="AP28" s="1263">
        <v>0.28502</v>
      </c>
      <c r="AQ28" s="1263">
        <v>0.24676000000000001</v>
      </c>
    </row>
    <row r="29" spans="1:43" s="1263" customFormat="1" ht="15.4">
      <c r="A29" s="1264"/>
      <c r="B29" s="1264" t="s">
        <v>2435</v>
      </c>
      <c r="C29" s="1264"/>
      <c r="D29" s="1264" t="s">
        <v>1403</v>
      </c>
      <c r="E29" s="1265" t="s">
        <v>2426</v>
      </c>
      <c r="F29" s="1264"/>
      <c r="G29" s="1264"/>
      <c r="H29" s="1266"/>
      <c r="I29" s="1324">
        <f>'2.1 Revenue_Interface'!AB279</f>
        <v>0</v>
      </c>
      <c r="J29" s="1324">
        <f>'2.1 Revenue_Interface'!AC279</f>
        <v>0</v>
      </c>
      <c r="K29" s="1324">
        <f>'2.1 Revenue_Interface'!AD279</f>
        <v>0</v>
      </c>
      <c r="L29" s="1324">
        <f>'2.1 Revenue_Interface'!AE279</f>
        <v>0</v>
      </c>
      <c r="M29" s="1324">
        <f>'2.1 Revenue_Interface'!AF279</f>
        <v>0</v>
      </c>
      <c r="AM29" s="1263">
        <v>0</v>
      </c>
      <c r="AN29" s="1263">
        <v>0</v>
      </c>
      <c r="AO29" s="1263">
        <v>0</v>
      </c>
      <c r="AP29" s="1263">
        <v>0</v>
      </c>
      <c r="AQ29" s="1263">
        <v>0</v>
      </c>
    </row>
    <row r="30" spans="1:43" s="1263" customFormat="1" ht="15.4">
      <c r="A30" s="1264"/>
      <c r="B30" s="1264" t="s">
        <v>2435</v>
      </c>
      <c r="C30" s="1264"/>
      <c r="D30" s="1264" t="s">
        <v>1403</v>
      </c>
      <c r="E30" s="1265" t="s">
        <v>2428</v>
      </c>
      <c r="F30" s="1264"/>
      <c r="G30" s="1264"/>
      <c r="H30" s="1266"/>
      <c r="I30" s="1324">
        <f>'2.1 Revenue_Interface'!AB280</f>
        <v>0</v>
      </c>
      <c r="J30" s="1324">
        <f>'2.1 Revenue_Interface'!AC280</f>
        <v>0</v>
      </c>
      <c r="K30" s="1324">
        <f>'2.1 Revenue_Interface'!AD280</f>
        <v>0</v>
      </c>
      <c r="L30" s="1324">
        <f>'2.1 Revenue_Interface'!AE280</f>
        <v>0</v>
      </c>
      <c r="M30" s="1324">
        <f>'2.1 Revenue_Interface'!AF280</f>
        <v>0</v>
      </c>
      <c r="AM30" s="1263">
        <v>0</v>
      </c>
      <c r="AN30" s="1263">
        <v>3.1099999999999999E-3</v>
      </c>
      <c r="AO30" s="1263">
        <v>0</v>
      </c>
      <c r="AP30" s="1263">
        <v>0</v>
      </c>
      <c r="AQ30" s="1263">
        <v>0</v>
      </c>
    </row>
    <row r="31" spans="1:43" s="1263" customFormat="1" ht="15.4">
      <c r="A31" s="1264"/>
      <c r="B31" s="1264" t="s">
        <v>2435</v>
      </c>
      <c r="C31" s="1264"/>
      <c r="D31" s="1264" t="s">
        <v>1403</v>
      </c>
      <c r="E31" s="1265" t="s">
        <v>2429</v>
      </c>
      <c r="F31" s="1264"/>
      <c r="G31" s="1264"/>
      <c r="H31" s="1266"/>
      <c r="I31" s="1324">
        <f>'2.1 Revenue_Interface'!AB281</f>
        <v>0</v>
      </c>
      <c r="J31" s="1324">
        <f>'2.1 Revenue_Interface'!AC281</f>
        <v>0</v>
      </c>
      <c r="K31" s="1324">
        <f>'2.1 Revenue_Interface'!AD281</f>
        <v>0</v>
      </c>
      <c r="L31" s="1324">
        <f>'2.1 Revenue_Interface'!AE281</f>
        <v>0</v>
      </c>
      <c r="M31" s="1324">
        <f>'2.1 Revenue_Interface'!AF281</f>
        <v>0</v>
      </c>
      <c r="AM31" s="1263">
        <v>3.1460000000000002E-2</v>
      </c>
      <c r="AN31" s="1263">
        <v>3.918E-2</v>
      </c>
      <c r="AO31" s="1263">
        <v>4.045E-2</v>
      </c>
      <c r="AP31" s="1263">
        <v>3.85E-2</v>
      </c>
      <c r="AQ31" s="1263">
        <v>4.0079999999999998E-2</v>
      </c>
    </row>
    <row r="32" spans="1:43" s="1263" customFormat="1" ht="15.4">
      <c r="A32" s="1264"/>
      <c r="B32" s="1264" t="s">
        <v>2435</v>
      </c>
      <c r="C32" s="1264"/>
      <c r="D32" s="1264" t="s">
        <v>1403</v>
      </c>
      <c r="E32" s="1265" t="s">
        <v>2430</v>
      </c>
      <c r="F32" s="1264"/>
      <c r="G32" s="1264"/>
      <c r="H32" s="1266"/>
      <c r="I32" s="1324">
        <f>'2.1 Revenue_Interface'!AB282</f>
        <v>0</v>
      </c>
      <c r="J32" s="1324">
        <f>'2.1 Revenue_Interface'!AC282</f>
        <v>0</v>
      </c>
      <c r="K32" s="1324">
        <f>'2.1 Revenue_Interface'!AD282</f>
        <v>0</v>
      </c>
      <c r="L32" s="1324">
        <f>'2.1 Revenue_Interface'!AE282</f>
        <v>0</v>
      </c>
      <c r="M32" s="1324">
        <f>'2.1 Revenue_Interface'!AF282</f>
        <v>0</v>
      </c>
      <c r="AM32" s="1263">
        <v>0</v>
      </c>
      <c r="AN32" s="1263">
        <v>0</v>
      </c>
      <c r="AO32" s="1263">
        <v>0</v>
      </c>
      <c r="AP32" s="1263">
        <v>0</v>
      </c>
      <c r="AQ32" s="1263">
        <v>0</v>
      </c>
    </row>
    <row r="33" spans="1:43" s="1263" customFormat="1" ht="15.4">
      <c r="A33" s="1264"/>
      <c r="B33" s="1264" t="s">
        <v>2435</v>
      </c>
      <c r="C33" s="1264"/>
      <c r="D33" s="1264" t="s">
        <v>1403</v>
      </c>
      <c r="E33" s="1265" t="s">
        <v>2431</v>
      </c>
      <c r="F33" s="1264"/>
      <c r="G33" s="1264"/>
      <c r="H33" s="1266"/>
      <c r="I33" s="1324">
        <f>'2.1 Revenue_Interface'!AB283</f>
        <v>0</v>
      </c>
      <c r="J33" s="1324">
        <f>'2.1 Revenue_Interface'!AC283</f>
        <v>0</v>
      </c>
      <c r="K33" s="1324">
        <f>'2.1 Revenue_Interface'!AD283</f>
        <v>0</v>
      </c>
      <c r="L33" s="1324">
        <f>'2.1 Revenue_Interface'!AE283</f>
        <v>0</v>
      </c>
      <c r="M33" s="1324">
        <f>'2.1 Revenue_Interface'!AF283</f>
        <v>0</v>
      </c>
      <c r="AM33" s="1263">
        <v>0</v>
      </c>
      <c r="AN33" s="1263">
        <v>0</v>
      </c>
      <c r="AO33" s="1263">
        <v>0</v>
      </c>
      <c r="AP33" s="1263">
        <v>0</v>
      </c>
      <c r="AQ33" s="1263">
        <v>0</v>
      </c>
    </row>
    <row r="34" spans="1:43" s="1263" customFormat="1" ht="15.4">
      <c r="A34" s="1264"/>
      <c r="B34" s="1267" t="s">
        <v>2435</v>
      </c>
      <c r="C34" s="1267"/>
      <c r="D34" s="1267" t="s">
        <v>1403</v>
      </c>
      <c r="E34" s="1268" t="s">
        <v>2432</v>
      </c>
      <c r="F34" s="1267"/>
      <c r="G34" s="1267"/>
      <c r="H34" s="1269"/>
      <c r="I34" s="1325">
        <f>'2.1 Revenue_Interface'!AB284</f>
        <v>0</v>
      </c>
      <c r="J34" s="1325">
        <f>'2.1 Revenue_Interface'!AC284</f>
        <v>0</v>
      </c>
      <c r="K34" s="1325">
        <f>'2.1 Revenue_Interface'!AD284</f>
        <v>0</v>
      </c>
      <c r="L34" s="1325">
        <f>'2.1 Revenue_Interface'!AE284</f>
        <v>0</v>
      </c>
      <c r="M34" s="1325">
        <f>'2.1 Revenue_Interface'!AF284</f>
        <v>0</v>
      </c>
      <c r="AM34" s="1263">
        <v>0</v>
      </c>
      <c r="AN34" s="1263">
        <v>0</v>
      </c>
      <c r="AO34" s="1263">
        <v>0</v>
      </c>
      <c r="AP34" s="1263">
        <v>0</v>
      </c>
      <c r="AQ34" s="1263">
        <v>0</v>
      </c>
    </row>
    <row r="35" spans="1:43" s="1263" customFormat="1" ht="15.4">
      <c r="A35" s="1264"/>
      <c r="B35" s="1264" t="s">
        <v>2436</v>
      </c>
      <c r="C35" s="1264"/>
      <c r="D35" s="1264" t="s">
        <v>1403</v>
      </c>
      <c r="E35" s="1265" t="s">
        <v>2426</v>
      </c>
      <c r="F35" s="1264"/>
      <c r="G35" s="1264"/>
      <c r="H35" s="1266"/>
      <c r="I35" s="1324">
        <f>'2.1 Revenue_Interface'!AB285</f>
        <v>0</v>
      </c>
      <c r="J35" s="1324">
        <f>'2.1 Revenue_Interface'!AC285</f>
        <v>0</v>
      </c>
      <c r="K35" s="1324">
        <f>'2.1 Revenue_Interface'!AD285</f>
        <v>0</v>
      </c>
      <c r="L35" s="1324">
        <f>'2.1 Revenue_Interface'!AE285</f>
        <v>0</v>
      </c>
      <c r="M35" s="1324">
        <f>'2.1 Revenue_Interface'!AF285</f>
        <v>0</v>
      </c>
      <c r="AM35" s="1263">
        <v>0</v>
      </c>
      <c r="AN35" s="1263">
        <v>0</v>
      </c>
      <c r="AO35" s="1263">
        <v>0</v>
      </c>
      <c r="AP35" s="1263">
        <v>0</v>
      </c>
      <c r="AQ35" s="1263">
        <v>0</v>
      </c>
    </row>
    <row r="36" spans="1:43" s="1263" customFormat="1" ht="15.4">
      <c r="A36" s="1264"/>
      <c r="B36" s="1264" t="s">
        <v>2436</v>
      </c>
      <c r="C36" s="1264"/>
      <c r="D36" s="1264" t="s">
        <v>1403</v>
      </c>
      <c r="E36" s="1265" t="s">
        <v>2428</v>
      </c>
      <c r="F36" s="1264"/>
      <c r="G36" s="1264"/>
      <c r="H36" s="1266"/>
      <c r="I36" s="1324">
        <f>'2.1 Revenue_Interface'!AB286</f>
        <v>0</v>
      </c>
      <c r="J36" s="1324">
        <f>'2.1 Revenue_Interface'!AC286</f>
        <v>0</v>
      </c>
      <c r="K36" s="1324">
        <f>'2.1 Revenue_Interface'!AD286</f>
        <v>0</v>
      </c>
      <c r="L36" s="1324">
        <f>'2.1 Revenue_Interface'!AE286</f>
        <v>0</v>
      </c>
      <c r="M36" s="1324">
        <f>'2.1 Revenue_Interface'!AF286</f>
        <v>0</v>
      </c>
      <c r="AM36" s="1263">
        <v>0</v>
      </c>
      <c r="AN36" s="1263">
        <v>0</v>
      </c>
      <c r="AO36" s="1263">
        <v>0</v>
      </c>
      <c r="AP36" s="1263">
        <v>0</v>
      </c>
      <c r="AQ36" s="1263">
        <v>0</v>
      </c>
    </row>
    <row r="37" spans="1:43" s="1263" customFormat="1" ht="15.4">
      <c r="A37" s="1264"/>
      <c r="B37" s="1264" t="s">
        <v>2436</v>
      </c>
      <c r="C37" s="1264"/>
      <c r="D37" s="1264" t="s">
        <v>1403</v>
      </c>
      <c r="E37" s="1265" t="s">
        <v>2429</v>
      </c>
      <c r="F37" s="1264"/>
      <c r="G37" s="1264"/>
      <c r="H37" s="1266"/>
      <c r="I37" s="1324">
        <f>'2.1 Revenue_Interface'!AB287</f>
        <v>0</v>
      </c>
      <c r="J37" s="1324">
        <f>'2.1 Revenue_Interface'!AC287</f>
        <v>0</v>
      </c>
      <c r="K37" s="1324">
        <f>'2.1 Revenue_Interface'!AD287</f>
        <v>0</v>
      </c>
      <c r="L37" s="1324">
        <f>'2.1 Revenue_Interface'!AE287</f>
        <v>0</v>
      </c>
      <c r="M37" s="1324">
        <f>'2.1 Revenue_Interface'!AF287</f>
        <v>0</v>
      </c>
      <c r="AM37" s="1263">
        <v>0</v>
      </c>
      <c r="AN37" s="1263">
        <v>0</v>
      </c>
      <c r="AO37" s="1263">
        <v>0</v>
      </c>
      <c r="AP37" s="1263">
        <v>0</v>
      </c>
      <c r="AQ37" s="1263">
        <v>0</v>
      </c>
    </row>
    <row r="38" spans="1:43" s="1263" customFormat="1" ht="15.4">
      <c r="A38" s="1264"/>
      <c r="B38" s="1264" t="s">
        <v>2436</v>
      </c>
      <c r="C38" s="1264"/>
      <c r="D38" s="1264" t="s">
        <v>1403</v>
      </c>
      <c r="E38" s="1265" t="s">
        <v>2430</v>
      </c>
      <c r="F38" s="1264"/>
      <c r="G38" s="1264"/>
      <c r="H38" s="1266"/>
      <c r="I38" s="1324">
        <f>'2.1 Revenue_Interface'!AB288</f>
        <v>0</v>
      </c>
      <c r="J38" s="1324">
        <f>'2.1 Revenue_Interface'!AC288</f>
        <v>0</v>
      </c>
      <c r="K38" s="1324">
        <f>'2.1 Revenue_Interface'!AD288</f>
        <v>0</v>
      </c>
      <c r="L38" s="1324">
        <f>'2.1 Revenue_Interface'!AE288</f>
        <v>0</v>
      </c>
      <c r="M38" s="1324">
        <f>'2.1 Revenue_Interface'!AF288</f>
        <v>0</v>
      </c>
      <c r="AM38" s="1263">
        <v>1</v>
      </c>
      <c r="AN38" s="1263">
        <v>1</v>
      </c>
      <c r="AO38" s="1263">
        <v>1</v>
      </c>
      <c r="AP38" s="1263">
        <v>1</v>
      </c>
      <c r="AQ38" s="1263">
        <v>1</v>
      </c>
    </row>
    <row r="39" spans="1:43" s="1263" customFormat="1" ht="15.4">
      <c r="A39" s="1264"/>
      <c r="B39" s="1264" t="s">
        <v>2436</v>
      </c>
      <c r="C39" s="1264"/>
      <c r="D39" s="1264" t="s">
        <v>1403</v>
      </c>
      <c r="E39" s="1265" t="s">
        <v>2431</v>
      </c>
      <c r="F39" s="1264"/>
      <c r="G39" s="1264"/>
      <c r="H39" s="1266"/>
      <c r="I39" s="1324">
        <f>'2.1 Revenue_Interface'!AB289</f>
        <v>0</v>
      </c>
      <c r="J39" s="1324">
        <f>'2.1 Revenue_Interface'!AC289</f>
        <v>0</v>
      </c>
      <c r="K39" s="1324">
        <f>'2.1 Revenue_Interface'!AD289</f>
        <v>0</v>
      </c>
      <c r="L39" s="1324">
        <f>'2.1 Revenue_Interface'!AE289</f>
        <v>0</v>
      </c>
      <c r="M39" s="1324">
        <f>'2.1 Revenue_Interface'!AF289</f>
        <v>0</v>
      </c>
      <c r="AM39" s="1263">
        <v>1</v>
      </c>
      <c r="AN39" s="1263">
        <v>1</v>
      </c>
      <c r="AO39" s="1263">
        <v>1</v>
      </c>
      <c r="AP39" s="1263">
        <v>1</v>
      </c>
      <c r="AQ39" s="1263">
        <v>1</v>
      </c>
    </row>
    <row r="40" spans="1:43" s="1263" customFormat="1" ht="15.4">
      <c r="A40" s="1264"/>
      <c r="B40" s="1267" t="s">
        <v>2436</v>
      </c>
      <c r="C40" s="1267"/>
      <c r="D40" s="1267" t="s">
        <v>1403</v>
      </c>
      <c r="E40" s="1268" t="s">
        <v>2432</v>
      </c>
      <c r="F40" s="1267"/>
      <c r="G40" s="1267"/>
      <c r="H40" s="1269"/>
      <c r="I40" s="1325">
        <f>'2.1 Revenue_Interface'!AB290</f>
        <v>0</v>
      </c>
      <c r="J40" s="1325">
        <f>'2.1 Revenue_Interface'!AC290</f>
        <v>0</v>
      </c>
      <c r="K40" s="1325">
        <f>'2.1 Revenue_Interface'!AD290</f>
        <v>0</v>
      </c>
      <c r="L40" s="1325">
        <f>'2.1 Revenue_Interface'!AE290</f>
        <v>0</v>
      </c>
      <c r="M40" s="1325">
        <f>'2.1 Revenue_Interface'!AF290</f>
        <v>0</v>
      </c>
      <c r="AM40" s="1263">
        <v>0</v>
      </c>
      <c r="AN40" s="1263">
        <v>0</v>
      </c>
      <c r="AO40" s="1263">
        <v>0</v>
      </c>
      <c r="AP40" s="1263">
        <v>0</v>
      </c>
      <c r="AQ40" s="1263">
        <v>0</v>
      </c>
    </row>
    <row r="41" spans="1:43" s="1263" customFormat="1" ht="15.4">
      <c r="A41" s="1264"/>
      <c r="B41" s="1264" t="s">
        <v>2437</v>
      </c>
      <c r="C41" s="1264"/>
      <c r="D41" s="1264" t="s">
        <v>1403</v>
      </c>
      <c r="E41" s="1265" t="s">
        <v>2426</v>
      </c>
      <c r="F41" s="1264"/>
      <c r="G41" s="1264"/>
      <c r="H41" s="1266"/>
      <c r="I41" s="1324">
        <f>'2.1 Revenue_Interface'!AB291</f>
        <v>0</v>
      </c>
      <c r="J41" s="1324">
        <f>'2.1 Revenue_Interface'!AC291</f>
        <v>0</v>
      </c>
      <c r="K41" s="1324">
        <f>'2.1 Revenue_Interface'!AD291</f>
        <v>0</v>
      </c>
      <c r="L41" s="1324">
        <f>'2.1 Revenue_Interface'!AE291</f>
        <v>0</v>
      </c>
      <c r="M41" s="1324">
        <f>'2.1 Revenue_Interface'!AF291</f>
        <v>0</v>
      </c>
      <c r="AM41" s="1263">
        <v>0.02</v>
      </c>
      <c r="AN41" s="1263">
        <v>0.02</v>
      </c>
      <c r="AO41" s="1263">
        <v>0.02</v>
      </c>
      <c r="AP41" s="1263">
        <v>0.02</v>
      </c>
      <c r="AQ41" s="1263">
        <v>0.02</v>
      </c>
    </row>
    <row r="42" spans="1:43" s="1263" customFormat="1" ht="15.4">
      <c r="A42" s="1264"/>
      <c r="B42" s="1264" t="s">
        <v>2437</v>
      </c>
      <c r="C42" s="1264"/>
      <c r="D42" s="1264" t="s">
        <v>1403</v>
      </c>
      <c r="E42" s="1265" t="s">
        <v>2428</v>
      </c>
      <c r="F42" s="1264"/>
      <c r="G42" s="1264"/>
      <c r="H42" s="1266"/>
      <c r="I42" s="1324">
        <f>'2.1 Revenue_Interface'!AB292</f>
        <v>0</v>
      </c>
      <c r="J42" s="1324">
        <f>'2.1 Revenue_Interface'!AC292</f>
        <v>0</v>
      </c>
      <c r="K42" s="1324">
        <f>'2.1 Revenue_Interface'!AD292</f>
        <v>0</v>
      </c>
      <c r="L42" s="1324">
        <f>'2.1 Revenue_Interface'!AE292</f>
        <v>0</v>
      </c>
      <c r="M42" s="1324">
        <f>'2.1 Revenue_Interface'!AF292</f>
        <v>0</v>
      </c>
      <c r="AM42" s="1263">
        <v>0.02</v>
      </c>
      <c r="AN42" s="1263">
        <v>0.02</v>
      </c>
      <c r="AO42" s="1263">
        <v>0.02</v>
      </c>
      <c r="AP42" s="1263">
        <v>0.02</v>
      </c>
      <c r="AQ42" s="1263">
        <v>0.02</v>
      </c>
    </row>
    <row r="43" spans="1:43" s="1263" customFormat="1" ht="15.4">
      <c r="A43" s="1264"/>
      <c r="B43" s="1264" t="s">
        <v>2437</v>
      </c>
      <c r="C43" s="1264"/>
      <c r="D43" s="1264" t="s">
        <v>1403</v>
      </c>
      <c r="E43" s="1265" t="s">
        <v>2429</v>
      </c>
      <c r="F43" s="1264"/>
      <c r="G43" s="1264"/>
      <c r="H43" s="1266"/>
      <c r="I43" s="1324">
        <f>'2.1 Revenue_Interface'!AB293</f>
        <v>0</v>
      </c>
      <c r="J43" s="1324">
        <f>'2.1 Revenue_Interface'!AC293</f>
        <v>0</v>
      </c>
      <c r="K43" s="1324">
        <f>'2.1 Revenue_Interface'!AD293</f>
        <v>0</v>
      </c>
      <c r="L43" s="1324">
        <f>'2.1 Revenue_Interface'!AE293</f>
        <v>0</v>
      </c>
      <c r="M43" s="1324">
        <f>'2.1 Revenue_Interface'!AF293</f>
        <v>0</v>
      </c>
      <c r="AM43" s="1263">
        <v>0</v>
      </c>
      <c r="AN43" s="1263">
        <v>0</v>
      </c>
      <c r="AO43" s="1263">
        <v>0</v>
      </c>
      <c r="AP43" s="1263">
        <v>0</v>
      </c>
      <c r="AQ43" s="1263">
        <v>0</v>
      </c>
    </row>
    <row r="44" spans="1:43" s="1263" customFormat="1" ht="15.4">
      <c r="A44" s="1264"/>
      <c r="B44" s="1264" t="s">
        <v>2437</v>
      </c>
      <c r="C44" s="1264"/>
      <c r="D44" s="1264" t="s">
        <v>1403</v>
      </c>
      <c r="E44" s="1265" t="s">
        <v>2430</v>
      </c>
      <c r="F44" s="1264"/>
      <c r="G44" s="1264"/>
      <c r="H44" s="1266"/>
      <c r="I44" s="1324">
        <f>'2.1 Revenue_Interface'!AB294</f>
        <v>0</v>
      </c>
      <c r="J44" s="1324">
        <f>'2.1 Revenue_Interface'!AC294</f>
        <v>0</v>
      </c>
      <c r="K44" s="1324">
        <f>'2.1 Revenue_Interface'!AD294</f>
        <v>0</v>
      </c>
      <c r="L44" s="1324">
        <f>'2.1 Revenue_Interface'!AE294</f>
        <v>0</v>
      </c>
      <c r="M44" s="1324">
        <f>'2.1 Revenue_Interface'!AF294</f>
        <v>0</v>
      </c>
      <c r="AM44" s="1263">
        <v>0</v>
      </c>
      <c r="AN44" s="1263">
        <v>0</v>
      </c>
      <c r="AO44" s="1263">
        <v>0</v>
      </c>
      <c r="AP44" s="1263">
        <v>0</v>
      </c>
      <c r="AQ44" s="1263">
        <v>0</v>
      </c>
    </row>
    <row r="45" spans="1:43" s="1263" customFormat="1" ht="15.4">
      <c r="A45" s="1264"/>
      <c r="B45" s="1264" t="s">
        <v>2437</v>
      </c>
      <c r="C45" s="1264"/>
      <c r="D45" s="1264" t="s">
        <v>1403</v>
      </c>
      <c r="E45" s="1265" t="s">
        <v>2431</v>
      </c>
      <c r="F45" s="1264"/>
      <c r="G45" s="1264"/>
      <c r="H45" s="1266"/>
      <c r="I45" s="1324">
        <f>'2.1 Revenue_Interface'!AB295</f>
        <v>0</v>
      </c>
      <c r="J45" s="1324">
        <f>'2.1 Revenue_Interface'!AC295</f>
        <v>0</v>
      </c>
      <c r="K45" s="1324">
        <f>'2.1 Revenue_Interface'!AD295</f>
        <v>0</v>
      </c>
      <c r="L45" s="1324">
        <f>'2.1 Revenue_Interface'!AE295</f>
        <v>0</v>
      </c>
      <c r="M45" s="1324">
        <f>'2.1 Revenue_Interface'!AF295</f>
        <v>0</v>
      </c>
      <c r="AM45" s="1263">
        <v>0</v>
      </c>
      <c r="AN45" s="1263">
        <v>0</v>
      </c>
      <c r="AO45" s="1263">
        <v>0</v>
      </c>
      <c r="AP45" s="1263">
        <v>0</v>
      </c>
      <c r="AQ45" s="1263">
        <v>0</v>
      </c>
    </row>
    <row r="46" spans="1:43" s="1263" customFormat="1" ht="15.4">
      <c r="A46" s="1264"/>
      <c r="B46" s="1264" t="s">
        <v>2437</v>
      </c>
      <c r="C46" s="1264"/>
      <c r="D46" s="1264" t="s">
        <v>1403</v>
      </c>
      <c r="E46" s="1265" t="s">
        <v>2432</v>
      </c>
      <c r="F46" s="1264"/>
      <c r="G46" s="1264"/>
      <c r="H46" s="1266"/>
      <c r="I46" s="1324">
        <f>'2.1 Revenue_Interface'!AB296</f>
        <v>0</v>
      </c>
      <c r="J46" s="1324">
        <f>'2.1 Revenue_Interface'!AC296</f>
        <v>0</v>
      </c>
      <c r="K46" s="1324">
        <f>'2.1 Revenue_Interface'!AD296</f>
        <v>0</v>
      </c>
      <c r="L46" s="1324">
        <f>'2.1 Revenue_Interface'!AE296</f>
        <v>0</v>
      </c>
      <c r="M46" s="1324">
        <f>'2.1 Revenue_Interface'!AF296</f>
        <v>0</v>
      </c>
      <c r="AM46" s="1263">
        <v>3.7620000000000001E-2</v>
      </c>
      <c r="AN46" s="1263">
        <v>5.1540000000000002E-2</v>
      </c>
      <c r="AO46" s="1263">
        <v>4.6870000000000002E-2</v>
      </c>
      <c r="AP46" s="1263">
        <v>2.051E-2</v>
      </c>
      <c r="AQ46" s="1263">
        <v>1.7760000000000001E-2</v>
      </c>
    </row>
    <row r="47" spans="1:43" s="1263" customFormat="1" ht="15.4">
      <c r="A47" s="1264"/>
      <c r="B47" s="1264"/>
      <c r="C47" s="1264"/>
      <c r="D47" s="1264"/>
      <c r="E47" s="1264"/>
      <c r="F47" s="1264"/>
      <c r="G47" s="1264"/>
      <c r="H47" s="1266"/>
      <c r="I47" s="1266"/>
      <c r="J47" s="1266"/>
      <c r="K47" s="1266"/>
      <c r="L47" s="1266"/>
      <c r="M47" s="1266"/>
    </row>
    <row r="48" spans="1:43" s="1263" customFormat="1" ht="15.4">
      <c r="A48" s="728" t="s">
        <v>2438</v>
      </c>
      <c r="B48" s="728"/>
      <c r="C48" s="728"/>
      <c r="D48" s="728"/>
      <c r="E48" s="728"/>
      <c r="F48" s="728"/>
      <c r="G48" s="728"/>
      <c r="H48" s="728"/>
      <c r="I48" s="728"/>
      <c r="J48" s="728"/>
      <c r="K48" s="728"/>
      <c r="L48" s="728"/>
      <c r="M48" s="728"/>
    </row>
    <row r="49" spans="1:13" s="1263" customFormat="1" ht="15.4">
      <c r="A49" s="1264"/>
      <c r="B49" s="1264"/>
      <c r="C49" s="1264"/>
      <c r="D49" s="1264"/>
      <c r="E49" s="1264"/>
      <c r="F49" s="1264"/>
      <c r="G49" s="1264"/>
      <c r="H49" s="1266"/>
      <c r="I49" s="1266"/>
      <c r="J49" s="1266"/>
      <c r="K49" s="1266"/>
      <c r="L49" s="1266"/>
      <c r="M49" s="1266"/>
    </row>
    <row r="50" spans="1:13" s="1263" customFormat="1" ht="15.4">
      <c r="A50" s="1264"/>
      <c r="B50" s="1264" t="s">
        <v>2426</v>
      </c>
      <c r="C50" s="1264"/>
      <c r="D50" s="1264" t="s">
        <v>1428</v>
      </c>
      <c r="E50" s="1264"/>
      <c r="F50" s="1264"/>
      <c r="G50" s="1264"/>
      <c r="H50" s="1266"/>
      <c r="I50" s="1270">
        <f>'4.1 TO PCFM Input Summary'!H46+'4.1 TO PCFM Input Summary'!H54</f>
        <v>0</v>
      </c>
      <c r="J50" s="1270">
        <f>'4.1 TO PCFM Input Summary'!I46+'4.1 TO PCFM Input Summary'!I54</f>
        <v>0</v>
      </c>
      <c r="K50" s="1270">
        <f>'4.1 TO PCFM Input Summary'!J46+'4.1 TO PCFM Input Summary'!J54</f>
        <v>0</v>
      </c>
      <c r="L50" s="1270">
        <f>'4.1 TO PCFM Input Summary'!K46+'4.1 TO PCFM Input Summary'!K54</f>
        <v>0</v>
      </c>
      <c r="M50" s="1270">
        <f>'4.1 TO PCFM Input Summary'!L46+'4.1 TO PCFM Input Summary'!L54</f>
        <v>0</v>
      </c>
    </row>
    <row r="51" spans="1:13" s="1263" customFormat="1" ht="15.4">
      <c r="A51" s="1264"/>
      <c r="B51" s="1264" t="s">
        <v>2428</v>
      </c>
      <c r="C51" s="1264"/>
      <c r="D51" s="1264" t="s">
        <v>1428</v>
      </c>
      <c r="E51" s="1264"/>
      <c r="F51" s="1264"/>
      <c r="G51" s="1264"/>
      <c r="H51" s="1266"/>
      <c r="I51" s="1270">
        <f>'4.1 TO PCFM Input Summary'!H47+'4.1 TO PCFM Input Summary'!H55</f>
        <v>0</v>
      </c>
      <c r="J51" s="1270">
        <f>'4.1 TO PCFM Input Summary'!I47+'4.1 TO PCFM Input Summary'!I55</f>
        <v>0</v>
      </c>
      <c r="K51" s="1270">
        <f>'4.1 TO PCFM Input Summary'!J47+'4.1 TO PCFM Input Summary'!J55</f>
        <v>0</v>
      </c>
      <c r="L51" s="1270">
        <f>'4.1 TO PCFM Input Summary'!K47+'4.1 TO PCFM Input Summary'!K55</f>
        <v>0</v>
      </c>
      <c r="M51" s="1270">
        <f>'4.1 TO PCFM Input Summary'!L47+'4.1 TO PCFM Input Summary'!L55</f>
        <v>0</v>
      </c>
    </row>
    <row r="52" spans="1:13" s="1263" customFormat="1" ht="15.4">
      <c r="A52" s="1264"/>
      <c r="B52" s="1264" t="s">
        <v>2429</v>
      </c>
      <c r="C52" s="1264"/>
      <c r="D52" s="1264" t="s">
        <v>1428</v>
      </c>
      <c r="E52" s="1264"/>
      <c r="F52" s="1264"/>
      <c r="G52" s="1264"/>
      <c r="H52" s="1266"/>
      <c r="I52" s="1270">
        <f>'4.1 TO PCFM Input Summary'!H48+'4.1 TO PCFM Input Summary'!H56</f>
        <v>0</v>
      </c>
      <c r="J52" s="1270">
        <f>'4.1 TO PCFM Input Summary'!I48+'4.1 TO PCFM Input Summary'!I56</f>
        <v>0</v>
      </c>
      <c r="K52" s="1270">
        <f>'4.1 TO PCFM Input Summary'!J48+'4.1 TO PCFM Input Summary'!J56</f>
        <v>0</v>
      </c>
      <c r="L52" s="1270">
        <f>'4.1 TO PCFM Input Summary'!K48+'4.1 TO PCFM Input Summary'!K56</f>
        <v>0</v>
      </c>
      <c r="M52" s="1270">
        <f>'4.1 TO PCFM Input Summary'!L48+'4.1 TO PCFM Input Summary'!L56</f>
        <v>0</v>
      </c>
    </row>
    <row r="53" spans="1:13" s="1263" customFormat="1" ht="15.4">
      <c r="A53" s="1264"/>
      <c r="B53" s="1264" t="s">
        <v>2439</v>
      </c>
      <c r="C53" s="1264"/>
      <c r="D53" s="1264" t="s">
        <v>1428</v>
      </c>
      <c r="E53" s="1264"/>
      <c r="F53" s="1264"/>
      <c r="G53" s="1264"/>
      <c r="H53" s="1266"/>
      <c r="I53" s="1270">
        <f>'4.1 TO PCFM Input Summary'!H49+'4.1 TO PCFM Input Summary'!H57</f>
        <v>0</v>
      </c>
      <c r="J53" s="1270">
        <f>'4.1 TO PCFM Input Summary'!I49+'4.1 TO PCFM Input Summary'!I57</f>
        <v>0</v>
      </c>
      <c r="K53" s="1270">
        <f>'4.1 TO PCFM Input Summary'!J49+'4.1 TO PCFM Input Summary'!J57</f>
        <v>0</v>
      </c>
      <c r="L53" s="1270">
        <f>'4.1 TO PCFM Input Summary'!K49+'4.1 TO PCFM Input Summary'!K57</f>
        <v>0</v>
      </c>
      <c r="M53" s="1270">
        <f>'4.1 TO PCFM Input Summary'!L49+'4.1 TO PCFM Input Summary'!L57</f>
        <v>0</v>
      </c>
    </row>
    <row r="54" spans="1:13" s="1263" customFormat="1" ht="15.4">
      <c r="A54" s="1264"/>
      <c r="B54" s="1264" t="s">
        <v>2431</v>
      </c>
      <c r="C54" s="1264"/>
      <c r="D54" s="1264" t="s">
        <v>1428</v>
      </c>
      <c r="E54" s="1264"/>
      <c r="F54" s="1264"/>
      <c r="G54" s="1264"/>
      <c r="H54" s="1266"/>
      <c r="I54" s="1270">
        <f>'4.1 TO PCFM Input Summary'!H50+'4.1 TO PCFM Input Summary'!H58</f>
        <v>0</v>
      </c>
      <c r="J54" s="1270">
        <f>'4.1 TO PCFM Input Summary'!I50+'4.1 TO PCFM Input Summary'!I58</f>
        <v>0</v>
      </c>
      <c r="K54" s="1270">
        <f>'4.1 TO PCFM Input Summary'!J50+'4.1 TO PCFM Input Summary'!J58</f>
        <v>0</v>
      </c>
      <c r="L54" s="1270">
        <f>'4.1 TO PCFM Input Summary'!K50+'4.1 TO PCFM Input Summary'!K58</f>
        <v>0</v>
      </c>
      <c r="M54" s="1270">
        <f>'4.1 TO PCFM Input Summary'!L50+'4.1 TO PCFM Input Summary'!L58</f>
        <v>0</v>
      </c>
    </row>
    <row r="55" spans="1:13" s="1263" customFormat="1" ht="15.4">
      <c r="A55" s="1264"/>
      <c r="B55" s="1264" t="s">
        <v>2432</v>
      </c>
      <c r="C55" s="1264"/>
      <c r="D55" s="1264" t="s">
        <v>1428</v>
      </c>
      <c r="E55" s="1264"/>
      <c r="F55" s="1264"/>
      <c r="G55" s="1264"/>
      <c r="H55" s="1266"/>
      <c r="I55" s="1270">
        <f>'4.1 TO PCFM Input Summary'!H51+'4.1 TO PCFM Input Summary'!H59</f>
        <v>0</v>
      </c>
      <c r="J55" s="1270">
        <f>'4.1 TO PCFM Input Summary'!I51+'4.1 TO PCFM Input Summary'!I59</f>
        <v>0</v>
      </c>
      <c r="K55" s="1270">
        <f>'4.1 TO PCFM Input Summary'!J51+'4.1 TO PCFM Input Summary'!J59</f>
        <v>0</v>
      </c>
      <c r="L55" s="1270">
        <f>'4.1 TO PCFM Input Summary'!K51+'4.1 TO PCFM Input Summary'!K59</f>
        <v>0</v>
      </c>
      <c r="M55" s="1270">
        <f>'4.1 TO PCFM Input Summary'!L51+'4.1 TO PCFM Input Summary'!L59</f>
        <v>0</v>
      </c>
    </row>
    <row r="56" spans="1:13" s="1263" customFormat="1" ht="15.4">
      <c r="A56" s="1264"/>
      <c r="B56" s="1264" t="s">
        <v>2440</v>
      </c>
      <c r="C56" s="1264"/>
      <c r="D56" s="1264"/>
      <c r="E56" s="1264"/>
      <c r="F56" s="1264"/>
      <c r="G56" s="1264"/>
      <c r="H56" s="1266"/>
      <c r="I56" s="1271">
        <f>SUM(I50:I55)</f>
        <v>0</v>
      </c>
      <c r="J56" s="1271">
        <f t="shared" ref="J56:M56" si="0">SUM(J50:J55)</f>
        <v>0</v>
      </c>
      <c r="K56" s="1271">
        <f t="shared" si="0"/>
        <v>0</v>
      </c>
      <c r="L56" s="1271">
        <f t="shared" si="0"/>
        <v>0</v>
      </c>
      <c r="M56" s="1271">
        <f t="shared" si="0"/>
        <v>0</v>
      </c>
    </row>
    <row r="57" spans="1:13" s="1263" customFormat="1" ht="15.4">
      <c r="A57" s="1264"/>
      <c r="B57" s="1264"/>
      <c r="C57" s="1264"/>
      <c r="D57" s="1264"/>
      <c r="E57" s="1264"/>
      <c r="F57" s="1264"/>
      <c r="G57" s="1264"/>
      <c r="H57" s="1266"/>
      <c r="I57" s="1264"/>
      <c r="J57" s="1264"/>
      <c r="K57" s="1264"/>
      <c r="L57" s="1264"/>
      <c r="M57" s="1264"/>
    </row>
    <row r="58" spans="1:13" s="1263" customFormat="1" ht="15.4">
      <c r="A58" s="1264"/>
      <c r="B58" s="1264"/>
      <c r="C58" s="1264"/>
      <c r="D58" s="1264"/>
      <c r="E58" s="1264"/>
      <c r="F58" s="1264"/>
      <c r="G58" s="1264"/>
      <c r="H58" s="1266"/>
      <c r="I58" s="1264"/>
      <c r="J58" s="1264"/>
      <c r="K58" s="1264"/>
      <c r="L58" s="1264"/>
      <c r="M58" s="1264"/>
    </row>
    <row r="59" spans="1:13" s="1263" customFormat="1" ht="15.4">
      <c r="A59" s="1264"/>
      <c r="B59" s="1264"/>
      <c r="C59" s="1264"/>
      <c r="D59" s="1264"/>
      <c r="E59" s="1264"/>
      <c r="F59" s="1264"/>
      <c r="G59" s="1264"/>
      <c r="H59" s="1266"/>
      <c r="I59" s="1266"/>
      <c r="J59" s="1266"/>
      <c r="K59" s="1266"/>
      <c r="L59" s="1266"/>
      <c r="M59" s="1266"/>
    </row>
    <row r="60" spans="1:13" s="1263" customFormat="1" ht="15.4">
      <c r="A60" s="1264"/>
      <c r="B60" s="1264" t="s">
        <v>2425</v>
      </c>
      <c r="C60" s="1264"/>
      <c r="D60" s="1264" t="s">
        <v>1428</v>
      </c>
      <c r="E60" s="1265" t="s">
        <v>2426</v>
      </c>
      <c r="F60" s="1264"/>
      <c r="G60" s="1264"/>
      <c r="H60" s="1266"/>
      <c r="I60" s="1270">
        <f>INDEX($I$50:$I$55, MATCH($E60, $B$50:$B$55, 0)) * I11</f>
        <v>0</v>
      </c>
      <c r="J60" s="1270">
        <f>INDEX($J$50:$J$55, MATCH($E60, $B$50:$B$55, 0)) * J11</f>
        <v>0</v>
      </c>
      <c r="K60" s="1270">
        <f>INDEX($K$50:$K$55, MATCH($E60, $B$50:$B$55, 0)) * K11</f>
        <v>0</v>
      </c>
      <c r="L60" s="1270">
        <f>INDEX($L$50:$L$55, MATCH($E60, $B$50:$B$55, 0)) * L11</f>
        <v>0</v>
      </c>
      <c r="M60" s="1270">
        <f>INDEX($M$50:$M$55, MATCH($E60, $B$50:$B$55, 0)) * M11</f>
        <v>0</v>
      </c>
    </row>
    <row r="61" spans="1:13" s="1263" customFormat="1" ht="15.4">
      <c r="A61" s="1264"/>
      <c r="B61" s="1264" t="s">
        <v>2425</v>
      </c>
      <c r="C61" s="1264"/>
      <c r="D61" s="1264" t="s">
        <v>1428</v>
      </c>
      <c r="E61" s="1265" t="s">
        <v>2428</v>
      </c>
      <c r="F61" s="1264"/>
      <c r="G61" s="1264"/>
      <c r="H61" s="1266"/>
      <c r="I61" s="1270">
        <f t="shared" ref="I61:I95" si="1">INDEX($I$50:$I$55, MATCH($E61, $B$50:$B$55, 0)) * I12</f>
        <v>0</v>
      </c>
      <c r="J61" s="1270">
        <f t="shared" ref="J61:J64" si="2">INDEX($J$50:$J$55, MATCH($E61, $B$50:$B$55, 0)) * J12</f>
        <v>0</v>
      </c>
      <c r="K61" s="1270">
        <f t="shared" ref="K61:K64" si="3">INDEX($K$50:$K$55, MATCH($E61, $B$50:$B$55, 0)) * K12</f>
        <v>0</v>
      </c>
      <c r="L61" s="1270">
        <f t="shared" ref="L61:L64" si="4">INDEX($L$50:$L$55, MATCH($E61, $B$50:$B$55, 0)) * L12</f>
        <v>0</v>
      </c>
      <c r="M61" s="1270">
        <f t="shared" ref="M61:M95" si="5">INDEX($M$50:$M$55, MATCH($E61, $B$50:$B$55, 0)) * M12</f>
        <v>0</v>
      </c>
    </row>
    <row r="62" spans="1:13" s="1263" customFormat="1" ht="15.4">
      <c r="A62" s="1264"/>
      <c r="B62" s="1264" t="s">
        <v>2425</v>
      </c>
      <c r="C62" s="1264"/>
      <c r="D62" s="1264" t="s">
        <v>1428</v>
      </c>
      <c r="E62" s="1265" t="s">
        <v>2429</v>
      </c>
      <c r="F62" s="1264"/>
      <c r="G62" s="1264"/>
      <c r="H62" s="1266"/>
      <c r="I62" s="1270">
        <f t="shared" si="1"/>
        <v>0</v>
      </c>
      <c r="J62" s="1270">
        <f t="shared" si="2"/>
        <v>0</v>
      </c>
      <c r="K62" s="1270">
        <f t="shared" si="3"/>
        <v>0</v>
      </c>
      <c r="L62" s="1270">
        <f t="shared" si="4"/>
        <v>0</v>
      </c>
      <c r="M62" s="1270">
        <f t="shared" si="5"/>
        <v>0</v>
      </c>
    </row>
    <row r="63" spans="1:13" s="1263" customFormat="1" ht="15.4">
      <c r="A63" s="1264"/>
      <c r="B63" s="1264" t="s">
        <v>2425</v>
      </c>
      <c r="C63" s="1264"/>
      <c r="D63" s="1264" t="s">
        <v>1428</v>
      </c>
      <c r="E63" s="1265" t="s">
        <v>2439</v>
      </c>
      <c r="F63" s="1264"/>
      <c r="G63" s="1264"/>
      <c r="H63" s="1266"/>
      <c r="I63" s="1270">
        <f t="shared" si="1"/>
        <v>0</v>
      </c>
      <c r="J63" s="1270">
        <f t="shared" si="2"/>
        <v>0</v>
      </c>
      <c r="K63" s="1270">
        <f t="shared" si="3"/>
        <v>0</v>
      </c>
      <c r="L63" s="1270">
        <f t="shared" si="4"/>
        <v>0</v>
      </c>
      <c r="M63" s="1270">
        <f t="shared" si="5"/>
        <v>0</v>
      </c>
    </row>
    <row r="64" spans="1:13" s="1263" customFormat="1" ht="15.4">
      <c r="A64" s="1264"/>
      <c r="B64" s="1264" t="s">
        <v>2425</v>
      </c>
      <c r="C64" s="1264"/>
      <c r="D64" s="1264" t="s">
        <v>1428</v>
      </c>
      <c r="E64" s="1265" t="s">
        <v>2431</v>
      </c>
      <c r="F64" s="1264"/>
      <c r="G64" s="1264"/>
      <c r="H64" s="1266"/>
      <c r="I64" s="1270">
        <f t="shared" si="1"/>
        <v>0</v>
      </c>
      <c r="J64" s="1270">
        <f t="shared" si="2"/>
        <v>0</v>
      </c>
      <c r="K64" s="1270">
        <f t="shared" si="3"/>
        <v>0</v>
      </c>
      <c r="L64" s="1270">
        <f t="shared" si="4"/>
        <v>0</v>
      </c>
      <c r="M64" s="1270">
        <f t="shared" si="5"/>
        <v>0</v>
      </c>
    </row>
    <row r="65" spans="1:15" s="1263" customFormat="1" ht="15.4">
      <c r="A65" s="1264"/>
      <c r="B65" s="1267" t="s">
        <v>2425</v>
      </c>
      <c r="C65" s="1267"/>
      <c r="D65" s="1267" t="s">
        <v>1428</v>
      </c>
      <c r="E65" s="1268" t="s">
        <v>2432</v>
      </c>
      <c r="F65" s="1267"/>
      <c r="G65" s="1267"/>
      <c r="H65" s="1269"/>
      <c r="I65" s="1272">
        <f t="shared" si="1"/>
        <v>0</v>
      </c>
      <c r="J65" s="1272">
        <f>INDEX($J$50:$J$55, MATCH($E65, $B$50:$B$55, 0)) * J16</f>
        <v>0</v>
      </c>
      <c r="K65" s="1272">
        <f>INDEX($K$50:$K$55, MATCH($E65, $B$50:$B$55, 0)) * K16</f>
        <v>0</v>
      </c>
      <c r="L65" s="1272">
        <f>INDEX($L$50:$L$55, MATCH($E65, $B$50:$B$55, 0)) * L16</f>
        <v>0</v>
      </c>
      <c r="M65" s="1272">
        <f t="shared" si="5"/>
        <v>0</v>
      </c>
    </row>
    <row r="66" spans="1:15" s="1263" customFormat="1" ht="15.4">
      <c r="A66" s="1264"/>
      <c r="B66" s="1264" t="s">
        <v>2433</v>
      </c>
      <c r="C66" s="1264"/>
      <c r="D66" s="1264" t="s">
        <v>1428</v>
      </c>
      <c r="E66" s="1265" t="s">
        <v>2426</v>
      </c>
      <c r="F66" s="1264"/>
      <c r="G66" s="1264"/>
      <c r="H66" s="1266"/>
      <c r="I66" s="1270">
        <f t="shared" si="1"/>
        <v>0</v>
      </c>
      <c r="J66" s="1270">
        <f t="shared" ref="J66:J95" si="6">INDEX($J$50:$J$55, MATCH($E66, $B$50:$B$55, 0)) * J17</f>
        <v>0</v>
      </c>
      <c r="K66" s="1270">
        <f t="shared" ref="K66:K95" si="7">INDEX($K$50:$K$55, MATCH($E66, $B$50:$B$55, 0)) * K17</f>
        <v>0</v>
      </c>
      <c r="L66" s="1270">
        <f t="shared" ref="L66:L95" si="8">INDEX($L$50:$L$55, MATCH($E66, $B$50:$B$55, 0)) * L17</f>
        <v>0</v>
      </c>
      <c r="M66" s="1270">
        <f t="shared" si="5"/>
        <v>0</v>
      </c>
    </row>
    <row r="67" spans="1:15" s="1263" customFormat="1" ht="15.4">
      <c r="A67" s="1264"/>
      <c r="B67" s="1264" t="s">
        <v>2433</v>
      </c>
      <c r="C67" s="1264"/>
      <c r="D67" s="1264" t="s">
        <v>1428</v>
      </c>
      <c r="E67" s="1265" t="s">
        <v>2428</v>
      </c>
      <c r="F67" s="1264"/>
      <c r="G67" s="1264"/>
      <c r="H67" s="1266"/>
      <c r="I67" s="1270">
        <f t="shared" si="1"/>
        <v>0</v>
      </c>
      <c r="J67" s="1270">
        <f>INDEX($J$50:$J$55, MATCH($E67, $B$50:$B$55, 0)) * J18</f>
        <v>0</v>
      </c>
      <c r="K67" s="1270">
        <f t="shared" si="7"/>
        <v>0</v>
      </c>
      <c r="L67" s="1270">
        <f t="shared" si="8"/>
        <v>0</v>
      </c>
      <c r="M67" s="1270">
        <f t="shared" si="5"/>
        <v>0</v>
      </c>
    </row>
    <row r="68" spans="1:15" s="1263" customFormat="1" ht="15.4">
      <c r="A68" s="1264"/>
      <c r="B68" s="1264" t="s">
        <v>2433</v>
      </c>
      <c r="C68" s="1264"/>
      <c r="D68" s="1264" t="s">
        <v>1428</v>
      </c>
      <c r="E68" s="1265" t="s">
        <v>2429</v>
      </c>
      <c r="F68" s="1264"/>
      <c r="G68" s="1264"/>
      <c r="H68" s="1266"/>
      <c r="I68" s="1270">
        <f t="shared" si="1"/>
        <v>0</v>
      </c>
      <c r="J68" s="1270">
        <f t="shared" si="6"/>
        <v>0</v>
      </c>
      <c r="K68" s="1270">
        <f t="shared" si="7"/>
        <v>0</v>
      </c>
      <c r="L68" s="1270">
        <f t="shared" si="8"/>
        <v>0</v>
      </c>
      <c r="M68" s="1270">
        <f t="shared" si="5"/>
        <v>0</v>
      </c>
    </row>
    <row r="69" spans="1:15" s="1263" customFormat="1" ht="15.4">
      <c r="A69" s="1264"/>
      <c r="B69" s="1264" t="s">
        <v>2433</v>
      </c>
      <c r="C69" s="1264"/>
      <c r="D69" s="1264" t="s">
        <v>1428</v>
      </c>
      <c r="E69" s="1265" t="s">
        <v>2439</v>
      </c>
      <c r="F69" s="1264"/>
      <c r="G69" s="1264"/>
      <c r="H69" s="1266"/>
      <c r="I69" s="1270">
        <f t="shared" si="1"/>
        <v>0</v>
      </c>
      <c r="J69" s="1270">
        <f t="shared" si="6"/>
        <v>0</v>
      </c>
      <c r="K69" s="1270">
        <f t="shared" si="7"/>
        <v>0</v>
      </c>
      <c r="L69" s="1270">
        <f t="shared" si="8"/>
        <v>0</v>
      </c>
      <c r="M69" s="1270">
        <f t="shared" si="5"/>
        <v>0</v>
      </c>
    </row>
    <row r="70" spans="1:15" s="1263" customFormat="1" ht="15.4">
      <c r="A70" s="1264"/>
      <c r="B70" s="1264" t="s">
        <v>2433</v>
      </c>
      <c r="C70" s="1264"/>
      <c r="D70" s="1264" t="s">
        <v>1428</v>
      </c>
      <c r="E70" s="1265" t="s">
        <v>2431</v>
      </c>
      <c r="F70" s="1264"/>
      <c r="G70" s="1264"/>
      <c r="H70" s="1266"/>
      <c r="I70" s="1270">
        <f t="shared" si="1"/>
        <v>0</v>
      </c>
      <c r="J70" s="1270">
        <f t="shared" si="6"/>
        <v>0</v>
      </c>
      <c r="K70" s="1270">
        <f t="shared" si="7"/>
        <v>0</v>
      </c>
      <c r="L70" s="1270">
        <f t="shared" si="8"/>
        <v>0</v>
      </c>
      <c r="M70" s="1270">
        <f t="shared" si="5"/>
        <v>0</v>
      </c>
      <c r="O70" s="1273"/>
    </row>
    <row r="71" spans="1:15" s="1263" customFormat="1" ht="15.4">
      <c r="A71" s="1264"/>
      <c r="B71" s="1267" t="s">
        <v>2433</v>
      </c>
      <c r="C71" s="1267"/>
      <c r="D71" s="1267" t="s">
        <v>1428</v>
      </c>
      <c r="E71" s="1268" t="s">
        <v>2432</v>
      </c>
      <c r="F71" s="1267"/>
      <c r="G71" s="1267"/>
      <c r="H71" s="1269"/>
      <c r="I71" s="1272">
        <f t="shared" si="1"/>
        <v>0</v>
      </c>
      <c r="J71" s="1272">
        <f t="shared" si="6"/>
        <v>0</v>
      </c>
      <c r="K71" s="1272">
        <f t="shared" si="7"/>
        <v>0</v>
      </c>
      <c r="L71" s="1272">
        <f t="shared" si="8"/>
        <v>0</v>
      </c>
      <c r="M71" s="1272">
        <f t="shared" si="5"/>
        <v>0</v>
      </c>
    </row>
    <row r="72" spans="1:15" s="1263" customFormat="1" ht="15.4">
      <c r="A72" s="1264"/>
      <c r="B72" s="1264" t="s">
        <v>2434</v>
      </c>
      <c r="C72" s="1264"/>
      <c r="D72" s="1264" t="s">
        <v>1428</v>
      </c>
      <c r="E72" s="1265" t="s">
        <v>2426</v>
      </c>
      <c r="F72" s="1264"/>
      <c r="G72" s="1264"/>
      <c r="H72" s="1266"/>
      <c r="I72" s="1270">
        <f t="shared" si="1"/>
        <v>0</v>
      </c>
      <c r="J72" s="1270">
        <f t="shared" si="6"/>
        <v>0</v>
      </c>
      <c r="K72" s="1270">
        <f t="shared" si="7"/>
        <v>0</v>
      </c>
      <c r="L72" s="1270">
        <f t="shared" si="8"/>
        <v>0</v>
      </c>
      <c r="M72" s="1270">
        <f t="shared" si="5"/>
        <v>0</v>
      </c>
    </row>
    <row r="73" spans="1:15" s="1263" customFormat="1" ht="15.4">
      <c r="A73" s="1264"/>
      <c r="B73" s="1264" t="s">
        <v>2434</v>
      </c>
      <c r="C73" s="1264"/>
      <c r="D73" s="1264" t="s">
        <v>1428</v>
      </c>
      <c r="E73" s="1265" t="s">
        <v>2428</v>
      </c>
      <c r="F73" s="1264"/>
      <c r="G73" s="1264"/>
      <c r="H73" s="1266"/>
      <c r="I73" s="1270">
        <f t="shared" si="1"/>
        <v>0</v>
      </c>
      <c r="J73" s="1270">
        <f t="shared" si="6"/>
        <v>0</v>
      </c>
      <c r="K73" s="1270">
        <f t="shared" si="7"/>
        <v>0</v>
      </c>
      <c r="L73" s="1270">
        <f t="shared" si="8"/>
        <v>0</v>
      </c>
      <c r="M73" s="1270">
        <f t="shared" si="5"/>
        <v>0</v>
      </c>
    </row>
    <row r="74" spans="1:15" s="1263" customFormat="1" ht="15.4">
      <c r="A74" s="1264"/>
      <c r="B74" s="1264" t="s">
        <v>2434</v>
      </c>
      <c r="C74" s="1264"/>
      <c r="D74" s="1264" t="s">
        <v>1428</v>
      </c>
      <c r="E74" s="1265" t="s">
        <v>2429</v>
      </c>
      <c r="F74" s="1264"/>
      <c r="G74" s="1264"/>
      <c r="H74" s="1266"/>
      <c r="I74" s="1270">
        <f t="shared" si="1"/>
        <v>0</v>
      </c>
      <c r="J74" s="1270">
        <f t="shared" si="6"/>
        <v>0</v>
      </c>
      <c r="K74" s="1270">
        <f t="shared" si="7"/>
        <v>0</v>
      </c>
      <c r="L74" s="1270">
        <f t="shared" si="8"/>
        <v>0</v>
      </c>
      <c r="M74" s="1270">
        <f t="shared" si="5"/>
        <v>0</v>
      </c>
    </row>
    <row r="75" spans="1:15" s="1263" customFormat="1" ht="15.4">
      <c r="A75" s="1264"/>
      <c r="B75" s="1264" t="s">
        <v>2434</v>
      </c>
      <c r="C75" s="1264"/>
      <c r="D75" s="1264" t="s">
        <v>1428</v>
      </c>
      <c r="E75" s="1265" t="s">
        <v>2439</v>
      </c>
      <c r="F75" s="1264"/>
      <c r="G75" s="1264"/>
      <c r="H75" s="1266"/>
      <c r="I75" s="1270">
        <f t="shared" si="1"/>
        <v>0</v>
      </c>
      <c r="J75" s="1270">
        <f t="shared" si="6"/>
        <v>0</v>
      </c>
      <c r="K75" s="1270">
        <f t="shared" si="7"/>
        <v>0</v>
      </c>
      <c r="L75" s="1270">
        <f t="shared" si="8"/>
        <v>0</v>
      </c>
      <c r="M75" s="1270">
        <f t="shared" si="5"/>
        <v>0</v>
      </c>
    </row>
    <row r="76" spans="1:15" s="1263" customFormat="1" ht="15.4">
      <c r="A76" s="1264"/>
      <c r="B76" s="1264" t="s">
        <v>2434</v>
      </c>
      <c r="C76" s="1264"/>
      <c r="D76" s="1264" t="s">
        <v>1428</v>
      </c>
      <c r="E76" s="1265" t="s">
        <v>2431</v>
      </c>
      <c r="F76" s="1264"/>
      <c r="G76" s="1264"/>
      <c r="H76" s="1266"/>
      <c r="I76" s="1270">
        <f t="shared" si="1"/>
        <v>0</v>
      </c>
      <c r="J76" s="1270">
        <f t="shared" si="6"/>
        <v>0</v>
      </c>
      <c r="K76" s="1270">
        <f t="shared" si="7"/>
        <v>0</v>
      </c>
      <c r="L76" s="1270">
        <f t="shared" si="8"/>
        <v>0</v>
      </c>
      <c r="M76" s="1270">
        <f t="shared" si="5"/>
        <v>0</v>
      </c>
    </row>
    <row r="77" spans="1:15" s="1263" customFormat="1" ht="15.4">
      <c r="A77" s="1264"/>
      <c r="B77" s="1267" t="s">
        <v>2434</v>
      </c>
      <c r="C77" s="1267"/>
      <c r="D77" s="1267" t="s">
        <v>1428</v>
      </c>
      <c r="E77" s="1268" t="s">
        <v>2432</v>
      </c>
      <c r="F77" s="1267"/>
      <c r="G77" s="1267"/>
      <c r="H77" s="1269"/>
      <c r="I77" s="1272">
        <f t="shared" si="1"/>
        <v>0</v>
      </c>
      <c r="J77" s="1272">
        <f t="shared" si="6"/>
        <v>0</v>
      </c>
      <c r="K77" s="1272">
        <f t="shared" si="7"/>
        <v>0</v>
      </c>
      <c r="L77" s="1272">
        <f t="shared" si="8"/>
        <v>0</v>
      </c>
      <c r="M77" s="1272">
        <f t="shared" si="5"/>
        <v>0</v>
      </c>
    </row>
    <row r="78" spans="1:15" s="1263" customFormat="1" ht="15.4">
      <c r="A78" s="1264"/>
      <c r="B78" s="1264" t="s">
        <v>2435</v>
      </c>
      <c r="C78" s="1264"/>
      <c r="D78" s="1264" t="s">
        <v>1428</v>
      </c>
      <c r="E78" s="1265" t="s">
        <v>2426</v>
      </c>
      <c r="F78" s="1264"/>
      <c r="G78" s="1264"/>
      <c r="H78" s="1266"/>
      <c r="I78" s="1270">
        <f t="shared" si="1"/>
        <v>0</v>
      </c>
      <c r="J78" s="1270">
        <f t="shared" si="6"/>
        <v>0</v>
      </c>
      <c r="K78" s="1270">
        <f t="shared" si="7"/>
        <v>0</v>
      </c>
      <c r="L78" s="1270">
        <f t="shared" si="8"/>
        <v>0</v>
      </c>
      <c r="M78" s="1270">
        <f t="shared" si="5"/>
        <v>0</v>
      </c>
    </row>
    <row r="79" spans="1:15" s="1263" customFormat="1" ht="15.4">
      <c r="A79" s="1264"/>
      <c r="B79" s="1264" t="s">
        <v>2435</v>
      </c>
      <c r="C79" s="1264"/>
      <c r="D79" s="1264" t="s">
        <v>1428</v>
      </c>
      <c r="E79" s="1265" t="s">
        <v>2428</v>
      </c>
      <c r="F79" s="1264"/>
      <c r="G79" s="1264"/>
      <c r="H79" s="1266"/>
      <c r="I79" s="1270">
        <f t="shared" si="1"/>
        <v>0</v>
      </c>
      <c r="J79" s="1270">
        <f t="shared" si="6"/>
        <v>0</v>
      </c>
      <c r="K79" s="1270">
        <f t="shared" si="7"/>
        <v>0</v>
      </c>
      <c r="L79" s="1270">
        <f t="shared" si="8"/>
        <v>0</v>
      </c>
      <c r="M79" s="1270">
        <f t="shared" si="5"/>
        <v>0</v>
      </c>
    </row>
    <row r="80" spans="1:15" s="1263" customFormat="1" ht="15.4">
      <c r="A80" s="1264"/>
      <c r="B80" s="1264" t="s">
        <v>2435</v>
      </c>
      <c r="C80" s="1264"/>
      <c r="D80" s="1264" t="s">
        <v>1428</v>
      </c>
      <c r="E80" s="1265" t="s">
        <v>2429</v>
      </c>
      <c r="F80" s="1264"/>
      <c r="G80" s="1264"/>
      <c r="H80" s="1266"/>
      <c r="I80" s="1270">
        <f t="shared" si="1"/>
        <v>0</v>
      </c>
      <c r="J80" s="1270">
        <f t="shared" si="6"/>
        <v>0</v>
      </c>
      <c r="K80" s="1270">
        <f t="shared" si="7"/>
        <v>0</v>
      </c>
      <c r="L80" s="1270">
        <f t="shared" si="8"/>
        <v>0</v>
      </c>
      <c r="M80" s="1270">
        <f t="shared" si="5"/>
        <v>0</v>
      </c>
    </row>
    <row r="81" spans="1:13" s="1263" customFormat="1" ht="15.4">
      <c r="A81" s="1264"/>
      <c r="B81" s="1264" t="s">
        <v>2435</v>
      </c>
      <c r="C81" s="1264"/>
      <c r="D81" s="1264" t="s">
        <v>1428</v>
      </c>
      <c r="E81" s="1265" t="s">
        <v>2439</v>
      </c>
      <c r="F81" s="1264"/>
      <c r="G81" s="1264"/>
      <c r="H81" s="1266"/>
      <c r="I81" s="1270">
        <f t="shared" si="1"/>
        <v>0</v>
      </c>
      <c r="J81" s="1270">
        <f t="shared" si="6"/>
        <v>0</v>
      </c>
      <c r="K81" s="1270">
        <f t="shared" si="7"/>
        <v>0</v>
      </c>
      <c r="L81" s="1270">
        <f t="shared" si="8"/>
        <v>0</v>
      </c>
      <c r="M81" s="1270">
        <f t="shared" si="5"/>
        <v>0</v>
      </c>
    </row>
    <row r="82" spans="1:13" s="1263" customFormat="1" ht="15.4">
      <c r="A82" s="1264"/>
      <c r="B82" s="1264" t="s">
        <v>2435</v>
      </c>
      <c r="C82" s="1264"/>
      <c r="D82" s="1264" t="s">
        <v>1428</v>
      </c>
      <c r="E82" s="1265" t="s">
        <v>2431</v>
      </c>
      <c r="F82" s="1264"/>
      <c r="G82" s="1264"/>
      <c r="H82" s="1266"/>
      <c r="I82" s="1270">
        <f t="shared" si="1"/>
        <v>0</v>
      </c>
      <c r="J82" s="1270">
        <f t="shared" si="6"/>
        <v>0</v>
      </c>
      <c r="K82" s="1270">
        <f t="shared" si="7"/>
        <v>0</v>
      </c>
      <c r="L82" s="1270">
        <f t="shared" si="8"/>
        <v>0</v>
      </c>
      <c r="M82" s="1270">
        <f t="shared" si="5"/>
        <v>0</v>
      </c>
    </row>
    <row r="83" spans="1:13" s="1263" customFormat="1" ht="15.4">
      <c r="A83" s="1264"/>
      <c r="B83" s="1267" t="s">
        <v>2435</v>
      </c>
      <c r="C83" s="1267"/>
      <c r="D83" s="1267" t="s">
        <v>1428</v>
      </c>
      <c r="E83" s="1268" t="s">
        <v>2432</v>
      </c>
      <c r="F83" s="1267"/>
      <c r="G83" s="1267"/>
      <c r="H83" s="1269"/>
      <c r="I83" s="1272">
        <f t="shared" si="1"/>
        <v>0</v>
      </c>
      <c r="J83" s="1272">
        <f t="shared" si="6"/>
        <v>0</v>
      </c>
      <c r="K83" s="1272">
        <f t="shared" si="7"/>
        <v>0</v>
      </c>
      <c r="L83" s="1272">
        <f t="shared" si="8"/>
        <v>0</v>
      </c>
      <c r="M83" s="1272">
        <f t="shared" si="5"/>
        <v>0</v>
      </c>
    </row>
    <row r="84" spans="1:13" s="1263" customFormat="1" ht="15.4">
      <c r="A84" s="1264"/>
      <c r="B84" s="1264" t="s">
        <v>2436</v>
      </c>
      <c r="C84" s="1264"/>
      <c r="D84" s="1264" t="s">
        <v>1428</v>
      </c>
      <c r="E84" s="1265" t="s">
        <v>2426</v>
      </c>
      <c r="F84" s="1264"/>
      <c r="G84" s="1264"/>
      <c r="H84" s="1266"/>
      <c r="I84" s="1270">
        <f t="shared" si="1"/>
        <v>0</v>
      </c>
      <c r="J84" s="1270">
        <f t="shared" si="6"/>
        <v>0</v>
      </c>
      <c r="K84" s="1270">
        <f t="shared" si="7"/>
        <v>0</v>
      </c>
      <c r="L84" s="1270">
        <f t="shared" si="8"/>
        <v>0</v>
      </c>
      <c r="M84" s="1270">
        <f t="shared" si="5"/>
        <v>0</v>
      </c>
    </row>
    <row r="85" spans="1:13" s="1263" customFormat="1" ht="15.4">
      <c r="A85" s="1264"/>
      <c r="B85" s="1264" t="s">
        <v>2436</v>
      </c>
      <c r="C85" s="1264"/>
      <c r="D85" s="1264" t="s">
        <v>1428</v>
      </c>
      <c r="E85" s="1265" t="s">
        <v>2428</v>
      </c>
      <c r="F85" s="1264"/>
      <c r="G85" s="1264"/>
      <c r="H85" s="1266"/>
      <c r="I85" s="1270">
        <f t="shared" si="1"/>
        <v>0</v>
      </c>
      <c r="J85" s="1270">
        <f t="shared" si="6"/>
        <v>0</v>
      </c>
      <c r="K85" s="1270">
        <f t="shared" si="7"/>
        <v>0</v>
      </c>
      <c r="L85" s="1270">
        <f t="shared" si="8"/>
        <v>0</v>
      </c>
      <c r="M85" s="1270">
        <f t="shared" si="5"/>
        <v>0</v>
      </c>
    </row>
    <row r="86" spans="1:13" s="1263" customFormat="1" ht="15.4">
      <c r="A86" s="1264"/>
      <c r="B86" s="1264" t="s">
        <v>2436</v>
      </c>
      <c r="C86" s="1264"/>
      <c r="D86" s="1264" t="s">
        <v>1428</v>
      </c>
      <c r="E86" s="1265" t="s">
        <v>2429</v>
      </c>
      <c r="F86" s="1264"/>
      <c r="G86" s="1264"/>
      <c r="H86" s="1266"/>
      <c r="I86" s="1270">
        <f t="shared" si="1"/>
        <v>0</v>
      </c>
      <c r="J86" s="1270">
        <f t="shared" si="6"/>
        <v>0</v>
      </c>
      <c r="K86" s="1270">
        <f t="shared" si="7"/>
        <v>0</v>
      </c>
      <c r="L86" s="1270">
        <f t="shared" si="8"/>
        <v>0</v>
      </c>
      <c r="M86" s="1270">
        <f t="shared" si="5"/>
        <v>0</v>
      </c>
    </row>
    <row r="87" spans="1:13" s="1263" customFormat="1" ht="15.4">
      <c r="A87" s="1264"/>
      <c r="B87" s="1264" t="s">
        <v>2436</v>
      </c>
      <c r="C87" s="1264"/>
      <c r="D87" s="1264" t="s">
        <v>1428</v>
      </c>
      <c r="E87" s="1265" t="s">
        <v>2439</v>
      </c>
      <c r="F87" s="1264"/>
      <c r="G87" s="1264"/>
      <c r="H87" s="1266"/>
      <c r="I87" s="1270">
        <f t="shared" si="1"/>
        <v>0</v>
      </c>
      <c r="J87" s="1270">
        <f t="shared" si="6"/>
        <v>0</v>
      </c>
      <c r="K87" s="1270">
        <f t="shared" si="7"/>
        <v>0</v>
      </c>
      <c r="L87" s="1270">
        <f t="shared" si="8"/>
        <v>0</v>
      </c>
      <c r="M87" s="1270">
        <f t="shared" si="5"/>
        <v>0</v>
      </c>
    </row>
    <row r="88" spans="1:13" s="1263" customFormat="1" ht="15.4">
      <c r="A88" s="1264"/>
      <c r="B88" s="1264" t="s">
        <v>2436</v>
      </c>
      <c r="C88" s="1264"/>
      <c r="D88" s="1264" t="s">
        <v>1428</v>
      </c>
      <c r="E88" s="1265" t="s">
        <v>2431</v>
      </c>
      <c r="F88" s="1264"/>
      <c r="G88" s="1264"/>
      <c r="H88" s="1266"/>
      <c r="I88" s="1270">
        <f t="shared" si="1"/>
        <v>0</v>
      </c>
      <c r="J88" s="1270">
        <f t="shared" si="6"/>
        <v>0</v>
      </c>
      <c r="K88" s="1270">
        <f t="shared" si="7"/>
        <v>0</v>
      </c>
      <c r="L88" s="1270">
        <f t="shared" si="8"/>
        <v>0</v>
      </c>
      <c r="M88" s="1270">
        <f t="shared" si="5"/>
        <v>0</v>
      </c>
    </row>
    <row r="89" spans="1:13" s="1263" customFormat="1" ht="15.4">
      <c r="A89" s="1264"/>
      <c r="B89" s="1267" t="s">
        <v>2436</v>
      </c>
      <c r="C89" s="1267"/>
      <c r="D89" s="1267" t="s">
        <v>1428</v>
      </c>
      <c r="E89" s="1268" t="s">
        <v>2432</v>
      </c>
      <c r="F89" s="1267"/>
      <c r="G89" s="1267"/>
      <c r="H89" s="1269"/>
      <c r="I89" s="1272">
        <f t="shared" si="1"/>
        <v>0</v>
      </c>
      <c r="J89" s="1272">
        <f t="shared" si="6"/>
        <v>0</v>
      </c>
      <c r="K89" s="1272">
        <f t="shared" si="7"/>
        <v>0</v>
      </c>
      <c r="L89" s="1272">
        <f t="shared" si="8"/>
        <v>0</v>
      </c>
      <c r="M89" s="1272">
        <f t="shared" si="5"/>
        <v>0</v>
      </c>
    </row>
    <row r="90" spans="1:13" s="1263" customFormat="1" ht="15.4">
      <c r="A90" s="1264"/>
      <c r="B90" s="1264" t="s">
        <v>2437</v>
      </c>
      <c r="C90" s="1264"/>
      <c r="D90" s="1264" t="s">
        <v>1428</v>
      </c>
      <c r="E90" s="1265" t="s">
        <v>2426</v>
      </c>
      <c r="F90" s="1264"/>
      <c r="G90" s="1264"/>
      <c r="H90" s="1266"/>
      <c r="I90" s="1270">
        <f t="shared" si="1"/>
        <v>0</v>
      </c>
      <c r="J90" s="1270">
        <f t="shared" si="6"/>
        <v>0</v>
      </c>
      <c r="K90" s="1270">
        <f t="shared" si="7"/>
        <v>0</v>
      </c>
      <c r="L90" s="1270">
        <f t="shared" si="8"/>
        <v>0</v>
      </c>
      <c r="M90" s="1270">
        <f t="shared" si="5"/>
        <v>0</v>
      </c>
    </row>
    <row r="91" spans="1:13" s="1263" customFormat="1" ht="15.4">
      <c r="A91" s="1264"/>
      <c r="B91" s="1264" t="s">
        <v>2437</v>
      </c>
      <c r="C91" s="1264"/>
      <c r="D91" s="1264" t="s">
        <v>1428</v>
      </c>
      <c r="E91" s="1265" t="s">
        <v>2428</v>
      </c>
      <c r="F91" s="1264"/>
      <c r="G91" s="1264"/>
      <c r="H91" s="1266"/>
      <c r="I91" s="1270">
        <f t="shared" si="1"/>
        <v>0</v>
      </c>
      <c r="J91" s="1270">
        <f t="shared" si="6"/>
        <v>0</v>
      </c>
      <c r="K91" s="1270">
        <f t="shared" si="7"/>
        <v>0</v>
      </c>
      <c r="L91" s="1270">
        <f t="shared" si="8"/>
        <v>0</v>
      </c>
      <c r="M91" s="1270">
        <f t="shared" si="5"/>
        <v>0</v>
      </c>
    </row>
    <row r="92" spans="1:13" s="1263" customFormat="1" ht="15.4">
      <c r="A92" s="1264"/>
      <c r="B92" s="1264" t="s">
        <v>2437</v>
      </c>
      <c r="C92" s="1264"/>
      <c r="D92" s="1264" t="s">
        <v>1428</v>
      </c>
      <c r="E92" s="1265" t="s">
        <v>2429</v>
      </c>
      <c r="F92" s="1264"/>
      <c r="G92" s="1264"/>
      <c r="H92" s="1266"/>
      <c r="I92" s="1270">
        <f t="shared" si="1"/>
        <v>0</v>
      </c>
      <c r="J92" s="1270">
        <f t="shared" si="6"/>
        <v>0</v>
      </c>
      <c r="K92" s="1270">
        <f t="shared" si="7"/>
        <v>0</v>
      </c>
      <c r="L92" s="1270">
        <f t="shared" si="8"/>
        <v>0</v>
      </c>
      <c r="M92" s="1270">
        <f t="shared" si="5"/>
        <v>0</v>
      </c>
    </row>
    <row r="93" spans="1:13" s="1263" customFormat="1" ht="15.4">
      <c r="A93" s="1264"/>
      <c r="B93" s="1264" t="s">
        <v>2437</v>
      </c>
      <c r="C93" s="1264"/>
      <c r="D93" s="1264" t="s">
        <v>1428</v>
      </c>
      <c r="E93" s="1265" t="s">
        <v>2439</v>
      </c>
      <c r="F93" s="1264"/>
      <c r="G93" s="1264"/>
      <c r="H93" s="1266"/>
      <c r="I93" s="1270">
        <f t="shared" si="1"/>
        <v>0</v>
      </c>
      <c r="J93" s="1270">
        <f t="shared" si="6"/>
        <v>0</v>
      </c>
      <c r="K93" s="1270">
        <f t="shared" si="7"/>
        <v>0</v>
      </c>
      <c r="L93" s="1270">
        <f t="shared" si="8"/>
        <v>0</v>
      </c>
      <c r="M93" s="1270">
        <f t="shared" si="5"/>
        <v>0</v>
      </c>
    </row>
    <row r="94" spans="1:13" s="1263" customFormat="1" ht="15.4">
      <c r="A94" s="1264"/>
      <c r="B94" s="1264" t="s">
        <v>2437</v>
      </c>
      <c r="C94" s="1264"/>
      <c r="D94" s="1264" t="s">
        <v>1428</v>
      </c>
      <c r="E94" s="1265" t="s">
        <v>2431</v>
      </c>
      <c r="F94" s="1264"/>
      <c r="G94" s="1264"/>
      <c r="H94" s="1266"/>
      <c r="I94" s="1270">
        <f t="shared" si="1"/>
        <v>0</v>
      </c>
      <c r="J94" s="1270">
        <f t="shared" si="6"/>
        <v>0</v>
      </c>
      <c r="K94" s="1270">
        <f t="shared" si="7"/>
        <v>0</v>
      </c>
      <c r="L94" s="1270">
        <f t="shared" si="8"/>
        <v>0</v>
      </c>
      <c r="M94" s="1270">
        <f t="shared" si="5"/>
        <v>0</v>
      </c>
    </row>
    <row r="95" spans="1:13" s="1263" customFormat="1" ht="15.4">
      <c r="A95" s="1264"/>
      <c r="B95" s="1264" t="s">
        <v>2437</v>
      </c>
      <c r="C95" s="1264"/>
      <c r="D95" s="1264" t="s">
        <v>1428</v>
      </c>
      <c r="E95" s="1265" t="s">
        <v>2432</v>
      </c>
      <c r="F95" s="1264"/>
      <c r="G95" s="1264"/>
      <c r="H95" s="1266"/>
      <c r="I95" s="1272">
        <f t="shared" si="1"/>
        <v>0</v>
      </c>
      <c r="J95" s="1272">
        <f t="shared" si="6"/>
        <v>0</v>
      </c>
      <c r="K95" s="1272">
        <f t="shared" si="7"/>
        <v>0</v>
      </c>
      <c r="L95" s="1272">
        <f t="shared" si="8"/>
        <v>0</v>
      </c>
      <c r="M95" s="1272">
        <f t="shared" si="5"/>
        <v>0</v>
      </c>
    </row>
    <row r="96" spans="1:13" s="1263" customFormat="1" ht="15.4">
      <c r="A96" s="1264"/>
      <c r="B96" s="1264"/>
      <c r="C96" s="1264"/>
      <c r="D96" s="1264"/>
      <c r="E96" s="1264"/>
      <c r="F96" s="1264"/>
      <c r="G96" s="1264"/>
      <c r="H96" s="1274"/>
      <c r="I96" s="1264"/>
      <c r="J96" s="1264"/>
      <c r="K96" s="1264"/>
      <c r="L96" s="1264"/>
      <c r="M96" s="1264"/>
    </row>
    <row r="97" spans="1:13" s="1263" customFormat="1" ht="15.4">
      <c r="A97" s="728" t="s">
        <v>2441</v>
      </c>
      <c r="B97" s="728"/>
      <c r="C97" s="728"/>
      <c r="D97" s="728"/>
      <c r="E97" s="728"/>
      <c r="F97" s="728"/>
      <c r="G97" s="728"/>
      <c r="H97" s="728"/>
      <c r="I97" s="728"/>
      <c r="J97" s="728"/>
      <c r="K97" s="728"/>
      <c r="L97" s="728"/>
      <c r="M97" s="728"/>
    </row>
    <row r="98" spans="1:13" s="1263" customFormat="1" ht="15.4">
      <c r="A98" s="1264"/>
      <c r="B98" s="1264"/>
      <c r="C98" s="1264"/>
      <c r="D98" s="1264"/>
      <c r="E98" s="1264"/>
      <c r="F98" s="1264"/>
      <c r="G98" s="1264"/>
      <c r="H98" s="1266"/>
      <c r="I98" s="1266"/>
      <c r="J98" s="1266"/>
      <c r="K98" s="1266"/>
      <c r="L98" s="1266"/>
      <c r="M98" s="1266"/>
    </row>
    <row r="99" spans="1:13" s="1263" customFormat="1" ht="15.4">
      <c r="A99" s="1264"/>
      <c r="B99" s="1264" t="s">
        <v>2425</v>
      </c>
      <c r="C99" s="1264"/>
      <c r="D99" s="1264" t="s">
        <v>1403</v>
      </c>
      <c r="E99" s="1264"/>
      <c r="F99" s="1264"/>
      <c r="G99" s="1264"/>
      <c r="H99" s="1266"/>
      <c r="I99" s="729" cm="1">
        <f t="array" ref="I99">IFERROR(SUMPRODUCT(($I$60:$I$95) * ($B$60:$B$95 =$B99)) /$I$56,0)</f>
        <v>0</v>
      </c>
      <c r="J99" s="729" cm="1">
        <f t="array" ref="J99">IFERROR(SUMPRODUCT(($J$60:$J$95) * ($B$60:$B$95 =$B99)) /$J$56,0)</f>
        <v>0</v>
      </c>
      <c r="K99" s="729" cm="1">
        <f t="array" ref="K99">IFERROR(SUMPRODUCT(($K$60:$K$95) * ($B$60:$B$95 =$B99)) /$K$56,0)</f>
        <v>0</v>
      </c>
      <c r="L99" s="729" cm="1">
        <f t="array" ref="L99">IFERROR(SUMPRODUCT(($L$60:$L$95) * ($B$60:$B$95 =$B99)) /$L$56,0)</f>
        <v>0</v>
      </c>
      <c r="M99" s="729" cm="1">
        <f t="array" ref="M99">IFERROR(SUMPRODUCT(($M$60:$M$95) * ($B$60:$B$95 =$B99)) /$M$56,0)</f>
        <v>0</v>
      </c>
    </row>
    <row r="100" spans="1:13" s="1263" customFormat="1" ht="15.4">
      <c r="A100" s="1264"/>
      <c r="B100" s="1264" t="s">
        <v>2433</v>
      </c>
      <c r="C100" s="1264"/>
      <c r="D100" s="1264" t="s">
        <v>1403</v>
      </c>
      <c r="E100" s="1264"/>
      <c r="F100" s="1264"/>
      <c r="G100" s="1264"/>
      <c r="H100" s="1266"/>
      <c r="I100" s="729" cm="1">
        <f t="array" ref="I100">IFERROR(SUMPRODUCT(($I$60:$I$95) * ($B$60:$B$95 =$B100)) /$I$56,0)</f>
        <v>0</v>
      </c>
      <c r="J100" s="729" cm="1">
        <f t="array" ref="J100">IFERROR(SUMPRODUCT(($J$60:$J$95) * ($B$60:$B$95 =$B100)) /$J$56,0)</f>
        <v>0</v>
      </c>
      <c r="K100" s="729" cm="1">
        <f t="array" ref="K100">IFERROR(SUMPRODUCT(($K$60:$K$95) * ($B$60:$B$95 =$B100)) /$K$56,0)</f>
        <v>0</v>
      </c>
      <c r="L100" s="729" cm="1">
        <f t="array" ref="L100">IFERROR(SUMPRODUCT(($L$60:$L$95) * ($B$60:$B$95 =$B100)) /$L$56,0)</f>
        <v>0</v>
      </c>
      <c r="M100" s="729" cm="1">
        <f t="array" ref="M100">IFERROR(SUMPRODUCT(($M$60:$M$95) * ($B$60:$B$95 =$B100)) /$M$56,0)</f>
        <v>0</v>
      </c>
    </row>
    <row r="101" spans="1:13" s="1263" customFormat="1" ht="15.4">
      <c r="A101" s="1264"/>
      <c r="B101" s="1264" t="s">
        <v>2434</v>
      </c>
      <c r="C101" s="1264"/>
      <c r="D101" s="1264" t="s">
        <v>1403</v>
      </c>
      <c r="E101" s="1264"/>
      <c r="F101" s="1264"/>
      <c r="G101" s="1264"/>
      <c r="H101" s="1266"/>
      <c r="I101" s="729" cm="1">
        <f t="array" ref="I101">IFERROR(SUMPRODUCT(($I$60:$I$95) * ($B$60:$B$95 =$B101)) /$I$56,0)</f>
        <v>0</v>
      </c>
      <c r="J101" s="729" cm="1">
        <f t="array" ref="J101">IFERROR(SUMPRODUCT(($J$60:$J$95) * ($B$60:$B$95 =$B101)) /$J$56,0)</f>
        <v>0</v>
      </c>
      <c r="K101" s="729" cm="1">
        <f t="array" ref="K101">IFERROR(SUMPRODUCT(($K$60:$K$95) * ($B$60:$B$95 =$B101)) /$K$56,0)</f>
        <v>0</v>
      </c>
      <c r="L101" s="729" cm="1">
        <f t="array" ref="L101">IFERROR(SUMPRODUCT(($L$60:$L$95) * ($B$60:$B$95 =$B101)) /$L$56,0)</f>
        <v>0</v>
      </c>
      <c r="M101" s="729" cm="1">
        <f t="array" ref="M101">IFERROR(SUMPRODUCT(($M$60:$M$95) * ($B$60:$B$95 =$B101)) /$M$56,0)</f>
        <v>0</v>
      </c>
    </row>
    <row r="102" spans="1:13" s="1263" customFormat="1" ht="15.4">
      <c r="A102" s="1264"/>
      <c r="B102" s="1264" t="s">
        <v>2435</v>
      </c>
      <c r="C102" s="1264"/>
      <c r="D102" s="1264" t="s">
        <v>1403</v>
      </c>
      <c r="E102" s="1264"/>
      <c r="F102" s="1264"/>
      <c r="G102" s="1264"/>
      <c r="H102" s="1266"/>
      <c r="I102" s="729" cm="1">
        <f t="array" ref="I102">IFERROR(SUMPRODUCT(($I$60:$I$95) * ($B$60:$B$95 =$B102)) /$I$56,0)</f>
        <v>0</v>
      </c>
      <c r="J102" s="729" cm="1">
        <f t="array" ref="J102">IFERROR(SUMPRODUCT(($J$60:$J$95) * ($B$60:$B$95 =$B102)) /$J$56,0)</f>
        <v>0</v>
      </c>
      <c r="K102" s="729" cm="1">
        <f t="array" ref="K102">IFERROR(SUMPRODUCT(($K$60:$K$95) * ($B$60:$B$95 =$B102)) /$K$56,0)</f>
        <v>0</v>
      </c>
      <c r="L102" s="729" cm="1">
        <f t="array" ref="L102">IFERROR(SUMPRODUCT(($L$60:$L$95) * ($B$60:$B$95 =$B102)) /$L$56,0)</f>
        <v>0</v>
      </c>
      <c r="M102" s="729" cm="1">
        <f t="array" ref="M102">IFERROR(SUMPRODUCT(($M$60:$M$95) * ($B$60:$B$95 =$B102)) /$M$56,0)</f>
        <v>0</v>
      </c>
    </row>
    <row r="103" spans="1:13" s="1263" customFormat="1" ht="15.4">
      <c r="A103" s="1264"/>
      <c r="B103" s="1264" t="s">
        <v>2436</v>
      </c>
      <c r="C103" s="1264"/>
      <c r="D103" s="1264" t="s">
        <v>1403</v>
      </c>
      <c r="E103" s="1264"/>
      <c r="F103" s="1264"/>
      <c r="G103" s="1264"/>
      <c r="H103" s="1266"/>
      <c r="I103" s="729" cm="1">
        <f t="array" ref="I103">IFERROR(SUMPRODUCT(($I$60:$I$95) * ($B$60:$B$95 =$B103)) /$I$56,0)</f>
        <v>0</v>
      </c>
      <c r="J103" s="729" cm="1">
        <f t="array" ref="J103">IFERROR(SUMPRODUCT(($J$60:$J$95) * ($B$60:$B$95 =$B103)) /$J$56,0)</f>
        <v>0</v>
      </c>
      <c r="K103" s="729" cm="1">
        <f t="array" ref="K103">IFERROR(SUMPRODUCT(($K$60:$K$95) * ($B$60:$B$95 =$B103)) /$K$56,0)</f>
        <v>0</v>
      </c>
      <c r="L103" s="729" cm="1">
        <f t="array" ref="L103">IFERROR(SUMPRODUCT(($L$60:$L$95) * ($B$60:$B$95 =$B103)) /$L$56,0)</f>
        <v>0</v>
      </c>
      <c r="M103" s="729" cm="1">
        <f t="array" ref="M103">IFERROR(SUMPRODUCT(($M$60:$M$95) * ($B$60:$B$95 =$B103)) /$M$56,0)</f>
        <v>0</v>
      </c>
    </row>
    <row r="104" spans="1:13" s="1263" customFormat="1" ht="15.4">
      <c r="A104" s="1264"/>
      <c r="B104" s="1264" t="s">
        <v>2437</v>
      </c>
      <c r="C104" s="1264"/>
      <c r="D104" s="1264" t="s">
        <v>1403</v>
      </c>
      <c r="E104" s="1264"/>
      <c r="F104" s="1264"/>
      <c r="G104" s="1264"/>
      <c r="H104" s="1266"/>
      <c r="I104" s="729" cm="1">
        <f t="array" ref="I104">IFERROR(SUMPRODUCT(($I$60:$I$95) * ($B$60:$B$95 =$B104)) /$I$56,0)</f>
        <v>0</v>
      </c>
      <c r="J104" s="729" cm="1">
        <f t="array" ref="J104">IFERROR(SUMPRODUCT(($J$60:$J$95) * ($B$60:$B$95 =$B104)) /$J$56,0)</f>
        <v>0</v>
      </c>
      <c r="K104" s="729" cm="1">
        <f t="array" ref="K104">IFERROR(SUMPRODUCT(($K$60:$K$95) * ($B$60:$B$95 =$B104)) /$K$56,0)</f>
        <v>0</v>
      </c>
      <c r="L104" s="729" cm="1">
        <f t="array" ref="L104">IFERROR(SUMPRODUCT(($L$60:$L$95) * ($B$60:$B$95 =$B104)) /$L$56,0)</f>
        <v>0</v>
      </c>
      <c r="M104" s="729" cm="1">
        <f t="array" ref="M104">IFERROR(SUMPRODUCT(($M$60:$M$95) * ($B$60:$B$95 =$B104)) /$M$56,0)</f>
        <v>0</v>
      </c>
    </row>
    <row r="105" spans="1:13" s="1263" customFormat="1" ht="15.4">
      <c r="A105" s="1264"/>
      <c r="B105" s="1275" t="s">
        <v>2442</v>
      </c>
      <c r="C105" s="1264"/>
      <c r="D105" s="1275" t="s">
        <v>1403</v>
      </c>
      <c r="E105" s="1264"/>
      <c r="F105" s="1264"/>
      <c r="G105" s="1264"/>
      <c r="H105" s="1266"/>
      <c r="I105" s="730">
        <f>SUM(I99:I104)</f>
        <v>0</v>
      </c>
      <c r="J105" s="730">
        <f>SUM(J99:J104)</f>
        <v>0</v>
      </c>
      <c r="K105" s="730">
        <f>SUM(K99:K104)</f>
        <v>0</v>
      </c>
      <c r="L105" s="730">
        <f>SUM(L99:L104)</f>
        <v>0</v>
      </c>
      <c r="M105" s="730">
        <f>SUM(M99:M104)</f>
        <v>0</v>
      </c>
    </row>
    <row r="106" spans="1:13" s="1263" customFormat="1" ht="15.4">
      <c r="H106" s="1276"/>
      <c r="I106" s="1276"/>
      <c r="J106" s="1276"/>
      <c r="K106" s="1276"/>
      <c r="L106" s="1276"/>
      <c r="M106" s="1276"/>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zoomScale="90" zoomScaleNormal="90" workbookViewId="0"/>
  </sheetViews>
  <sheetFormatPr defaultColWidth="10.59765625" defaultRowHeight="12.4"/>
  <cols>
    <col min="1" max="16384" width="10.59765625" style="936"/>
  </cols>
  <sheetData>
    <row r="1" spans="1:43" ht="14.65">
      <c r="A1" s="930" t="s">
        <v>1418</v>
      </c>
      <c r="B1" s="931"/>
      <c r="C1" s="1259"/>
      <c r="D1" s="932"/>
      <c r="E1" s="932"/>
      <c r="F1" s="932"/>
      <c r="G1" s="932"/>
      <c r="H1" s="932"/>
      <c r="I1" s="932"/>
      <c r="J1" s="932"/>
      <c r="K1" s="932"/>
      <c r="L1" s="932"/>
      <c r="M1" s="932"/>
    </row>
    <row r="2" spans="1:43" ht="14.65">
      <c r="A2" s="930" t="str">
        <f>'1.1 Cover'!A3</f>
        <v>Price base - 2018/19</v>
      </c>
      <c r="B2" s="935"/>
      <c r="C2" s="1259"/>
      <c r="D2" s="930"/>
      <c r="E2" s="930"/>
      <c r="F2" s="930"/>
      <c r="G2" s="930"/>
      <c r="H2" s="930"/>
      <c r="I2" s="930"/>
      <c r="J2" s="930"/>
      <c r="K2" s="930"/>
      <c r="L2" s="930"/>
      <c r="M2" s="930"/>
    </row>
    <row r="3" spans="1:43" ht="18" customHeight="1">
      <c r="A3" s="935"/>
      <c r="B3" s="935"/>
      <c r="C3" s="935"/>
      <c r="D3" s="930"/>
      <c r="E3" s="930"/>
      <c r="F3" s="930"/>
      <c r="G3" s="930"/>
      <c r="H3" s="930"/>
      <c r="I3" s="930"/>
      <c r="J3" s="930"/>
      <c r="K3" s="930"/>
      <c r="L3" s="930"/>
      <c r="M3" s="930"/>
    </row>
    <row r="4" spans="1:43" ht="18" customHeight="1">
      <c r="A4" s="1260" t="s">
        <v>2443</v>
      </c>
      <c r="B4" s="1261"/>
      <c r="C4" s="1261"/>
      <c r="D4" s="1262"/>
      <c r="E4" s="1262"/>
      <c r="F4" s="1262"/>
      <c r="G4" s="1262"/>
      <c r="H4" s="1262"/>
      <c r="I4" s="1262"/>
      <c r="J4" s="1262"/>
      <c r="K4" s="1262"/>
      <c r="L4" s="1262"/>
      <c r="M4" s="1262"/>
    </row>
    <row r="7" spans="1:43" s="1263" customFormat="1" ht="15" customHeight="1">
      <c r="A7" s="691" t="s">
        <v>2423</v>
      </c>
      <c r="B7" s="691"/>
      <c r="C7" s="691"/>
      <c r="D7" s="691"/>
      <c r="E7" s="691"/>
      <c r="F7" s="691"/>
      <c r="G7" s="697"/>
      <c r="H7" s="697"/>
      <c r="I7" s="697"/>
      <c r="J7" s="697"/>
      <c r="K7" s="697"/>
      <c r="L7" s="697"/>
      <c r="M7" s="697"/>
    </row>
    <row r="8" spans="1:43" s="1263" customFormat="1" ht="15" customHeight="1">
      <c r="A8" s="1264"/>
      <c r="B8" s="1264"/>
      <c r="C8" s="1264"/>
      <c r="D8" s="1264"/>
      <c r="E8" s="1264"/>
      <c r="F8" s="1264"/>
      <c r="I8" s="1264" t="s">
        <v>1420</v>
      </c>
      <c r="J8" s="1264" t="s">
        <v>1421</v>
      </c>
      <c r="K8" s="1264" t="s">
        <v>1422</v>
      </c>
      <c r="L8" s="1264" t="s">
        <v>1423</v>
      </c>
      <c r="M8" s="1264" t="s">
        <v>1424</v>
      </c>
    </row>
    <row r="9" spans="1:43" s="1263" customFormat="1" ht="15.4">
      <c r="A9" s="728" t="s">
        <v>2424</v>
      </c>
      <c r="B9" s="728"/>
      <c r="C9" s="728"/>
      <c r="D9" s="728"/>
      <c r="E9" s="728"/>
      <c r="F9" s="728"/>
      <c r="G9" s="731"/>
      <c r="H9" s="731"/>
      <c r="I9" s="731"/>
      <c r="J9" s="731"/>
      <c r="K9" s="731"/>
      <c r="L9" s="731"/>
      <c r="M9" s="731"/>
    </row>
    <row r="10" spans="1:43" s="1263" customFormat="1" ht="15.4">
      <c r="A10" s="1264"/>
      <c r="B10" s="1264"/>
      <c r="C10" s="1264"/>
      <c r="D10" s="1264"/>
      <c r="E10" s="1264"/>
      <c r="F10" s="1264"/>
    </row>
    <row r="11" spans="1:43" s="1263" customFormat="1" ht="15.4">
      <c r="A11" s="1264"/>
      <c r="B11" s="1264" t="s">
        <v>2425</v>
      </c>
      <c r="C11" s="1264"/>
      <c r="D11" s="1264" t="s">
        <v>1403</v>
      </c>
      <c r="E11" s="1265" t="s">
        <v>2432</v>
      </c>
      <c r="F11" s="1264"/>
      <c r="H11" s="1276"/>
      <c r="I11" s="1324">
        <f>'2.1 Revenue_Interface'!AB300</f>
        <v>0</v>
      </c>
      <c r="J11" s="1324">
        <f>'2.1 Revenue_Interface'!AC300</f>
        <v>0</v>
      </c>
      <c r="K11" s="1324">
        <f>'2.1 Revenue_Interface'!AD300</f>
        <v>0</v>
      </c>
      <c r="L11" s="1324">
        <f>'2.1 Revenue_Interface'!AE300</f>
        <v>0</v>
      </c>
      <c r="M11" s="1324">
        <f>'2.1 Revenue_Interface'!AF300</f>
        <v>0</v>
      </c>
      <c r="N11" s="1264" t="s">
        <v>2427</v>
      </c>
      <c r="AM11" s="1263">
        <v>0</v>
      </c>
      <c r="AN11" s="1263">
        <v>0</v>
      </c>
      <c r="AO11" s="1263">
        <v>0</v>
      </c>
      <c r="AP11" s="1263">
        <v>0</v>
      </c>
      <c r="AQ11" s="1263">
        <v>0</v>
      </c>
    </row>
    <row r="12" spans="1:43" s="1263" customFormat="1" ht="15.4">
      <c r="A12" s="1264"/>
      <c r="B12" s="1267" t="s">
        <v>2425</v>
      </c>
      <c r="C12" s="1267"/>
      <c r="D12" s="1267" t="s">
        <v>1403</v>
      </c>
      <c r="E12" s="1268" t="s">
        <v>2444</v>
      </c>
      <c r="F12" s="1267"/>
      <c r="G12" s="1277"/>
      <c r="H12" s="1278"/>
      <c r="I12" s="1325">
        <f>'2.1 Revenue_Interface'!AB301</f>
        <v>0</v>
      </c>
      <c r="J12" s="1325">
        <f>'2.1 Revenue_Interface'!AC301</f>
        <v>0</v>
      </c>
      <c r="K12" s="1325">
        <f>'2.1 Revenue_Interface'!AD301</f>
        <v>0</v>
      </c>
      <c r="L12" s="1325">
        <f>'2.1 Revenue_Interface'!AE301</f>
        <v>0</v>
      </c>
      <c r="M12" s="1325">
        <f>'2.1 Revenue_Interface'!AF301</f>
        <v>0</v>
      </c>
      <c r="AM12" s="1263">
        <v>0</v>
      </c>
      <c r="AN12" s="1263">
        <v>0</v>
      </c>
      <c r="AO12" s="1263">
        <v>0</v>
      </c>
      <c r="AP12" s="1263">
        <v>0</v>
      </c>
      <c r="AQ12" s="1263">
        <v>0</v>
      </c>
    </row>
    <row r="13" spans="1:43" s="1263" customFormat="1" ht="15.4">
      <c r="A13" s="1264"/>
      <c r="B13" s="1264" t="s">
        <v>2433</v>
      </c>
      <c r="C13" s="1264"/>
      <c r="D13" s="1264" t="s">
        <v>1403</v>
      </c>
      <c r="E13" s="1265" t="s">
        <v>2432</v>
      </c>
      <c r="F13" s="1264"/>
      <c r="H13" s="1276"/>
      <c r="I13" s="1326">
        <f>'2.1 Revenue_Interface'!AB302</f>
        <v>0</v>
      </c>
      <c r="J13" s="1326">
        <f>'2.1 Revenue_Interface'!AC302</f>
        <v>0</v>
      </c>
      <c r="K13" s="1326">
        <f>'2.1 Revenue_Interface'!AD302</f>
        <v>0</v>
      </c>
      <c r="L13" s="1326">
        <f>'2.1 Revenue_Interface'!AE302</f>
        <v>0</v>
      </c>
      <c r="M13" s="1326">
        <f>'2.1 Revenue_Interface'!AF302</f>
        <v>0</v>
      </c>
      <c r="AM13" s="1263">
        <v>0.57001000000000002</v>
      </c>
      <c r="AN13" s="1263">
        <v>0.65868000000000004</v>
      </c>
      <c r="AO13" s="1263">
        <v>0.64093999999999995</v>
      </c>
      <c r="AP13" s="1263">
        <v>0.66456999999999999</v>
      </c>
      <c r="AQ13" s="1263">
        <v>0.61523000000000005</v>
      </c>
    </row>
    <row r="14" spans="1:43" s="1263" customFormat="1" ht="15.4">
      <c r="A14" s="1264"/>
      <c r="B14" s="1267" t="s">
        <v>2433</v>
      </c>
      <c r="C14" s="1267"/>
      <c r="D14" s="1267" t="s">
        <v>1403</v>
      </c>
      <c r="E14" s="1268" t="s">
        <v>2444</v>
      </c>
      <c r="F14" s="1267"/>
      <c r="G14" s="1277"/>
      <c r="H14" s="1278"/>
      <c r="I14" s="1325">
        <f>'2.1 Revenue_Interface'!AB303</f>
        <v>0</v>
      </c>
      <c r="J14" s="1325">
        <f>'2.1 Revenue_Interface'!AC303</f>
        <v>0</v>
      </c>
      <c r="K14" s="1325">
        <f>'2.1 Revenue_Interface'!AD303</f>
        <v>0</v>
      </c>
      <c r="L14" s="1325">
        <f>'2.1 Revenue_Interface'!AE303</f>
        <v>0</v>
      </c>
      <c r="M14" s="1325">
        <f>'2.1 Revenue_Interface'!AF303</f>
        <v>0</v>
      </c>
      <c r="AM14" s="1263">
        <v>0</v>
      </c>
      <c r="AN14" s="1263">
        <v>0</v>
      </c>
      <c r="AO14" s="1263">
        <v>0</v>
      </c>
      <c r="AP14" s="1263">
        <v>0</v>
      </c>
      <c r="AQ14" s="1263">
        <v>0</v>
      </c>
    </row>
    <row r="15" spans="1:43" s="1263" customFormat="1" ht="15.4">
      <c r="A15" s="1264"/>
      <c r="B15" s="1264" t="s">
        <v>2436</v>
      </c>
      <c r="C15" s="1264"/>
      <c r="D15" s="1264" t="s">
        <v>1403</v>
      </c>
      <c r="E15" s="1265" t="s">
        <v>2432</v>
      </c>
      <c r="F15" s="1264"/>
      <c r="H15" s="1276"/>
      <c r="I15" s="1326">
        <f>'2.1 Revenue_Interface'!AB304</f>
        <v>0</v>
      </c>
      <c r="J15" s="1326">
        <f>'2.1 Revenue_Interface'!AC304</f>
        <v>0</v>
      </c>
      <c r="K15" s="1326">
        <f>'2.1 Revenue_Interface'!AD304</f>
        <v>0</v>
      </c>
      <c r="L15" s="1326">
        <f>'2.1 Revenue_Interface'!AE304</f>
        <v>0</v>
      </c>
      <c r="M15" s="1326">
        <f>'2.1 Revenue_Interface'!AF304</f>
        <v>0</v>
      </c>
      <c r="AM15" s="1263">
        <v>0</v>
      </c>
      <c r="AN15" s="1263">
        <v>0</v>
      </c>
      <c r="AO15" s="1263">
        <v>0</v>
      </c>
      <c r="AP15" s="1263">
        <v>0</v>
      </c>
      <c r="AQ15" s="1263">
        <v>0</v>
      </c>
    </row>
    <row r="16" spans="1:43" s="1263" customFormat="1" ht="15.4">
      <c r="A16" s="1264"/>
      <c r="B16" s="1267" t="s">
        <v>2436</v>
      </c>
      <c r="C16" s="1267"/>
      <c r="D16" s="1267" t="s">
        <v>1403</v>
      </c>
      <c r="E16" s="1268" t="s">
        <v>2444</v>
      </c>
      <c r="F16" s="1267"/>
      <c r="G16" s="1277"/>
      <c r="H16" s="1278"/>
      <c r="I16" s="1325">
        <f>'2.1 Revenue_Interface'!AB305</f>
        <v>0</v>
      </c>
      <c r="J16" s="1325">
        <f>'2.1 Revenue_Interface'!AC305</f>
        <v>0</v>
      </c>
      <c r="K16" s="1325">
        <f>'2.1 Revenue_Interface'!AD305</f>
        <v>0</v>
      </c>
      <c r="L16" s="1325">
        <f>'2.1 Revenue_Interface'!AE305</f>
        <v>0</v>
      </c>
      <c r="M16" s="1325">
        <f>'2.1 Revenue_Interface'!AF305</f>
        <v>0</v>
      </c>
      <c r="AM16" s="1263">
        <v>0.45669999999999999</v>
      </c>
      <c r="AN16" s="1263">
        <v>0.32285999999999998</v>
      </c>
      <c r="AO16" s="1263">
        <v>0.36942999999999998</v>
      </c>
      <c r="AP16" s="1263">
        <v>0.44368999999999997</v>
      </c>
      <c r="AQ16" s="1263">
        <v>0.51836000000000004</v>
      </c>
    </row>
    <row r="17" spans="1:43" s="1263" customFormat="1" ht="15.4">
      <c r="A17" s="1264"/>
      <c r="B17" s="1264" t="s">
        <v>2434</v>
      </c>
      <c r="C17" s="1264"/>
      <c r="D17" s="1264" t="s">
        <v>1403</v>
      </c>
      <c r="E17" s="1265" t="s">
        <v>2432</v>
      </c>
      <c r="F17" s="1264"/>
      <c r="H17" s="1276"/>
      <c r="I17" s="1326">
        <f>'2.1 Revenue_Interface'!AB306</f>
        <v>0</v>
      </c>
      <c r="J17" s="1326">
        <f>'2.1 Revenue_Interface'!AC306</f>
        <v>0</v>
      </c>
      <c r="K17" s="1326">
        <f>'2.1 Revenue_Interface'!AD306</f>
        <v>0</v>
      </c>
      <c r="L17" s="1326">
        <f>'2.1 Revenue_Interface'!AE306</f>
        <v>0</v>
      </c>
      <c r="M17" s="1326">
        <f>'2.1 Revenue_Interface'!AF306</f>
        <v>0</v>
      </c>
      <c r="AM17" s="1263">
        <v>0.92091999999999996</v>
      </c>
      <c r="AN17" s="1263">
        <v>0.92740999999999996</v>
      </c>
      <c r="AO17" s="1263">
        <v>0.91927000000000003</v>
      </c>
      <c r="AP17" s="1263">
        <v>0.87880000000000003</v>
      </c>
      <c r="AQ17" s="1263">
        <v>0.89095000000000002</v>
      </c>
    </row>
    <row r="18" spans="1:43" s="1263" customFormat="1" ht="15.4">
      <c r="A18" s="1264"/>
      <c r="B18" s="1267" t="s">
        <v>2434</v>
      </c>
      <c r="C18" s="1267"/>
      <c r="D18" s="1267" t="s">
        <v>1403</v>
      </c>
      <c r="E18" s="1268" t="s">
        <v>2444</v>
      </c>
      <c r="F18" s="1267"/>
      <c r="G18" s="1277"/>
      <c r="H18" s="1278"/>
      <c r="I18" s="1325">
        <f>'2.1 Revenue_Interface'!AB307</f>
        <v>0</v>
      </c>
      <c r="J18" s="1325">
        <f>'2.1 Revenue_Interface'!AC307</f>
        <v>0</v>
      </c>
      <c r="K18" s="1325">
        <f>'2.1 Revenue_Interface'!AD307</f>
        <v>0</v>
      </c>
      <c r="L18" s="1325">
        <f>'2.1 Revenue_Interface'!AE307</f>
        <v>0</v>
      </c>
      <c r="M18" s="1325">
        <f>'2.1 Revenue_Interface'!AF307</f>
        <v>0</v>
      </c>
      <c r="AM18" s="1263">
        <v>0.94843</v>
      </c>
      <c r="AN18" s="1263">
        <v>0.93854000000000004</v>
      </c>
      <c r="AO18" s="1263">
        <v>0.90883999999999998</v>
      </c>
      <c r="AP18" s="1263">
        <v>0.89154</v>
      </c>
      <c r="AQ18" s="1263">
        <v>0.88639999999999997</v>
      </c>
    </row>
    <row r="19" spans="1:43" s="1263" customFormat="1" ht="15.4">
      <c r="A19" s="1264"/>
      <c r="B19" s="1264" t="s">
        <v>2435</v>
      </c>
      <c r="C19" s="1264"/>
      <c r="D19" s="1264" t="s">
        <v>1403</v>
      </c>
      <c r="E19" s="1265" t="s">
        <v>2432</v>
      </c>
      <c r="F19" s="1264"/>
      <c r="H19" s="1276"/>
      <c r="I19" s="1326">
        <f>'2.1 Revenue_Interface'!AB308</f>
        <v>0</v>
      </c>
      <c r="J19" s="1326">
        <f>'2.1 Revenue_Interface'!AC308</f>
        <v>0</v>
      </c>
      <c r="K19" s="1326">
        <f>'2.1 Revenue_Interface'!AD308</f>
        <v>0</v>
      </c>
      <c r="L19" s="1326">
        <f>'2.1 Revenue_Interface'!AE308</f>
        <v>0</v>
      </c>
      <c r="M19" s="1326">
        <f>'2.1 Revenue_Interface'!AF308</f>
        <v>0</v>
      </c>
      <c r="AM19" s="1263">
        <v>0.39854000000000001</v>
      </c>
      <c r="AN19" s="1263">
        <v>0.30214000000000002</v>
      </c>
      <c r="AO19" s="1263">
        <v>0.31859999999999999</v>
      </c>
      <c r="AP19" s="1263">
        <v>0.29692000000000002</v>
      </c>
      <c r="AQ19" s="1263">
        <v>0.34469</v>
      </c>
    </row>
    <row r="20" spans="1:43" s="1263" customFormat="1" ht="15.4">
      <c r="A20" s="1264"/>
      <c r="B20" s="1267" t="s">
        <v>2435</v>
      </c>
      <c r="C20" s="1267"/>
      <c r="D20" s="1267" t="s">
        <v>1403</v>
      </c>
      <c r="E20" s="1268" t="s">
        <v>2444</v>
      </c>
      <c r="F20" s="1267"/>
      <c r="G20" s="1277"/>
      <c r="H20" s="1278"/>
      <c r="I20" s="1325">
        <f>'2.1 Revenue_Interface'!AB309</f>
        <v>0</v>
      </c>
      <c r="J20" s="1325">
        <f>'2.1 Revenue_Interface'!AC309</f>
        <v>0</v>
      </c>
      <c r="K20" s="1325">
        <f>'2.1 Revenue_Interface'!AD309</f>
        <v>0</v>
      </c>
      <c r="L20" s="1325">
        <f>'2.1 Revenue_Interface'!AE309</f>
        <v>0</v>
      </c>
      <c r="M20" s="1325">
        <f>'2.1 Revenue_Interface'!AF309</f>
        <v>0</v>
      </c>
      <c r="AM20" s="1263">
        <v>0</v>
      </c>
      <c r="AN20" s="1263">
        <v>0</v>
      </c>
      <c r="AO20" s="1263">
        <v>0</v>
      </c>
      <c r="AP20" s="1263">
        <v>0</v>
      </c>
      <c r="AQ20" s="1263">
        <v>0</v>
      </c>
    </row>
    <row r="21" spans="1:43" s="1263" customFormat="1" ht="15.4">
      <c r="A21" s="1264"/>
      <c r="B21" s="1264" t="s">
        <v>2437</v>
      </c>
      <c r="C21" s="1264"/>
      <c r="D21" s="1264" t="s">
        <v>1403</v>
      </c>
      <c r="E21" s="1265" t="s">
        <v>2432</v>
      </c>
      <c r="F21" s="1264"/>
      <c r="H21" s="1276"/>
      <c r="I21" s="1326">
        <f>'2.1 Revenue_Interface'!AB310</f>
        <v>0</v>
      </c>
      <c r="J21" s="1326">
        <f>'2.1 Revenue_Interface'!AC310</f>
        <v>0</v>
      </c>
      <c r="K21" s="1326">
        <f>'2.1 Revenue_Interface'!AD310</f>
        <v>0</v>
      </c>
      <c r="L21" s="1326">
        <f>'2.1 Revenue_Interface'!AE310</f>
        <v>0</v>
      </c>
      <c r="M21" s="1326">
        <f>'2.1 Revenue_Interface'!AF310</f>
        <v>0</v>
      </c>
      <c r="AM21" s="1263">
        <v>0</v>
      </c>
      <c r="AN21" s="1263">
        <v>0</v>
      </c>
      <c r="AO21" s="1263">
        <v>0</v>
      </c>
      <c r="AP21" s="1263">
        <v>0</v>
      </c>
      <c r="AQ21" s="1263">
        <v>0</v>
      </c>
    </row>
    <row r="22" spans="1:43" s="1263" customFormat="1" ht="15.4">
      <c r="A22" s="1264"/>
      <c r="B22" s="1264" t="s">
        <v>2437</v>
      </c>
      <c r="C22" s="1264"/>
      <c r="D22" s="1264" t="s">
        <v>1403</v>
      </c>
      <c r="E22" s="1265" t="s">
        <v>2444</v>
      </c>
      <c r="F22" s="1264"/>
      <c r="H22" s="1276"/>
      <c r="I22" s="1325">
        <f>'2.1 Revenue_Interface'!AB311</f>
        <v>0</v>
      </c>
      <c r="J22" s="1325">
        <f>'2.1 Revenue_Interface'!AC311</f>
        <v>0</v>
      </c>
      <c r="K22" s="1325">
        <f>'2.1 Revenue_Interface'!AD311</f>
        <v>0</v>
      </c>
      <c r="L22" s="1325">
        <f>'2.1 Revenue_Interface'!AE311</f>
        <v>0</v>
      </c>
      <c r="M22" s="1325">
        <f>'2.1 Revenue_Interface'!AF311</f>
        <v>0</v>
      </c>
      <c r="AM22" s="1263">
        <v>0.14717</v>
      </c>
      <c r="AN22" s="1263">
        <v>0.15761</v>
      </c>
      <c r="AO22" s="1263">
        <v>0.15298</v>
      </c>
      <c r="AP22" s="1263">
        <v>0.25076999999999999</v>
      </c>
      <c r="AQ22" s="1263">
        <v>0.21711</v>
      </c>
    </row>
    <row r="23" spans="1:43" s="1263" customFormat="1" ht="15.4">
      <c r="A23" s="1264"/>
      <c r="B23" s="1264"/>
      <c r="C23" s="1264"/>
      <c r="D23" s="1264"/>
      <c r="E23" s="1264"/>
      <c r="F23" s="1264"/>
      <c r="H23" s="1276"/>
      <c r="I23" s="1276"/>
      <c r="J23" s="1276"/>
      <c r="K23" s="1276"/>
      <c r="L23" s="1276"/>
      <c r="M23" s="1276"/>
    </row>
    <row r="24" spans="1:43" s="1263" customFormat="1" ht="15.4">
      <c r="A24" s="728" t="s">
        <v>2438</v>
      </c>
      <c r="B24" s="728"/>
      <c r="C24" s="728"/>
      <c r="D24" s="728"/>
      <c r="E24" s="728"/>
      <c r="F24" s="728"/>
      <c r="G24" s="731"/>
      <c r="H24" s="731"/>
      <c r="I24" s="731"/>
      <c r="J24" s="731"/>
      <c r="K24" s="731"/>
      <c r="L24" s="731"/>
      <c r="M24" s="731"/>
    </row>
    <row r="25" spans="1:43" s="1263" customFormat="1" ht="15.4">
      <c r="A25" s="1264"/>
      <c r="B25" s="1264"/>
      <c r="C25" s="1264"/>
      <c r="D25" s="1264"/>
      <c r="E25" s="1264"/>
      <c r="F25" s="1264"/>
      <c r="H25" s="1276"/>
      <c r="I25" s="1276"/>
      <c r="J25" s="1276"/>
      <c r="K25" s="1276"/>
      <c r="L25" s="1276"/>
      <c r="M25" s="1276"/>
    </row>
    <row r="26" spans="1:43" s="1263" customFormat="1" ht="15.4">
      <c r="A26" s="1264"/>
      <c r="B26" s="1264" t="s">
        <v>2432</v>
      </c>
      <c r="C26" s="1264"/>
      <c r="D26" s="1264" t="s">
        <v>1428</v>
      </c>
      <c r="E26" s="1264"/>
      <c r="F26" s="1264"/>
      <c r="H26" s="1276"/>
      <c r="I26" s="1279">
        <f>'4.2 SO PCFM Input Summary'!H26</f>
        <v>0</v>
      </c>
      <c r="J26" s="1279">
        <f>'4.2 SO PCFM Input Summary'!I26</f>
        <v>0</v>
      </c>
      <c r="K26" s="1279">
        <f>'4.2 SO PCFM Input Summary'!J26</f>
        <v>0</v>
      </c>
      <c r="L26" s="1279">
        <f>'4.2 SO PCFM Input Summary'!K26</f>
        <v>0</v>
      </c>
      <c r="M26" s="1279">
        <f>'4.2 SO PCFM Input Summary'!L26</f>
        <v>0</v>
      </c>
    </row>
    <row r="27" spans="1:43" s="1263" customFormat="1" ht="15.4">
      <c r="A27" s="1264"/>
      <c r="B27" s="1267" t="s">
        <v>2444</v>
      </c>
      <c r="C27" s="1267"/>
      <c r="D27" s="1267" t="s">
        <v>1428</v>
      </c>
      <c r="E27" s="1267"/>
      <c r="F27" s="1267"/>
      <c r="G27" s="1277"/>
      <c r="H27" s="1278"/>
      <c r="I27" s="1279">
        <f>'4.2 SO PCFM Input Summary'!H27</f>
        <v>0</v>
      </c>
      <c r="J27" s="1279">
        <f>'4.2 SO PCFM Input Summary'!I27</f>
        <v>0</v>
      </c>
      <c r="K27" s="1279">
        <f>'4.2 SO PCFM Input Summary'!J27</f>
        <v>0</v>
      </c>
      <c r="L27" s="1279">
        <f>'4.2 SO PCFM Input Summary'!K27</f>
        <v>0</v>
      </c>
      <c r="M27" s="1279">
        <f>'4.2 SO PCFM Input Summary'!L27</f>
        <v>0</v>
      </c>
    </row>
    <row r="28" spans="1:43" s="1263" customFormat="1" ht="15.4">
      <c r="A28" s="1264"/>
      <c r="B28" s="1264" t="s">
        <v>2440</v>
      </c>
      <c r="C28" s="1264"/>
      <c r="D28" s="1264"/>
      <c r="E28" s="1264"/>
      <c r="F28" s="1264"/>
      <c r="H28" s="1276"/>
      <c r="I28" s="1280">
        <f>SUM(I26:I27)</f>
        <v>0</v>
      </c>
      <c r="J28" s="1280">
        <f>SUM(J26:J27)</f>
        <v>0</v>
      </c>
      <c r="K28" s="1280">
        <f>SUM(K26:K27)</f>
        <v>0</v>
      </c>
      <c r="L28" s="1280">
        <f>SUM(L26:L27)</f>
        <v>0</v>
      </c>
      <c r="M28" s="1280">
        <f>SUM(M26:M27)</f>
        <v>0</v>
      </c>
    </row>
    <row r="29" spans="1:43" s="1263" customFormat="1" ht="15.4">
      <c r="A29" s="1264"/>
      <c r="B29" s="1264"/>
      <c r="C29" s="1264"/>
      <c r="D29" s="1264"/>
      <c r="E29" s="1264"/>
      <c r="F29" s="1264"/>
      <c r="H29" s="1276"/>
    </row>
    <row r="30" spans="1:43" s="1263" customFormat="1" ht="15.4">
      <c r="A30" s="1264"/>
      <c r="B30" s="1264"/>
      <c r="C30" s="1264"/>
      <c r="D30" s="1264"/>
      <c r="E30" s="1264"/>
      <c r="F30" s="1264"/>
      <c r="H30" s="1276"/>
    </row>
    <row r="31" spans="1:43" s="1263" customFormat="1" ht="15.4">
      <c r="A31" s="1264"/>
      <c r="B31" s="1264"/>
      <c r="C31" s="1264"/>
      <c r="D31" s="1264"/>
      <c r="E31" s="1264"/>
      <c r="F31" s="1264"/>
      <c r="H31" s="1276"/>
      <c r="I31" s="1276"/>
      <c r="J31" s="1276"/>
      <c r="K31" s="1276"/>
      <c r="L31" s="1276"/>
      <c r="M31" s="1276"/>
    </row>
    <row r="32" spans="1:43" s="1263" customFormat="1" ht="15.4">
      <c r="A32" s="1264"/>
      <c r="B32" s="1264" t="s">
        <v>2425</v>
      </c>
      <c r="C32" s="1264"/>
      <c r="D32" s="1264" t="s">
        <v>1428</v>
      </c>
      <c r="E32" s="1265" t="s">
        <v>2432</v>
      </c>
      <c r="F32" s="1264"/>
      <c r="H32" s="1276"/>
      <c r="I32" s="1281">
        <f>INDEX($I$26:$I$27, MATCH($E32, $B$26:$B$27, 0)) * I11</f>
        <v>0</v>
      </c>
      <c r="J32" s="1281">
        <f>INDEX($J$26:$J$27, MATCH($E32, $B$26:$B$27, 0)) * J11</f>
        <v>0</v>
      </c>
      <c r="K32" s="1281">
        <f>INDEX($K$26:$K$27, MATCH($E32, $B$26:$B$27, 0)) * K11</f>
        <v>0</v>
      </c>
      <c r="L32" s="1281">
        <f>INDEX($L$26:$L$27, MATCH($E32, $B$26:$B$27, 0)) * L11</f>
        <v>0</v>
      </c>
      <c r="M32" s="1281">
        <f>INDEX($M$26:$M$27, MATCH($E32, $B$26:$B$27, 0)) * M11</f>
        <v>0</v>
      </c>
    </row>
    <row r="33" spans="1:15" s="1263" customFormat="1" ht="15.4">
      <c r="A33" s="1264"/>
      <c r="B33" s="1267" t="s">
        <v>2425</v>
      </c>
      <c r="C33" s="1267"/>
      <c r="D33" s="1267" t="s">
        <v>1428</v>
      </c>
      <c r="E33" s="1268" t="s">
        <v>2444</v>
      </c>
      <c r="F33" s="1267"/>
      <c r="G33" s="1277"/>
      <c r="H33" s="1278"/>
      <c r="I33" s="1282">
        <f t="shared" ref="I33:I43" si="0">INDEX($I$26:$I$27, MATCH($E33, $B$26:$B$27, 0)) * I12</f>
        <v>0</v>
      </c>
      <c r="J33" s="1282">
        <f t="shared" ref="J33:J43" si="1">INDEX($J$26:$J$27, MATCH($E33, $B$26:$B$27, 0)) * J12</f>
        <v>0</v>
      </c>
      <c r="K33" s="1282">
        <f t="shared" ref="K33:K43" si="2">INDEX($K$26:$K$27, MATCH($E33, $B$26:$B$27, 0)) * K12</f>
        <v>0</v>
      </c>
      <c r="L33" s="1282">
        <f t="shared" ref="L33:L43" si="3">INDEX($L$26:$L$27, MATCH($E33, $B$26:$B$27, 0)) * L12</f>
        <v>0</v>
      </c>
      <c r="M33" s="1282">
        <f t="shared" ref="M33:M43" si="4">INDEX($M$26:$M$27, MATCH($E33, $B$26:$B$27, 0)) * M12</f>
        <v>0</v>
      </c>
    </row>
    <row r="34" spans="1:15" s="1263" customFormat="1" ht="15.4">
      <c r="A34" s="1264"/>
      <c r="B34" s="1264" t="s">
        <v>2433</v>
      </c>
      <c r="C34" s="1264"/>
      <c r="D34" s="1264" t="s">
        <v>1428</v>
      </c>
      <c r="E34" s="1265" t="s">
        <v>2432</v>
      </c>
      <c r="F34" s="1264"/>
      <c r="H34" s="1276"/>
      <c r="I34" s="1281">
        <f t="shared" si="0"/>
        <v>0</v>
      </c>
      <c r="J34" s="1281">
        <f t="shared" si="1"/>
        <v>0</v>
      </c>
      <c r="K34" s="1281">
        <f t="shared" si="2"/>
        <v>0</v>
      </c>
      <c r="L34" s="1281">
        <f t="shared" si="3"/>
        <v>0</v>
      </c>
      <c r="M34" s="1281">
        <f t="shared" si="4"/>
        <v>0</v>
      </c>
    </row>
    <row r="35" spans="1:15" s="1263" customFormat="1" ht="15.4">
      <c r="A35" s="1264"/>
      <c r="B35" s="1267" t="s">
        <v>2433</v>
      </c>
      <c r="C35" s="1267"/>
      <c r="D35" s="1267" t="s">
        <v>1428</v>
      </c>
      <c r="E35" s="1268" t="s">
        <v>2444</v>
      </c>
      <c r="F35" s="1267"/>
      <c r="G35" s="1277"/>
      <c r="H35" s="1278"/>
      <c r="I35" s="1282">
        <f t="shared" si="0"/>
        <v>0</v>
      </c>
      <c r="J35" s="1282">
        <f t="shared" si="1"/>
        <v>0</v>
      </c>
      <c r="K35" s="1282">
        <f t="shared" si="2"/>
        <v>0</v>
      </c>
      <c r="L35" s="1282">
        <f t="shared" si="3"/>
        <v>0</v>
      </c>
      <c r="M35" s="1282">
        <f t="shared" si="4"/>
        <v>0</v>
      </c>
    </row>
    <row r="36" spans="1:15" s="1263" customFormat="1" ht="15.4">
      <c r="A36" s="1264"/>
      <c r="B36" s="1264" t="s">
        <v>2436</v>
      </c>
      <c r="C36" s="1264"/>
      <c r="D36" s="1264" t="s">
        <v>1428</v>
      </c>
      <c r="E36" s="1265" t="s">
        <v>2432</v>
      </c>
      <c r="F36" s="1264"/>
      <c r="H36" s="1276"/>
      <c r="I36" s="1281">
        <f t="shared" si="0"/>
        <v>0</v>
      </c>
      <c r="J36" s="1281">
        <f t="shared" si="1"/>
        <v>0</v>
      </c>
      <c r="K36" s="1281">
        <f t="shared" si="2"/>
        <v>0</v>
      </c>
      <c r="L36" s="1281">
        <f t="shared" si="3"/>
        <v>0</v>
      </c>
      <c r="M36" s="1281">
        <f t="shared" si="4"/>
        <v>0</v>
      </c>
    </row>
    <row r="37" spans="1:15" s="1263" customFormat="1" ht="15.4">
      <c r="A37" s="1264"/>
      <c r="B37" s="1267" t="s">
        <v>2436</v>
      </c>
      <c r="C37" s="1267"/>
      <c r="D37" s="1267" t="s">
        <v>1428</v>
      </c>
      <c r="E37" s="1268" t="s">
        <v>2444</v>
      </c>
      <c r="F37" s="1267"/>
      <c r="G37" s="1277"/>
      <c r="H37" s="1278"/>
      <c r="I37" s="1282">
        <f t="shared" si="0"/>
        <v>0</v>
      </c>
      <c r="J37" s="1282">
        <f t="shared" si="1"/>
        <v>0</v>
      </c>
      <c r="K37" s="1282">
        <f t="shared" si="2"/>
        <v>0</v>
      </c>
      <c r="L37" s="1282">
        <f t="shared" si="3"/>
        <v>0</v>
      </c>
      <c r="M37" s="1282">
        <f t="shared" si="4"/>
        <v>0</v>
      </c>
    </row>
    <row r="38" spans="1:15" s="1263" customFormat="1" ht="15.4">
      <c r="A38" s="1264"/>
      <c r="B38" s="1264" t="s">
        <v>2434</v>
      </c>
      <c r="C38" s="1264"/>
      <c r="D38" s="1264" t="s">
        <v>1428</v>
      </c>
      <c r="E38" s="1265" t="s">
        <v>2432</v>
      </c>
      <c r="F38" s="1264"/>
      <c r="H38" s="1276"/>
      <c r="I38" s="1281">
        <f t="shared" si="0"/>
        <v>0</v>
      </c>
      <c r="J38" s="1281">
        <f t="shared" si="1"/>
        <v>0</v>
      </c>
      <c r="K38" s="1281">
        <f t="shared" si="2"/>
        <v>0</v>
      </c>
      <c r="L38" s="1281">
        <f t="shared" si="3"/>
        <v>0</v>
      </c>
      <c r="M38" s="1281">
        <f t="shared" si="4"/>
        <v>0</v>
      </c>
      <c r="O38" s="1273"/>
    </row>
    <row r="39" spans="1:15" s="1263" customFormat="1" ht="15.4">
      <c r="A39" s="1264"/>
      <c r="B39" s="1267" t="s">
        <v>2434</v>
      </c>
      <c r="C39" s="1267"/>
      <c r="D39" s="1267" t="s">
        <v>1428</v>
      </c>
      <c r="E39" s="1268" t="s">
        <v>2444</v>
      </c>
      <c r="F39" s="1267"/>
      <c r="G39" s="1277"/>
      <c r="H39" s="1278"/>
      <c r="I39" s="1282">
        <f t="shared" si="0"/>
        <v>0</v>
      </c>
      <c r="J39" s="1282">
        <f t="shared" si="1"/>
        <v>0</v>
      </c>
      <c r="K39" s="1282">
        <f t="shared" si="2"/>
        <v>0</v>
      </c>
      <c r="L39" s="1282">
        <f t="shared" si="3"/>
        <v>0</v>
      </c>
      <c r="M39" s="1282">
        <f t="shared" si="4"/>
        <v>0</v>
      </c>
    </row>
    <row r="40" spans="1:15" s="1263" customFormat="1" ht="15.4">
      <c r="A40" s="1264"/>
      <c r="B40" s="1264" t="s">
        <v>2435</v>
      </c>
      <c r="C40" s="1264"/>
      <c r="D40" s="1264" t="s">
        <v>1428</v>
      </c>
      <c r="E40" s="1265" t="s">
        <v>2432</v>
      </c>
      <c r="F40" s="1264"/>
      <c r="H40" s="1276"/>
      <c r="I40" s="1281">
        <f t="shared" si="0"/>
        <v>0</v>
      </c>
      <c r="J40" s="1281">
        <f t="shared" si="1"/>
        <v>0</v>
      </c>
      <c r="K40" s="1281">
        <f t="shared" si="2"/>
        <v>0</v>
      </c>
      <c r="L40" s="1281">
        <f t="shared" si="3"/>
        <v>0</v>
      </c>
      <c r="M40" s="1281">
        <f t="shared" si="4"/>
        <v>0</v>
      </c>
    </row>
    <row r="41" spans="1:15" s="1263" customFormat="1" ht="15.4">
      <c r="A41" s="1264"/>
      <c r="B41" s="1267" t="s">
        <v>2435</v>
      </c>
      <c r="C41" s="1267"/>
      <c r="D41" s="1267" t="s">
        <v>1428</v>
      </c>
      <c r="E41" s="1268" t="s">
        <v>2444</v>
      </c>
      <c r="F41" s="1267"/>
      <c r="G41" s="1277"/>
      <c r="H41" s="1278"/>
      <c r="I41" s="1282">
        <f t="shared" si="0"/>
        <v>0</v>
      </c>
      <c r="J41" s="1282">
        <f t="shared" si="1"/>
        <v>0</v>
      </c>
      <c r="K41" s="1282">
        <f t="shared" si="2"/>
        <v>0</v>
      </c>
      <c r="L41" s="1282">
        <f t="shared" si="3"/>
        <v>0</v>
      </c>
      <c r="M41" s="1282">
        <f t="shared" si="4"/>
        <v>0</v>
      </c>
    </row>
    <row r="42" spans="1:15" s="1263" customFormat="1" ht="15.4">
      <c r="A42" s="1264"/>
      <c r="B42" s="1264" t="s">
        <v>2437</v>
      </c>
      <c r="C42" s="1264"/>
      <c r="D42" s="1264" t="s">
        <v>1428</v>
      </c>
      <c r="E42" s="1265" t="s">
        <v>2432</v>
      </c>
      <c r="F42" s="1264"/>
      <c r="H42" s="1276"/>
      <c r="I42" s="1281">
        <f t="shared" si="0"/>
        <v>0</v>
      </c>
      <c r="J42" s="1281">
        <f t="shared" si="1"/>
        <v>0</v>
      </c>
      <c r="K42" s="1281">
        <f t="shared" si="2"/>
        <v>0</v>
      </c>
      <c r="L42" s="1281">
        <f t="shared" si="3"/>
        <v>0</v>
      </c>
      <c r="M42" s="1281">
        <f t="shared" si="4"/>
        <v>0</v>
      </c>
    </row>
    <row r="43" spans="1:15" s="1263" customFormat="1" ht="15.4">
      <c r="A43" s="1264"/>
      <c r="B43" s="1264" t="s">
        <v>2437</v>
      </c>
      <c r="C43" s="1264"/>
      <c r="D43" s="1264" t="s">
        <v>1428</v>
      </c>
      <c r="E43" s="1265" t="s">
        <v>2444</v>
      </c>
      <c r="F43" s="1264"/>
      <c r="H43" s="1276"/>
      <c r="I43" s="1281">
        <f t="shared" si="0"/>
        <v>0</v>
      </c>
      <c r="J43" s="1281">
        <f t="shared" si="1"/>
        <v>0</v>
      </c>
      <c r="K43" s="1281">
        <f t="shared" si="2"/>
        <v>0</v>
      </c>
      <c r="L43" s="1281">
        <f t="shared" si="3"/>
        <v>0</v>
      </c>
      <c r="M43" s="1281">
        <f t="shared" si="4"/>
        <v>0</v>
      </c>
    </row>
    <row r="44" spans="1:15" s="1263" customFormat="1" ht="15.4">
      <c r="A44" s="1264"/>
      <c r="B44" s="1264"/>
      <c r="C44" s="1264"/>
      <c r="D44" s="1264"/>
      <c r="E44" s="1264"/>
      <c r="F44" s="1264"/>
      <c r="H44" s="1283"/>
    </row>
    <row r="45" spans="1:15" s="1263" customFormat="1" ht="15.4">
      <c r="A45" s="728" t="s">
        <v>2441</v>
      </c>
      <c r="B45" s="728"/>
      <c r="C45" s="728"/>
      <c r="D45" s="728"/>
      <c r="E45" s="728"/>
      <c r="F45" s="728"/>
      <c r="G45" s="731"/>
      <c r="H45" s="731"/>
      <c r="I45" s="731"/>
      <c r="J45" s="731"/>
      <c r="K45" s="731"/>
      <c r="L45" s="731"/>
      <c r="M45" s="731"/>
    </row>
    <row r="46" spans="1:15" s="1263" customFormat="1" ht="15.4">
      <c r="A46" s="1264"/>
      <c r="B46" s="1264"/>
      <c r="C46" s="1264"/>
      <c r="D46" s="1264"/>
      <c r="E46" s="1264"/>
      <c r="F46" s="1264"/>
      <c r="H46" s="1276"/>
      <c r="I46" s="1276"/>
      <c r="J46" s="1276"/>
      <c r="K46" s="1276"/>
      <c r="L46" s="1276"/>
      <c r="M46" s="1276"/>
    </row>
    <row r="47" spans="1:15" s="1263" customFormat="1" ht="15.4">
      <c r="A47" s="1264"/>
      <c r="B47" s="1264" t="s">
        <v>2425</v>
      </c>
      <c r="C47" s="1264"/>
      <c r="D47" s="1264" t="s">
        <v>1403</v>
      </c>
      <c r="E47" s="1264"/>
      <c r="F47" s="1264"/>
      <c r="H47" s="1276"/>
      <c r="I47" s="732" cm="1">
        <f t="array" ref="I47">IFERROR(SUMPRODUCT(($I$32:$I$43) * ($B$32:$B$43 =$B47)) /$I$28,0)</f>
        <v>0</v>
      </c>
      <c r="J47" s="732" cm="1">
        <f t="array" ref="J47">IFERROR(SUMPRODUCT(($J$32:$J$43) * ($B$32:$B$43 =$B47)) /$J$28,0)</f>
        <v>0</v>
      </c>
      <c r="K47" s="732" cm="1">
        <f t="array" ref="K47">IFERROR(SUMPRODUCT(($K$32:$K$43) * ($B$32:$B$43 =$B47)) /$K$28,0)</f>
        <v>0</v>
      </c>
      <c r="L47" s="732" cm="1">
        <f t="array" ref="L47">IFERROR(SUMPRODUCT(($L$32:$L$43) * ($B$32:$B$43 =$B47)) /$L$28,0)</f>
        <v>0</v>
      </c>
      <c r="M47" s="732" cm="1">
        <f t="array" ref="M47">IFERROR(SUMPRODUCT(($M$32:$M$43) * ($B$32:$B$43 =$B47)) /$M$28,0)</f>
        <v>0</v>
      </c>
    </row>
    <row r="48" spans="1:15" s="1263" customFormat="1" ht="15.4">
      <c r="A48" s="1264"/>
      <c r="B48" s="1264" t="s">
        <v>2433</v>
      </c>
      <c r="C48" s="1264"/>
      <c r="D48" s="1264" t="s">
        <v>1403</v>
      </c>
      <c r="E48" s="1264"/>
      <c r="F48" s="1264"/>
      <c r="H48" s="1276"/>
      <c r="I48" s="732" cm="1">
        <f t="array" ref="I48">IFERROR(SUMPRODUCT(($I$32:$I$43) * ($B$32:$B$43 =$B48)) /$I$28,0)</f>
        <v>0</v>
      </c>
      <c r="J48" s="732" cm="1">
        <f t="array" ref="J48">IFERROR(SUMPRODUCT(($J$32:$J$43) * ($B$32:$B$43 =$B48)) /$J$28,0)</f>
        <v>0</v>
      </c>
      <c r="K48" s="732" cm="1">
        <f t="array" ref="K48">IFERROR(SUMPRODUCT(($K$32:$K$43) * ($B$32:$B$43 =$B48)) /$K$28,0)</f>
        <v>0</v>
      </c>
      <c r="L48" s="732" cm="1">
        <f t="array" ref="L48">IFERROR(SUMPRODUCT(($L$32:$L$43) * ($B$32:$B$43 =$B48)) /$L$28,0)</f>
        <v>0</v>
      </c>
      <c r="M48" s="732" cm="1">
        <f t="array" ref="M48">IFERROR(SUMPRODUCT(($M$32:$M$43) * ($B$32:$B$43 =$B48)) /$M$28,0)</f>
        <v>0</v>
      </c>
    </row>
    <row r="49" spans="1:13" s="1263" customFormat="1" ht="15.4">
      <c r="A49" s="1264"/>
      <c r="B49" s="1264" t="s">
        <v>2436</v>
      </c>
      <c r="C49" s="1264"/>
      <c r="D49" s="1264" t="s">
        <v>1403</v>
      </c>
      <c r="E49" s="1264"/>
      <c r="F49" s="1264"/>
      <c r="H49" s="1276"/>
      <c r="I49" s="732" cm="1">
        <f t="array" ref="I49">IFERROR(SUMPRODUCT(($I$32:$I$43) * ($B$32:$B$43 =$B49)) /$I$28,0)</f>
        <v>0</v>
      </c>
      <c r="J49" s="732" cm="1">
        <f t="array" ref="J49">IFERROR(SUMPRODUCT(($J$32:$J$43) * ($B$32:$B$43 =$B49)) /$J$28,0)</f>
        <v>0</v>
      </c>
      <c r="K49" s="732" cm="1">
        <f t="array" ref="K49">IFERROR(SUMPRODUCT(($K$32:$K$43) * ($B$32:$B$43 =$B49)) /$K$28,0)</f>
        <v>0</v>
      </c>
      <c r="L49" s="732" cm="1">
        <f t="array" ref="L49">IFERROR(SUMPRODUCT(($L$32:$L$43) * ($B$32:$B$43 =$B49)) /$L$28,0)</f>
        <v>0</v>
      </c>
      <c r="M49" s="732" cm="1">
        <f t="array" ref="M49">IFERROR(SUMPRODUCT(($M$32:$M$43) * ($B$32:$B$43 =$B49)) /$M$28,0)</f>
        <v>0</v>
      </c>
    </row>
    <row r="50" spans="1:13" s="1263" customFormat="1" ht="15.4">
      <c r="A50" s="1264"/>
      <c r="B50" s="1264" t="s">
        <v>2434</v>
      </c>
      <c r="C50" s="1264"/>
      <c r="D50" s="1264" t="s">
        <v>1403</v>
      </c>
      <c r="E50" s="1264"/>
      <c r="F50" s="1264"/>
      <c r="H50" s="1276"/>
      <c r="I50" s="732" cm="1">
        <f t="array" ref="I50">IFERROR(SUMPRODUCT(($I$32:$I$43) * ($B$32:$B$43 =$B50)) /$I$28,0)</f>
        <v>0</v>
      </c>
      <c r="J50" s="732" cm="1">
        <f t="array" ref="J50">IFERROR(SUMPRODUCT(($J$32:$J$43) * ($B$32:$B$43 =$B50)) /$J$28,0)</f>
        <v>0</v>
      </c>
      <c r="K50" s="732" cm="1">
        <f t="array" ref="K50">IFERROR(SUMPRODUCT(($K$32:$K$43) * ($B$32:$B$43 =$B50)) /$K$28,0)</f>
        <v>0</v>
      </c>
      <c r="L50" s="732" cm="1">
        <f t="array" ref="L50">IFERROR(SUMPRODUCT(($L$32:$L$43) * ($B$32:$B$43 =$B50)) /$L$28,0)</f>
        <v>0</v>
      </c>
      <c r="M50" s="732" cm="1">
        <f t="array" ref="M50">IFERROR(SUMPRODUCT(($M$32:$M$43) * ($B$32:$B$43 =$B50)) /$M$28,0)</f>
        <v>0</v>
      </c>
    </row>
    <row r="51" spans="1:13" s="1263" customFormat="1" ht="15.4">
      <c r="A51" s="1264"/>
      <c r="B51" s="1264" t="s">
        <v>2435</v>
      </c>
      <c r="C51" s="1264"/>
      <c r="D51" s="1264" t="s">
        <v>1403</v>
      </c>
      <c r="E51" s="1264"/>
      <c r="F51" s="1264"/>
      <c r="H51" s="1276"/>
      <c r="I51" s="732" cm="1">
        <f t="array" ref="I51">IFERROR(SUMPRODUCT(($I$32:$I$43) * ($B$32:$B$43 =$B51)) /$I$28,0)</f>
        <v>0</v>
      </c>
      <c r="J51" s="732" cm="1">
        <f t="array" ref="J51">IFERROR(SUMPRODUCT(($J$32:$J$43) * ($B$32:$B$43 =$B51)) /$J$28,0)</f>
        <v>0</v>
      </c>
      <c r="K51" s="732" cm="1">
        <f t="array" ref="K51">IFERROR(SUMPRODUCT(($K$32:$K$43) * ($B$32:$B$43 =$B51)) /$K$28,0)</f>
        <v>0</v>
      </c>
      <c r="L51" s="732" cm="1">
        <f t="array" ref="L51">IFERROR(SUMPRODUCT(($L$32:$L$43) * ($B$32:$B$43 =$B51)) /$L$28,0)</f>
        <v>0</v>
      </c>
      <c r="M51" s="732" cm="1">
        <f t="array" ref="M51">IFERROR(SUMPRODUCT(($M$32:$M$43) * ($B$32:$B$43 =$B51)) /$M$28,0)</f>
        <v>0</v>
      </c>
    </row>
    <row r="52" spans="1:13" s="1263" customFormat="1" ht="15.4">
      <c r="A52" s="1264"/>
      <c r="B52" s="1264" t="s">
        <v>2437</v>
      </c>
      <c r="C52" s="1264"/>
      <c r="D52" s="1264" t="s">
        <v>1403</v>
      </c>
      <c r="E52" s="1264"/>
      <c r="F52" s="1264"/>
      <c r="H52" s="1276"/>
      <c r="I52" s="732" cm="1">
        <f t="array" ref="I52">IFERROR(SUMPRODUCT(($I$32:$I$43) * ($B$32:$B$43 =$B52)) /$I$28,0)</f>
        <v>0</v>
      </c>
      <c r="J52" s="732" cm="1">
        <f t="array" ref="J52">IFERROR(SUMPRODUCT(($J$32:$J$43) * ($B$32:$B$43 =$B52)) /$J$28,0)</f>
        <v>0</v>
      </c>
      <c r="K52" s="732" cm="1">
        <f t="array" ref="K52">IFERROR(SUMPRODUCT(($K$32:$K$43) * ($B$32:$B$43 =$B52)) /$K$28,0)</f>
        <v>0</v>
      </c>
      <c r="L52" s="732" cm="1">
        <f t="array" ref="L52">IFERROR(SUMPRODUCT(($L$32:$L$43) * ($B$32:$B$43 =$B52)) /$L$28,0)</f>
        <v>0</v>
      </c>
      <c r="M52" s="732" cm="1">
        <f t="array" ref="M52">IFERROR(SUMPRODUCT(($M$32:$M$43) * ($B$32:$B$43 =$B52)) /$M$28,0)</f>
        <v>0</v>
      </c>
    </row>
    <row r="53" spans="1:13" s="1263" customFormat="1" ht="15.4">
      <c r="A53" s="1264"/>
      <c r="B53" s="1275" t="s">
        <v>2442</v>
      </c>
      <c r="C53" s="1264"/>
      <c r="D53" s="1275" t="s">
        <v>1403</v>
      </c>
      <c r="E53" s="1264"/>
      <c r="F53" s="1264"/>
      <c r="H53" s="1276"/>
      <c r="I53" s="733">
        <f>SUM(I47:I52)</f>
        <v>0</v>
      </c>
      <c r="J53" s="733">
        <f>SUM(J47:J52)</f>
        <v>0</v>
      </c>
      <c r="K53" s="733">
        <f>SUM(K47:K52)</f>
        <v>0</v>
      </c>
      <c r="L53" s="733">
        <f>SUM(L47:L52)</f>
        <v>0</v>
      </c>
      <c r="M53" s="733">
        <f>SUM(M47:M52)</f>
        <v>0</v>
      </c>
    </row>
    <row r="54" spans="1:13" s="1263" customFormat="1" ht="15.4">
      <c r="H54" s="1276"/>
      <c r="I54" s="1276"/>
      <c r="J54" s="1276"/>
      <c r="K54" s="1276"/>
      <c r="L54" s="1276"/>
      <c r="M54" s="127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6"/>
  <sheetViews>
    <sheetView zoomScale="80" zoomScaleNormal="80" workbookViewId="0">
      <pane ySplit="8" topLeftCell="A9" activePane="bottomLeft" state="frozen"/>
      <selection pane="bottomLeft" activeCell="AE25" sqref="AE25"/>
    </sheetView>
  </sheetViews>
  <sheetFormatPr defaultRowHeight="14.25"/>
  <cols>
    <col min="1" max="3" width="1.73046875" customWidth="1"/>
    <col min="4" max="4" width="8.1328125" bestFit="1" customWidth="1"/>
    <col min="5" max="5" width="5" bestFit="1" customWidth="1"/>
    <col min="6" max="7" width="5" style="435" customWidth="1"/>
    <col min="8" max="8" width="25.73046875" bestFit="1" customWidth="1"/>
    <col min="9" max="9" width="9.3984375" bestFit="1" customWidth="1"/>
    <col min="10" max="10" width="10.73046875" bestFit="1" customWidth="1"/>
    <col min="11" max="11" width="31.3984375" bestFit="1" customWidth="1"/>
    <col min="12" max="12" width="45.59765625" bestFit="1" customWidth="1"/>
    <col min="13" max="14" width="1.73046875" customWidth="1"/>
    <col min="15" max="15" width="14.86328125" bestFit="1" customWidth="1"/>
    <col min="16" max="17" width="1.73046875" customWidth="1"/>
    <col min="18"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120</v>
      </c>
    </row>
    <row r="6" spans="1:35">
      <c r="AD6" s="435"/>
      <c r="AE6" s="1362" t="s">
        <v>112</v>
      </c>
      <c r="AF6" s="1363"/>
      <c r="AG6" s="1363"/>
      <c r="AH6" s="1363"/>
      <c r="AI6" s="1364"/>
    </row>
    <row r="7" spans="1:35" s="67" customFormat="1">
      <c r="D7" s="87" t="s">
        <v>111</v>
      </c>
      <c r="E7" s="87" t="s">
        <v>68</v>
      </c>
      <c r="F7" s="87" t="s">
        <v>2692</v>
      </c>
      <c r="G7" s="87" t="s">
        <v>2681</v>
      </c>
      <c r="H7" s="87" t="s">
        <v>110</v>
      </c>
      <c r="I7" s="87" t="s">
        <v>109</v>
      </c>
      <c r="J7" s="87" t="s">
        <v>108</v>
      </c>
      <c r="K7" s="87" t="s">
        <v>107</v>
      </c>
      <c r="L7" s="87" t="s">
        <v>106</v>
      </c>
      <c r="M7" s="87" t="s">
        <v>105</v>
      </c>
      <c r="N7" s="87"/>
      <c r="O7" s="87" t="s">
        <v>103</v>
      </c>
      <c r="P7" s="87"/>
      <c r="Q7" s="87"/>
      <c r="R7" s="86" t="s">
        <v>101</v>
      </c>
      <c r="S7" s="86" t="s">
        <v>100</v>
      </c>
      <c r="T7" s="86" t="s">
        <v>99</v>
      </c>
      <c r="U7" s="86" t="s">
        <v>98</v>
      </c>
      <c r="V7" s="86" t="s">
        <v>97</v>
      </c>
      <c r="W7" s="86" t="s">
        <v>96</v>
      </c>
      <c r="X7" s="86" t="s">
        <v>95</v>
      </c>
      <c r="Y7" s="86" t="s">
        <v>94</v>
      </c>
      <c r="Z7" s="86" t="s">
        <v>93</v>
      </c>
      <c r="AA7" s="86" t="s">
        <v>92</v>
      </c>
      <c r="AB7" s="86" t="s">
        <v>91</v>
      </c>
      <c r="AC7" s="67" t="s">
        <v>5</v>
      </c>
      <c r="AE7" s="90">
        <v>2022</v>
      </c>
      <c r="AF7" s="91">
        <v>2023</v>
      </c>
      <c r="AG7" s="91">
        <v>2024</v>
      </c>
      <c r="AH7" s="91">
        <v>2025</v>
      </c>
      <c r="AI7" s="92">
        <v>2026</v>
      </c>
    </row>
    <row r="8" spans="1:35">
      <c r="R8" s="67"/>
      <c r="S8" s="67"/>
      <c r="T8" s="67"/>
      <c r="U8" s="67"/>
    </row>
    <row r="9" spans="1:35" s="1" customFormat="1" ht="17.649999999999999">
      <c r="A9" s="2" t="s">
        <v>6</v>
      </c>
      <c r="B9" s="2"/>
    </row>
    <row r="11" spans="1:35" s="1" customFormat="1" ht="13.9">
      <c r="A11" s="66"/>
      <c r="B11" s="78" t="s">
        <v>2697</v>
      </c>
    </row>
    <row r="13" spans="1:35">
      <c r="D13" t="s">
        <v>79</v>
      </c>
      <c r="E13" t="s">
        <v>68</v>
      </c>
      <c r="F13" s="435" t="s">
        <v>274</v>
      </c>
      <c r="G13" s="435" t="s">
        <v>12</v>
      </c>
      <c r="H13" t="s">
        <v>77</v>
      </c>
      <c r="I13" t="s">
        <v>1</v>
      </c>
      <c r="J13" t="s">
        <v>121</v>
      </c>
      <c r="K13" t="s">
        <v>122</v>
      </c>
      <c r="O13" t="s">
        <v>77</v>
      </c>
      <c r="AC13" t="s">
        <v>2</v>
      </c>
      <c r="AD13" s="80"/>
      <c r="AE13" s="93">
        <f>SUMIFS('5.9 Bus_Sup_Alloc'!AE$11:AE$64,'5.9 Bus_Sup_Alloc'!$D$11:$D$64,$D13,'5.9 Bus_Sup_Alloc'!$K$11:$K$64,$K13)</f>
        <v>0</v>
      </c>
      <c r="AF13" s="93">
        <f>SUMIFS('5.9 Bus_Sup_Alloc'!AF$11:AF$64,'5.9 Bus_Sup_Alloc'!$D$11:$D$64,$D13,'5.9 Bus_Sup_Alloc'!$K$11:$K$64,$K13)</f>
        <v>0</v>
      </c>
      <c r="AG13" s="93">
        <f>SUMIFS('5.9 Bus_Sup_Alloc'!AG$11:AG$64,'5.9 Bus_Sup_Alloc'!$D$11:$D$64,$D13,'5.9 Bus_Sup_Alloc'!$K$11:$K$64,$K13)</f>
        <v>0</v>
      </c>
      <c r="AH13" s="93">
        <f>SUMIFS('5.9 Bus_Sup_Alloc'!AH$11:AH$64,'5.9 Bus_Sup_Alloc'!$D$11:$D$64,$D13,'5.9 Bus_Sup_Alloc'!$K$11:$K$64,$K13)</f>
        <v>0</v>
      </c>
      <c r="AI13" s="93">
        <f>SUMIFS('5.9 Bus_Sup_Alloc'!AI$11:AI$64,'5.9 Bus_Sup_Alloc'!$D$11:$D$64,$D13,'5.9 Bus_Sup_Alloc'!$K$11:$K$64,$K13)</f>
        <v>0</v>
      </c>
    </row>
    <row r="14" spans="1:35">
      <c r="D14" t="s">
        <v>79</v>
      </c>
      <c r="E14" t="s">
        <v>68</v>
      </c>
      <c r="F14" s="435" t="s">
        <v>274</v>
      </c>
      <c r="G14" s="435" t="s">
        <v>12</v>
      </c>
      <c r="H14" t="s">
        <v>77</v>
      </c>
      <c r="I14" t="s">
        <v>1</v>
      </c>
      <c r="J14" t="s">
        <v>121</v>
      </c>
      <c r="K14" t="s">
        <v>123</v>
      </c>
      <c r="O14" t="s">
        <v>77</v>
      </c>
      <c r="AC14" t="s">
        <v>2</v>
      </c>
      <c r="AD14" s="80"/>
      <c r="AE14" s="93">
        <f>SUMIFS('5.9 Bus_Sup_Alloc'!AE$11:AE$64,'5.9 Bus_Sup_Alloc'!$D$11:$D$64,$D14,'5.9 Bus_Sup_Alloc'!$K$11:$K$64,$K14)</f>
        <v>0</v>
      </c>
      <c r="AF14" s="93">
        <f>SUMIFS('5.9 Bus_Sup_Alloc'!AF$11:AF$64,'5.9 Bus_Sup_Alloc'!$D$11:$D$64,$D14,'5.9 Bus_Sup_Alloc'!$K$11:$K$64,$K14)</f>
        <v>0</v>
      </c>
      <c r="AG14" s="93">
        <f>SUMIFS('5.9 Bus_Sup_Alloc'!AG$11:AG$64,'5.9 Bus_Sup_Alloc'!$D$11:$D$64,$D14,'5.9 Bus_Sup_Alloc'!$K$11:$K$64,$K14)</f>
        <v>0</v>
      </c>
      <c r="AH14" s="93">
        <f>SUMIFS('5.9 Bus_Sup_Alloc'!AH$11:AH$64,'5.9 Bus_Sup_Alloc'!$D$11:$D$64,$D14,'5.9 Bus_Sup_Alloc'!$K$11:$K$64,$K14)</f>
        <v>0</v>
      </c>
      <c r="AI14" s="93">
        <f>SUMIFS('5.9 Bus_Sup_Alloc'!AI$11:AI$64,'5.9 Bus_Sup_Alloc'!$D$11:$D$64,$D14,'5.9 Bus_Sup_Alloc'!$K$11:$K$64,$K14)</f>
        <v>0</v>
      </c>
    </row>
    <row r="15" spans="1:35">
      <c r="D15" t="s">
        <v>79</v>
      </c>
      <c r="E15" t="s">
        <v>68</v>
      </c>
      <c r="F15" s="435" t="s">
        <v>274</v>
      </c>
      <c r="G15" s="435" t="s">
        <v>12</v>
      </c>
      <c r="H15" t="s">
        <v>77</v>
      </c>
      <c r="I15" t="s">
        <v>1</v>
      </c>
      <c r="J15" t="s">
        <v>121</v>
      </c>
      <c r="K15" t="s">
        <v>124</v>
      </c>
      <c r="O15" t="s">
        <v>77</v>
      </c>
      <c r="AC15" t="s">
        <v>2</v>
      </c>
      <c r="AD15" s="80"/>
      <c r="AE15" s="93">
        <f>SUMIFS('5.9 Bus_Sup_Alloc'!AE$11:AE$64,'5.9 Bus_Sup_Alloc'!$D$11:$D$64,$D15,'5.9 Bus_Sup_Alloc'!$K$11:$K$64,$K15)</f>
        <v>0</v>
      </c>
      <c r="AF15" s="93">
        <f>SUMIFS('5.9 Bus_Sup_Alloc'!AF$11:AF$64,'5.9 Bus_Sup_Alloc'!$D$11:$D$64,$D15,'5.9 Bus_Sup_Alloc'!$K$11:$K$64,$K15)</f>
        <v>0</v>
      </c>
      <c r="AG15" s="93">
        <f>SUMIFS('5.9 Bus_Sup_Alloc'!AG$11:AG$64,'5.9 Bus_Sup_Alloc'!$D$11:$D$64,$D15,'5.9 Bus_Sup_Alloc'!$K$11:$K$64,$K15)</f>
        <v>0</v>
      </c>
      <c r="AH15" s="93">
        <f>SUMIFS('5.9 Bus_Sup_Alloc'!AH$11:AH$64,'5.9 Bus_Sup_Alloc'!$D$11:$D$64,$D15,'5.9 Bus_Sup_Alloc'!$K$11:$K$64,$K15)</f>
        <v>0</v>
      </c>
      <c r="AI15" s="93">
        <f>SUMIFS('5.9 Bus_Sup_Alloc'!AI$11:AI$64,'5.9 Bus_Sup_Alloc'!$D$11:$D$64,$D15,'5.9 Bus_Sup_Alloc'!$K$11:$K$64,$K15)</f>
        <v>0</v>
      </c>
    </row>
    <row r="16" spans="1:35">
      <c r="D16" t="s">
        <v>79</v>
      </c>
      <c r="E16" t="s">
        <v>68</v>
      </c>
      <c r="F16" s="435" t="s">
        <v>274</v>
      </c>
      <c r="G16" s="435" t="s">
        <v>12</v>
      </c>
      <c r="H16" t="s">
        <v>77</v>
      </c>
      <c r="I16" t="s">
        <v>1</v>
      </c>
      <c r="J16" t="s">
        <v>121</v>
      </c>
      <c r="K16" t="s">
        <v>125</v>
      </c>
      <c r="O16" t="s">
        <v>77</v>
      </c>
      <c r="AC16" t="s">
        <v>2</v>
      </c>
      <c r="AD16" s="80"/>
      <c r="AE16" s="93">
        <f>SUMIFS('5.9 Bus_Sup_Alloc'!AE$11:AE$64,'5.9 Bus_Sup_Alloc'!$D$11:$D$64,$D16,'5.9 Bus_Sup_Alloc'!$K$11:$K$64,$K16)</f>
        <v>0</v>
      </c>
      <c r="AF16" s="93">
        <f>SUMIFS('5.9 Bus_Sup_Alloc'!AF$11:AF$64,'5.9 Bus_Sup_Alloc'!$D$11:$D$64,$D16,'5.9 Bus_Sup_Alloc'!$K$11:$K$64,$K16)</f>
        <v>0</v>
      </c>
      <c r="AG16" s="93">
        <f>SUMIFS('5.9 Bus_Sup_Alloc'!AG$11:AG$64,'5.9 Bus_Sup_Alloc'!$D$11:$D$64,$D16,'5.9 Bus_Sup_Alloc'!$K$11:$K$64,$K16)</f>
        <v>0</v>
      </c>
      <c r="AH16" s="93">
        <f>SUMIFS('5.9 Bus_Sup_Alloc'!AH$11:AH$64,'5.9 Bus_Sup_Alloc'!$D$11:$D$64,$D16,'5.9 Bus_Sup_Alloc'!$K$11:$K$64,$K16)</f>
        <v>0</v>
      </c>
      <c r="AI16" s="93">
        <f>SUMIFS('5.9 Bus_Sup_Alloc'!AI$11:AI$64,'5.9 Bus_Sup_Alloc'!$D$11:$D$64,$D16,'5.9 Bus_Sup_Alloc'!$K$11:$K$64,$K16)</f>
        <v>0</v>
      </c>
    </row>
    <row r="17" spans="1:35">
      <c r="D17" t="s">
        <v>79</v>
      </c>
      <c r="E17" t="s">
        <v>68</v>
      </c>
      <c r="F17" s="435" t="s">
        <v>274</v>
      </c>
      <c r="G17" s="435" t="s">
        <v>12</v>
      </c>
      <c r="H17" t="s">
        <v>77</v>
      </c>
      <c r="I17" t="s">
        <v>1</v>
      </c>
      <c r="J17" t="s">
        <v>121</v>
      </c>
      <c r="K17" t="s">
        <v>126</v>
      </c>
      <c r="O17" t="s">
        <v>77</v>
      </c>
      <c r="AC17" t="s">
        <v>2</v>
      </c>
      <c r="AD17" s="80"/>
      <c r="AE17" s="93">
        <f>SUMIFS('5.9 Bus_Sup_Alloc'!AE$11:AE$64,'5.9 Bus_Sup_Alloc'!$D$11:$D$64,$D17,'5.9 Bus_Sup_Alloc'!$K$11:$K$64,$K17)</f>
        <v>0</v>
      </c>
      <c r="AF17" s="93">
        <f>SUMIFS('5.9 Bus_Sup_Alloc'!AF$11:AF$64,'5.9 Bus_Sup_Alloc'!$D$11:$D$64,$D17,'5.9 Bus_Sup_Alloc'!$K$11:$K$64,$K17)</f>
        <v>0</v>
      </c>
      <c r="AG17" s="93">
        <f>SUMIFS('5.9 Bus_Sup_Alloc'!AG$11:AG$64,'5.9 Bus_Sup_Alloc'!$D$11:$D$64,$D17,'5.9 Bus_Sup_Alloc'!$K$11:$K$64,$K17)</f>
        <v>0</v>
      </c>
      <c r="AH17" s="93">
        <f>SUMIFS('5.9 Bus_Sup_Alloc'!AH$11:AH$64,'5.9 Bus_Sup_Alloc'!$D$11:$D$64,$D17,'5.9 Bus_Sup_Alloc'!$K$11:$K$64,$K17)</f>
        <v>0</v>
      </c>
      <c r="AI17" s="93">
        <f>SUMIFS('5.9 Bus_Sup_Alloc'!AI$11:AI$64,'5.9 Bus_Sup_Alloc'!$D$11:$D$64,$D17,'5.9 Bus_Sup_Alloc'!$K$11:$K$64,$K17)</f>
        <v>0</v>
      </c>
    </row>
    <row r="18" spans="1:35">
      <c r="D18" t="s">
        <v>79</v>
      </c>
      <c r="E18" t="s">
        <v>68</v>
      </c>
      <c r="F18" s="435" t="s">
        <v>274</v>
      </c>
      <c r="G18" s="435" t="s">
        <v>12</v>
      </c>
      <c r="H18" t="s">
        <v>77</v>
      </c>
      <c r="I18" t="s">
        <v>1</v>
      </c>
      <c r="J18" t="s">
        <v>121</v>
      </c>
      <c r="K18" t="s">
        <v>127</v>
      </c>
      <c r="O18" t="s">
        <v>77</v>
      </c>
      <c r="AC18" t="s">
        <v>2</v>
      </c>
      <c r="AD18" s="80"/>
      <c r="AE18" s="93">
        <f>SUMIFS('5.9 Bus_Sup_Alloc'!AE$11:AE$64,'5.9 Bus_Sup_Alloc'!$D$11:$D$64,$D18,'5.9 Bus_Sup_Alloc'!$K$11:$K$64,$K18)</f>
        <v>0</v>
      </c>
      <c r="AF18" s="93">
        <f>SUMIFS('5.9 Bus_Sup_Alloc'!AF$11:AF$64,'5.9 Bus_Sup_Alloc'!$D$11:$D$64,$D18,'5.9 Bus_Sup_Alloc'!$K$11:$K$64,$K18)</f>
        <v>0</v>
      </c>
      <c r="AG18" s="93">
        <f>SUMIFS('5.9 Bus_Sup_Alloc'!AG$11:AG$64,'5.9 Bus_Sup_Alloc'!$D$11:$D$64,$D18,'5.9 Bus_Sup_Alloc'!$K$11:$K$64,$K18)</f>
        <v>0</v>
      </c>
      <c r="AH18" s="93">
        <f>SUMIFS('5.9 Bus_Sup_Alloc'!AH$11:AH$64,'5.9 Bus_Sup_Alloc'!$D$11:$D$64,$D18,'5.9 Bus_Sup_Alloc'!$K$11:$K$64,$K18)</f>
        <v>0</v>
      </c>
      <c r="AI18" s="93">
        <f>SUMIFS('5.9 Bus_Sup_Alloc'!AI$11:AI$64,'5.9 Bus_Sup_Alloc'!$D$11:$D$64,$D18,'5.9 Bus_Sup_Alloc'!$K$11:$K$64,$K18)</f>
        <v>0</v>
      </c>
    </row>
    <row r="19" spans="1:35">
      <c r="D19" t="s">
        <v>79</v>
      </c>
      <c r="E19" t="s">
        <v>68</v>
      </c>
      <c r="F19" s="435" t="s">
        <v>274</v>
      </c>
      <c r="G19" s="435" t="s">
        <v>12</v>
      </c>
      <c r="H19" t="s">
        <v>77</v>
      </c>
      <c r="I19" t="s">
        <v>1</v>
      </c>
      <c r="J19" t="s">
        <v>121</v>
      </c>
      <c r="K19" t="s">
        <v>128</v>
      </c>
      <c r="O19" t="s">
        <v>77</v>
      </c>
      <c r="AC19" t="s">
        <v>2</v>
      </c>
      <c r="AD19" s="80"/>
      <c r="AE19" s="93">
        <f>SUMIFS('5.9 Bus_Sup_Alloc'!AE$11:AE$64,'5.9 Bus_Sup_Alloc'!$D$11:$D$64,$D19,'5.9 Bus_Sup_Alloc'!$K$11:$K$64,$K19)</f>
        <v>0</v>
      </c>
      <c r="AF19" s="93">
        <f>SUMIFS('5.9 Bus_Sup_Alloc'!AF$11:AF$64,'5.9 Bus_Sup_Alloc'!$D$11:$D$64,$D19,'5.9 Bus_Sup_Alloc'!$K$11:$K$64,$K19)</f>
        <v>0</v>
      </c>
      <c r="AG19" s="93">
        <f>SUMIFS('5.9 Bus_Sup_Alloc'!AG$11:AG$64,'5.9 Bus_Sup_Alloc'!$D$11:$D$64,$D19,'5.9 Bus_Sup_Alloc'!$K$11:$K$64,$K19)</f>
        <v>0</v>
      </c>
      <c r="AH19" s="93">
        <f>SUMIFS('5.9 Bus_Sup_Alloc'!AH$11:AH$64,'5.9 Bus_Sup_Alloc'!$D$11:$D$64,$D19,'5.9 Bus_Sup_Alloc'!$K$11:$K$64,$K19)</f>
        <v>0</v>
      </c>
      <c r="AI19" s="93">
        <f>SUMIFS('5.9 Bus_Sup_Alloc'!AI$11:AI$64,'5.9 Bus_Sup_Alloc'!$D$11:$D$64,$D19,'5.9 Bus_Sup_Alloc'!$K$11:$K$64,$K19)</f>
        <v>0</v>
      </c>
    </row>
    <row r="20" spans="1:35">
      <c r="D20" t="s">
        <v>79</v>
      </c>
      <c r="E20" t="s">
        <v>68</v>
      </c>
      <c r="F20" s="435" t="s">
        <v>274</v>
      </c>
      <c r="G20" s="435" t="s">
        <v>12</v>
      </c>
      <c r="H20" t="s">
        <v>77</v>
      </c>
      <c r="I20" t="s">
        <v>1</v>
      </c>
      <c r="J20" t="s">
        <v>121</v>
      </c>
      <c r="O20" t="s">
        <v>77</v>
      </c>
      <c r="AC20" t="s">
        <v>2</v>
      </c>
      <c r="AD20" s="80"/>
      <c r="AE20" s="79"/>
      <c r="AF20" s="79"/>
      <c r="AG20" s="79"/>
      <c r="AH20" s="79"/>
      <c r="AI20" s="79"/>
    </row>
    <row r="21" spans="1:35">
      <c r="D21" t="s">
        <v>79</v>
      </c>
      <c r="E21" t="s">
        <v>68</v>
      </c>
      <c r="F21" s="435" t="s">
        <v>274</v>
      </c>
      <c r="G21" s="435" t="s">
        <v>12</v>
      </c>
      <c r="H21" t="s">
        <v>77</v>
      </c>
      <c r="I21" t="s">
        <v>1</v>
      </c>
      <c r="J21" t="s">
        <v>121</v>
      </c>
      <c r="O21" t="s">
        <v>77</v>
      </c>
      <c r="AC21" t="s">
        <v>2</v>
      </c>
      <c r="AD21" s="80"/>
      <c r="AE21" s="79"/>
      <c r="AF21" s="79"/>
      <c r="AG21" s="79"/>
      <c r="AH21" s="79"/>
      <c r="AI21" s="79"/>
    </row>
    <row r="23" spans="1:35" s="1" customFormat="1" ht="13.9">
      <c r="A23" s="66"/>
      <c r="B23" s="78" t="s">
        <v>2698</v>
      </c>
    </row>
    <row r="25" spans="1:35">
      <c r="D25" t="s">
        <v>79</v>
      </c>
      <c r="E25" t="s">
        <v>68</v>
      </c>
      <c r="F25" s="435" t="s">
        <v>274</v>
      </c>
      <c r="G25" s="435" t="s">
        <v>12</v>
      </c>
      <c r="H25" t="s">
        <v>77</v>
      </c>
      <c r="I25" t="s">
        <v>1</v>
      </c>
      <c r="J25" t="s">
        <v>129</v>
      </c>
      <c r="K25" t="s">
        <v>130</v>
      </c>
      <c r="L25" t="s">
        <v>131</v>
      </c>
      <c r="O25" t="s">
        <v>77</v>
      </c>
      <c r="AC25" t="s">
        <v>2</v>
      </c>
      <c r="AD25" s="80"/>
      <c r="AE25" s="81"/>
      <c r="AF25" s="81"/>
      <c r="AG25" s="81"/>
      <c r="AH25" s="81"/>
      <c r="AI25" s="81"/>
    </row>
    <row r="26" spans="1:35">
      <c r="D26" t="s">
        <v>79</v>
      </c>
      <c r="E26" t="s">
        <v>68</v>
      </c>
      <c r="F26" s="435" t="s">
        <v>274</v>
      </c>
      <c r="G26" s="435" t="s">
        <v>12</v>
      </c>
      <c r="H26" t="s">
        <v>77</v>
      </c>
      <c r="I26" t="s">
        <v>1</v>
      </c>
      <c r="J26" t="s">
        <v>129</v>
      </c>
      <c r="K26" t="s">
        <v>130</v>
      </c>
      <c r="L26" t="s">
        <v>132</v>
      </c>
      <c r="O26" t="s">
        <v>77</v>
      </c>
      <c r="AC26" t="s">
        <v>2</v>
      </c>
      <c r="AD26" s="80"/>
      <c r="AE26" s="81"/>
      <c r="AF26" s="81"/>
      <c r="AG26" s="81"/>
      <c r="AH26" s="81"/>
      <c r="AI26" s="81"/>
    </row>
    <row r="27" spans="1:35">
      <c r="D27" t="s">
        <v>79</v>
      </c>
      <c r="E27" t="s">
        <v>68</v>
      </c>
      <c r="F27" s="435" t="s">
        <v>274</v>
      </c>
      <c r="G27" s="435" t="s">
        <v>12</v>
      </c>
      <c r="H27" t="s">
        <v>77</v>
      </c>
      <c r="I27" t="s">
        <v>1</v>
      </c>
      <c r="J27" t="s">
        <v>129</v>
      </c>
      <c r="K27" t="s">
        <v>130</v>
      </c>
      <c r="L27" t="s">
        <v>133</v>
      </c>
      <c r="O27" t="s">
        <v>77</v>
      </c>
      <c r="AC27" t="s">
        <v>2</v>
      </c>
      <c r="AD27" s="80"/>
      <c r="AE27" s="81"/>
      <c r="AF27" s="81"/>
      <c r="AG27" s="81"/>
      <c r="AH27" s="81"/>
      <c r="AI27" s="81"/>
    </row>
    <row r="28" spans="1:35">
      <c r="D28" t="s">
        <v>79</v>
      </c>
      <c r="E28" t="s">
        <v>68</v>
      </c>
      <c r="F28" s="435" t="s">
        <v>274</v>
      </c>
      <c r="G28" s="435" t="s">
        <v>12</v>
      </c>
      <c r="H28" t="s">
        <v>77</v>
      </c>
      <c r="I28" t="s">
        <v>1</v>
      </c>
      <c r="J28" t="s">
        <v>129</v>
      </c>
      <c r="K28" t="s">
        <v>134</v>
      </c>
      <c r="L28" t="s">
        <v>135</v>
      </c>
      <c r="O28" t="s">
        <v>77</v>
      </c>
      <c r="AC28" t="s">
        <v>2</v>
      </c>
      <c r="AD28" s="80"/>
      <c r="AE28" s="81"/>
      <c r="AF28" s="81"/>
      <c r="AG28" s="81"/>
      <c r="AH28" s="81"/>
      <c r="AI28" s="81"/>
    </row>
    <row r="29" spans="1:35">
      <c r="D29" t="s">
        <v>79</v>
      </c>
      <c r="E29" t="s">
        <v>68</v>
      </c>
      <c r="F29" s="435" t="s">
        <v>274</v>
      </c>
      <c r="G29" s="435" t="s">
        <v>12</v>
      </c>
      <c r="H29" t="s">
        <v>77</v>
      </c>
      <c r="I29" t="s">
        <v>1</v>
      </c>
      <c r="J29" t="s">
        <v>129</v>
      </c>
      <c r="K29" t="s">
        <v>134</v>
      </c>
      <c r="L29" t="s">
        <v>136</v>
      </c>
      <c r="O29" t="s">
        <v>77</v>
      </c>
      <c r="AC29" t="s">
        <v>2</v>
      </c>
      <c r="AD29" s="80"/>
      <c r="AE29" s="81"/>
      <c r="AF29" s="81"/>
      <c r="AG29" s="81"/>
      <c r="AH29" s="81"/>
      <c r="AI29" s="81"/>
    </row>
    <row r="30" spans="1:35">
      <c r="D30" t="s">
        <v>79</v>
      </c>
      <c r="E30" t="s">
        <v>68</v>
      </c>
      <c r="F30" s="435" t="s">
        <v>274</v>
      </c>
      <c r="G30" s="435" t="s">
        <v>12</v>
      </c>
      <c r="H30" t="s">
        <v>77</v>
      </c>
      <c r="I30" t="s">
        <v>1</v>
      </c>
      <c r="J30" t="s">
        <v>129</v>
      </c>
      <c r="K30" t="s">
        <v>134</v>
      </c>
      <c r="L30" t="s">
        <v>137</v>
      </c>
      <c r="O30" t="s">
        <v>77</v>
      </c>
      <c r="AC30" t="s">
        <v>2</v>
      </c>
      <c r="AD30" s="80"/>
      <c r="AE30" s="81"/>
      <c r="AF30" s="81"/>
      <c r="AG30" s="81"/>
      <c r="AH30" s="81"/>
      <c r="AI30" s="81"/>
    </row>
    <row r="31" spans="1:35">
      <c r="D31" t="s">
        <v>79</v>
      </c>
      <c r="E31" t="s">
        <v>68</v>
      </c>
      <c r="F31" s="435" t="s">
        <v>274</v>
      </c>
      <c r="G31" s="435" t="s">
        <v>12</v>
      </c>
      <c r="H31" t="s">
        <v>77</v>
      </c>
      <c r="I31" t="s">
        <v>1</v>
      </c>
      <c r="J31" t="s">
        <v>129</v>
      </c>
      <c r="K31" t="s">
        <v>134</v>
      </c>
      <c r="L31" t="s">
        <v>138</v>
      </c>
      <c r="O31" t="s">
        <v>77</v>
      </c>
      <c r="AC31" t="s">
        <v>2</v>
      </c>
      <c r="AD31" s="80"/>
      <c r="AE31" s="81"/>
      <c r="AF31" s="81"/>
      <c r="AG31" s="81"/>
      <c r="AH31" s="81"/>
      <c r="AI31" s="81"/>
    </row>
    <row r="32" spans="1:35">
      <c r="D32" t="s">
        <v>79</v>
      </c>
      <c r="E32" t="s">
        <v>68</v>
      </c>
      <c r="F32" s="435" t="s">
        <v>274</v>
      </c>
      <c r="G32" s="435" t="s">
        <v>12</v>
      </c>
      <c r="H32" t="s">
        <v>77</v>
      </c>
      <c r="I32" t="s">
        <v>1</v>
      </c>
      <c r="J32" t="s">
        <v>129</v>
      </c>
      <c r="K32" t="s">
        <v>134</v>
      </c>
      <c r="L32" t="s">
        <v>139</v>
      </c>
      <c r="O32" t="s">
        <v>77</v>
      </c>
      <c r="AC32" t="s">
        <v>2</v>
      </c>
      <c r="AD32" s="80"/>
      <c r="AE32" s="81"/>
      <c r="AF32" s="81"/>
      <c r="AG32" s="81"/>
      <c r="AH32" s="81"/>
      <c r="AI32" s="81"/>
    </row>
    <row r="33" spans="1:35">
      <c r="D33" t="s">
        <v>79</v>
      </c>
      <c r="E33" t="s">
        <v>68</v>
      </c>
      <c r="F33" s="435" t="s">
        <v>274</v>
      </c>
      <c r="G33" s="435" t="s">
        <v>12</v>
      </c>
      <c r="H33" t="s">
        <v>77</v>
      </c>
      <c r="I33" t="s">
        <v>1</v>
      </c>
      <c r="J33" t="s">
        <v>129</v>
      </c>
      <c r="K33" t="s">
        <v>134</v>
      </c>
      <c r="L33" t="s">
        <v>140</v>
      </c>
      <c r="O33" t="s">
        <v>77</v>
      </c>
      <c r="AC33" t="s">
        <v>2</v>
      </c>
      <c r="AD33" s="80"/>
      <c r="AE33" s="81"/>
      <c r="AF33" s="81"/>
      <c r="AG33" s="81"/>
      <c r="AH33" s="81"/>
      <c r="AI33" s="81"/>
    </row>
    <row r="34" spans="1:35">
      <c r="D34" t="s">
        <v>79</v>
      </c>
      <c r="E34" t="s">
        <v>68</v>
      </c>
      <c r="F34" s="435" t="s">
        <v>274</v>
      </c>
      <c r="G34" s="435" t="s">
        <v>12</v>
      </c>
      <c r="H34" t="s">
        <v>77</v>
      </c>
      <c r="I34" t="s">
        <v>1</v>
      </c>
      <c r="J34" t="s">
        <v>129</v>
      </c>
      <c r="K34" t="s">
        <v>134</v>
      </c>
      <c r="L34" t="s">
        <v>141</v>
      </c>
      <c r="O34" t="s">
        <v>77</v>
      </c>
      <c r="AC34" t="s">
        <v>2</v>
      </c>
      <c r="AD34" s="80"/>
      <c r="AE34" s="81"/>
      <c r="AF34" s="81"/>
      <c r="AG34" s="81"/>
      <c r="AH34" s="81"/>
      <c r="AI34" s="81"/>
    </row>
    <row r="35" spans="1:35">
      <c r="D35" t="s">
        <v>79</v>
      </c>
      <c r="E35" t="s">
        <v>68</v>
      </c>
      <c r="F35" s="435" t="s">
        <v>274</v>
      </c>
      <c r="G35" s="435" t="s">
        <v>12</v>
      </c>
      <c r="H35" t="s">
        <v>77</v>
      </c>
      <c r="I35" t="s">
        <v>1</v>
      </c>
      <c r="J35" t="s">
        <v>129</v>
      </c>
      <c r="K35" t="s">
        <v>134</v>
      </c>
      <c r="L35" t="s">
        <v>142</v>
      </c>
      <c r="O35" t="s">
        <v>77</v>
      </c>
      <c r="AC35" t="s">
        <v>2</v>
      </c>
      <c r="AD35" s="80"/>
      <c r="AE35" s="81"/>
      <c r="AF35" s="81"/>
      <c r="AG35" s="81"/>
      <c r="AH35" s="81"/>
      <c r="AI35" s="81"/>
    </row>
    <row r="36" spans="1:35">
      <c r="D36" t="s">
        <v>79</v>
      </c>
      <c r="E36" t="s">
        <v>68</v>
      </c>
      <c r="F36" s="435" t="s">
        <v>274</v>
      </c>
      <c r="G36" s="435" t="s">
        <v>12</v>
      </c>
      <c r="H36" t="s">
        <v>77</v>
      </c>
      <c r="I36" t="s">
        <v>1</v>
      </c>
      <c r="J36" t="s">
        <v>129</v>
      </c>
      <c r="K36" t="s">
        <v>134</v>
      </c>
      <c r="L36" t="s">
        <v>143</v>
      </c>
      <c r="O36" t="s">
        <v>77</v>
      </c>
      <c r="AC36" t="s">
        <v>2</v>
      </c>
      <c r="AD36" s="80"/>
      <c r="AE36" s="81"/>
      <c r="AF36" s="81"/>
      <c r="AG36" s="81"/>
      <c r="AH36" s="81"/>
      <c r="AI36" s="81"/>
    </row>
    <row r="37" spans="1:35">
      <c r="D37" t="s">
        <v>79</v>
      </c>
      <c r="E37" t="s">
        <v>68</v>
      </c>
      <c r="F37" s="435" t="s">
        <v>274</v>
      </c>
      <c r="G37" s="435" t="s">
        <v>12</v>
      </c>
      <c r="H37" t="s">
        <v>77</v>
      </c>
      <c r="I37" t="s">
        <v>1</v>
      </c>
      <c r="J37" t="s">
        <v>129</v>
      </c>
      <c r="O37" t="s">
        <v>77</v>
      </c>
      <c r="AC37" t="s">
        <v>2</v>
      </c>
      <c r="AD37" s="80"/>
      <c r="AE37" s="79"/>
      <c r="AF37" s="79"/>
      <c r="AG37" s="79"/>
      <c r="AH37" s="79"/>
      <c r="AI37" s="79"/>
    </row>
    <row r="38" spans="1:35">
      <c r="D38" t="s">
        <v>79</v>
      </c>
      <c r="E38" t="s">
        <v>68</v>
      </c>
      <c r="F38" s="435" t="s">
        <v>274</v>
      </c>
      <c r="G38" s="435" t="s">
        <v>12</v>
      </c>
      <c r="H38" t="s">
        <v>77</v>
      </c>
      <c r="I38" t="s">
        <v>1</v>
      </c>
      <c r="J38" t="s">
        <v>129</v>
      </c>
      <c r="O38" t="s">
        <v>77</v>
      </c>
      <c r="AC38" t="s">
        <v>2</v>
      </c>
      <c r="AD38" s="80"/>
      <c r="AE38" s="79"/>
      <c r="AF38" s="79"/>
      <c r="AG38" s="79"/>
      <c r="AH38" s="79"/>
      <c r="AI38" s="79"/>
    </row>
    <row r="39" spans="1:35">
      <c r="D39" t="s">
        <v>79</v>
      </c>
      <c r="E39" t="s">
        <v>68</v>
      </c>
      <c r="F39" s="435" t="s">
        <v>274</v>
      </c>
      <c r="G39" s="435" t="s">
        <v>12</v>
      </c>
      <c r="H39" t="s">
        <v>77</v>
      </c>
      <c r="I39" t="s">
        <v>1</v>
      </c>
      <c r="J39" t="s">
        <v>129</v>
      </c>
      <c r="O39" t="s">
        <v>77</v>
      </c>
      <c r="AC39" t="s">
        <v>2</v>
      </c>
      <c r="AD39" s="80"/>
      <c r="AE39" s="79"/>
      <c r="AF39" s="79"/>
      <c r="AG39" s="79"/>
      <c r="AH39" s="79"/>
      <c r="AI39" s="79"/>
    </row>
    <row r="41" spans="1:35">
      <c r="AE41" s="76"/>
      <c r="AF41" s="76"/>
      <c r="AG41" s="76"/>
      <c r="AH41" s="76"/>
      <c r="AI41" s="76"/>
    </row>
    <row r="42" spans="1:35" s="1" customFormat="1" ht="13.9">
      <c r="A42" s="66"/>
      <c r="B42" s="78" t="s">
        <v>146</v>
      </c>
    </row>
    <row r="44" spans="1:35">
      <c r="D44" t="s">
        <v>79</v>
      </c>
      <c r="E44" t="s">
        <v>68</v>
      </c>
      <c r="F44" s="435" t="s">
        <v>274</v>
      </c>
      <c r="G44" s="435" t="s">
        <v>12</v>
      </c>
      <c r="H44" t="s">
        <v>77</v>
      </c>
      <c r="I44" t="s">
        <v>1</v>
      </c>
      <c r="J44" t="s">
        <v>147</v>
      </c>
      <c r="K44" t="s">
        <v>178</v>
      </c>
      <c r="O44" t="s">
        <v>77</v>
      </c>
      <c r="AC44" t="s">
        <v>2</v>
      </c>
      <c r="AD44" s="80"/>
      <c r="AE44" s="81"/>
      <c r="AF44" s="81"/>
      <c r="AG44" s="81"/>
      <c r="AH44" s="81"/>
      <c r="AI44" s="81"/>
    </row>
    <row r="45" spans="1:35">
      <c r="D45" t="s">
        <v>79</v>
      </c>
      <c r="E45" t="s">
        <v>68</v>
      </c>
      <c r="F45" s="435" t="s">
        <v>274</v>
      </c>
      <c r="G45" s="435" t="s">
        <v>12</v>
      </c>
      <c r="H45" t="s">
        <v>77</v>
      </c>
      <c r="I45" t="s">
        <v>1</v>
      </c>
      <c r="O45" t="s">
        <v>77</v>
      </c>
      <c r="AC45" t="s">
        <v>2</v>
      </c>
      <c r="AD45" s="80"/>
      <c r="AE45" s="79"/>
      <c r="AF45" s="79"/>
      <c r="AG45" s="79"/>
      <c r="AH45" s="79"/>
      <c r="AI45" s="79"/>
    </row>
    <row r="46" spans="1:35">
      <c r="AE46" s="76"/>
      <c r="AF46" s="76"/>
      <c r="AG46" s="76"/>
      <c r="AH46" s="76"/>
      <c r="AI46" s="76"/>
    </row>
    <row r="47" spans="1:35" s="1" customFormat="1" ht="13.9">
      <c r="A47" s="66"/>
      <c r="B47" s="78" t="s">
        <v>154</v>
      </c>
    </row>
    <row r="49" spans="1:37">
      <c r="D49" t="s">
        <v>185</v>
      </c>
      <c r="E49" t="s">
        <v>68</v>
      </c>
      <c r="F49" s="435" t="s">
        <v>274</v>
      </c>
      <c r="G49" s="435" t="s">
        <v>12</v>
      </c>
      <c r="H49" t="s">
        <v>77</v>
      </c>
      <c r="I49" t="s">
        <v>1</v>
      </c>
      <c r="J49" t="s">
        <v>188</v>
      </c>
      <c r="K49" t="s">
        <v>154</v>
      </c>
      <c r="O49" t="s">
        <v>77</v>
      </c>
      <c r="AC49" t="s">
        <v>2</v>
      </c>
      <c r="AD49" s="80"/>
      <c r="AE49" s="81"/>
      <c r="AF49" s="81"/>
      <c r="AG49" s="81"/>
      <c r="AH49" s="81"/>
      <c r="AI49" s="81"/>
      <c r="AJ49" s="436" t="s">
        <v>2738</v>
      </c>
    </row>
    <row r="50" spans="1:37">
      <c r="AD50" s="80"/>
      <c r="AE50" s="95"/>
      <c r="AF50" s="95"/>
      <c r="AG50" s="95"/>
      <c r="AH50" s="95"/>
      <c r="AI50" s="95"/>
    </row>
    <row r="51" spans="1:37" s="1" customFormat="1" ht="13.9">
      <c r="A51" s="66"/>
      <c r="B51" s="78" t="s">
        <v>148</v>
      </c>
    </row>
    <row r="52" spans="1:37" s="435" customFormat="1"/>
    <row r="53" spans="1:37" s="435" customFormat="1">
      <c r="D53" s="435" t="s">
        <v>79</v>
      </c>
      <c r="E53" s="435" t="s">
        <v>149</v>
      </c>
      <c r="F53" s="435" t="s">
        <v>274</v>
      </c>
      <c r="G53" s="435" t="s">
        <v>12</v>
      </c>
      <c r="H53" s="435" t="s">
        <v>150</v>
      </c>
      <c r="I53" s="435" t="s">
        <v>1</v>
      </c>
      <c r="J53" s="435" t="s">
        <v>151</v>
      </c>
      <c r="AC53" s="435" t="s">
        <v>2</v>
      </c>
      <c r="AD53" s="80"/>
      <c r="AE53" s="688"/>
      <c r="AF53" s="688"/>
      <c r="AG53" s="688"/>
      <c r="AH53" s="688"/>
      <c r="AI53" s="688"/>
      <c r="AK53" s="99"/>
    </row>
    <row r="54" spans="1:37" s="435" customFormat="1">
      <c r="D54" s="435" t="s">
        <v>79</v>
      </c>
      <c r="E54" s="435" t="s">
        <v>149</v>
      </c>
      <c r="F54" s="435" t="s">
        <v>274</v>
      </c>
      <c r="G54" s="435" t="s">
        <v>12</v>
      </c>
      <c r="H54" s="435" t="s">
        <v>150</v>
      </c>
      <c r="I54" s="435" t="s">
        <v>1</v>
      </c>
      <c r="J54" s="435" t="s">
        <v>152</v>
      </c>
      <c r="AC54" s="435" t="s">
        <v>2</v>
      </c>
      <c r="AD54" s="80"/>
      <c r="AE54" s="688"/>
      <c r="AF54" s="688"/>
      <c r="AG54" s="688"/>
      <c r="AH54" s="688"/>
      <c r="AI54" s="688"/>
      <c r="AK54" s="99"/>
    </row>
    <row r="55" spans="1:37" s="435" customFormat="1">
      <c r="D55" s="435" t="s">
        <v>79</v>
      </c>
      <c r="E55" s="435" t="s">
        <v>149</v>
      </c>
      <c r="F55" s="435" t="s">
        <v>274</v>
      </c>
      <c r="G55" s="435" t="s">
        <v>12</v>
      </c>
      <c r="H55" s="435" t="s">
        <v>150</v>
      </c>
      <c r="I55" s="435" t="s">
        <v>1</v>
      </c>
      <c r="J55" s="435" t="s">
        <v>953</v>
      </c>
      <c r="AC55" s="435" t="s">
        <v>2</v>
      </c>
      <c r="AD55" s="80"/>
      <c r="AE55" s="688"/>
      <c r="AF55" s="688"/>
      <c r="AG55" s="688"/>
      <c r="AH55" s="688"/>
      <c r="AI55" s="688"/>
      <c r="AK55" s="99"/>
    </row>
    <row r="56" spans="1:37" s="435" customFormat="1">
      <c r="D56" s="435" t="s">
        <v>79</v>
      </c>
      <c r="E56" s="435" t="s">
        <v>149</v>
      </c>
      <c r="F56" s="435" t="s">
        <v>274</v>
      </c>
      <c r="G56" s="435" t="s">
        <v>12</v>
      </c>
      <c r="H56" s="435" t="s">
        <v>150</v>
      </c>
      <c r="I56" s="435" t="s">
        <v>1</v>
      </c>
      <c r="J56" s="435" t="s">
        <v>954</v>
      </c>
      <c r="AC56" s="435" t="s">
        <v>2</v>
      </c>
      <c r="AD56" s="80"/>
      <c r="AE56" s="688"/>
      <c r="AF56" s="688"/>
      <c r="AG56" s="688"/>
      <c r="AH56" s="688"/>
      <c r="AI56" s="688"/>
      <c r="AK56" s="99"/>
    </row>
    <row r="57" spans="1:37" s="435" customFormat="1">
      <c r="D57" s="435" t="s">
        <v>79</v>
      </c>
      <c r="E57" s="435" t="s">
        <v>149</v>
      </c>
      <c r="F57" s="435" t="s">
        <v>274</v>
      </c>
      <c r="G57" s="435" t="s">
        <v>12</v>
      </c>
      <c r="H57" s="435" t="s">
        <v>150</v>
      </c>
      <c r="I57" s="435" t="s">
        <v>1</v>
      </c>
      <c r="J57" s="435" t="s">
        <v>179</v>
      </c>
      <c r="O57" s="435" t="s">
        <v>2933</v>
      </c>
      <c r="AC57" s="435" t="s">
        <v>2</v>
      </c>
      <c r="AD57" s="80"/>
      <c r="AE57" s="687"/>
      <c r="AF57" s="687"/>
      <c r="AG57" s="687"/>
      <c r="AH57" s="687"/>
      <c r="AI57" s="687"/>
      <c r="AK57" s="99"/>
    </row>
    <row r="58" spans="1:37" s="435" customFormat="1">
      <c r="D58" s="435" t="s">
        <v>79</v>
      </c>
      <c r="E58" s="435" t="s">
        <v>149</v>
      </c>
      <c r="F58" s="435" t="s">
        <v>274</v>
      </c>
      <c r="G58" s="435" t="s">
        <v>12</v>
      </c>
      <c r="H58" s="435" t="s">
        <v>150</v>
      </c>
      <c r="I58" s="435" t="s">
        <v>1</v>
      </c>
      <c r="J58" s="435" t="s">
        <v>153</v>
      </c>
      <c r="AC58" s="435" t="s">
        <v>2</v>
      </c>
      <c r="AD58" s="80"/>
      <c r="AE58" s="688"/>
      <c r="AF58" s="688"/>
      <c r="AG58" s="688"/>
      <c r="AH58" s="688"/>
      <c r="AI58" s="688"/>
      <c r="AK58" s="99"/>
    </row>
    <row r="59" spans="1:37" s="435" customFormat="1">
      <c r="D59" s="435" t="s">
        <v>79</v>
      </c>
      <c r="E59" s="435" t="s">
        <v>149</v>
      </c>
      <c r="F59" s="435" t="s">
        <v>274</v>
      </c>
      <c r="G59" s="435" t="s">
        <v>12</v>
      </c>
      <c r="H59" s="435" t="s">
        <v>150</v>
      </c>
      <c r="I59" s="435" t="s">
        <v>1</v>
      </c>
      <c r="J59" s="435" t="s">
        <v>154</v>
      </c>
      <c r="AC59" s="435" t="s">
        <v>2</v>
      </c>
      <c r="AD59" s="80"/>
      <c r="AE59" s="688"/>
      <c r="AF59" s="688"/>
      <c r="AG59" s="688"/>
      <c r="AH59" s="688"/>
      <c r="AI59" s="688"/>
      <c r="AK59" s="99"/>
    </row>
    <row r="60" spans="1:37" s="435" customFormat="1">
      <c r="D60" s="435" t="s">
        <v>79</v>
      </c>
      <c r="E60" s="435" t="s">
        <v>149</v>
      </c>
      <c r="F60" s="435" t="s">
        <v>274</v>
      </c>
      <c r="G60" s="435" t="s">
        <v>12</v>
      </c>
      <c r="H60" s="435" t="s">
        <v>150</v>
      </c>
      <c r="I60" s="435" t="s">
        <v>1</v>
      </c>
      <c r="J60" s="435" t="s">
        <v>155</v>
      </c>
      <c r="AC60" s="435" t="s">
        <v>2</v>
      </c>
      <c r="AD60" s="80"/>
      <c r="AE60" s="688"/>
      <c r="AF60" s="688"/>
      <c r="AG60" s="688"/>
      <c r="AH60" s="688"/>
      <c r="AI60" s="688"/>
      <c r="AK60" s="99"/>
    </row>
    <row r="61" spans="1:37" s="435" customFormat="1">
      <c r="D61" s="435" t="s">
        <v>79</v>
      </c>
      <c r="E61" s="435" t="s">
        <v>149</v>
      </c>
      <c r="F61" s="435" t="s">
        <v>274</v>
      </c>
      <c r="G61" s="435" t="s">
        <v>12</v>
      </c>
      <c r="H61" s="435" t="s">
        <v>150</v>
      </c>
      <c r="I61" s="435" t="s">
        <v>1</v>
      </c>
      <c r="J61" s="435" t="s">
        <v>156</v>
      </c>
      <c r="O61" s="435" t="s">
        <v>3069</v>
      </c>
      <c r="AC61" s="435" t="s">
        <v>2</v>
      </c>
      <c r="AD61" s="80"/>
      <c r="AE61" s="687"/>
      <c r="AF61" s="687"/>
      <c r="AG61" s="687"/>
      <c r="AH61" s="687"/>
      <c r="AI61" s="687"/>
      <c r="AK61" s="99"/>
    </row>
    <row r="62" spans="1:37" s="435" customFormat="1">
      <c r="D62" s="435" t="s">
        <v>79</v>
      </c>
      <c r="E62" s="435" t="s">
        <v>149</v>
      </c>
      <c r="F62" s="435" t="s">
        <v>274</v>
      </c>
      <c r="G62" s="435" t="s">
        <v>12</v>
      </c>
      <c r="H62" s="435" t="s">
        <v>150</v>
      </c>
      <c r="I62" s="435" t="s">
        <v>1</v>
      </c>
      <c r="J62" s="435" t="s">
        <v>157</v>
      </c>
      <c r="AC62" s="435" t="s">
        <v>2</v>
      </c>
      <c r="AD62" s="80"/>
      <c r="AE62" s="688"/>
      <c r="AF62" s="688"/>
      <c r="AG62" s="688"/>
      <c r="AH62" s="688"/>
      <c r="AI62" s="688"/>
      <c r="AK62" s="99"/>
    </row>
    <row r="63" spans="1:37" s="435" customFormat="1">
      <c r="D63" s="435" t="s">
        <v>79</v>
      </c>
      <c r="E63" s="435" t="s">
        <v>149</v>
      </c>
      <c r="F63" s="435" t="s">
        <v>274</v>
      </c>
      <c r="G63" s="435" t="s">
        <v>12</v>
      </c>
      <c r="H63" s="435" t="s">
        <v>150</v>
      </c>
      <c r="I63" s="435" t="s">
        <v>1</v>
      </c>
      <c r="J63" s="435" t="s">
        <v>158</v>
      </c>
      <c r="AC63" s="435" t="s">
        <v>2</v>
      </c>
      <c r="AD63" s="80"/>
      <c r="AE63" s="687"/>
      <c r="AF63" s="687"/>
      <c r="AG63" s="687"/>
      <c r="AH63" s="687"/>
      <c r="AI63" s="687"/>
      <c r="AK63" s="99"/>
    </row>
    <row r="64" spans="1:37" s="435" customFormat="1">
      <c r="D64" s="435" t="s">
        <v>79</v>
      </c>
      <c r="E64" s="435" t="s">
        <v>149</v>
      </c>
      <c r="F64" s="435" t="s">
        <v>274</v>
      </c>
      <c r="G64" s="435" t="s">
        <v>12</v>
      </c>
      <c r="H64" s="435" t="s">
        <v>150</v>
      </c>
      <c r="I64" s="435" t="s">
        <v>1</v>
      </c>
      <c r="J64" s="435" t="s">
        <v>1494</v>
      </c>
      <c r="O64" s="435" t="s">
        <v>2932</v>
      </c>
      <c r="AC64" s="435" t="s">
        <v>2</v>
      </c>
      <c r="AD64" s="80"/>
      <c r="AE64" s="687"/>
      <c r="AF64" s="687"/>
      <c r="AG64" s="687"/>
      <c r="AH64" s="687"/>
      <c r="AI64" s="687"/>
      <c r="AK64" s="99"/>
    </row>
    <row r="65" spans="1:37" s="435" customFormat="1">
      <c r="D65" s="435" t="s">
        <v>79</v>
      </c>
      <c r="E65" s="435" t="s">
        <v>149</v>
      </c>
      <c r="F65" s="435" t="s">
        <v>274</v>
      </c>
      <c r="G65" s="435" t="s">
        <v>12</v>
      </c>
      <c r="H65" s="435" t="s">
        <v>150</v>
      </c>
      <c r="I65" s="435" t="s">
        <v>1</v>
      </c>
      <c r="J65" s="435" t="s">
        <v>159</v>
      </c>
      <c r="O65" s="435" t="s">
        <v>2931</v>
      </c>
      <c r="AC65" s="435" t="s">
        <v>2</v>
      </c>
      <c r="AD65" s="80"/>
      <c r="AE65" s="687"/>
      <c r="AF65" s="687"/>
      <c r="AG65" s="687"/>
      <c r="AH65" s="687"/>
      <c r="AI65" s="687"/>
      <c r="AK65" s="99"/>
    </row>
    <row r="66" spans="1:37" s="435" customFormat="1">
      <c r="D66" s="435" t="s">
        <v>79</v>
      </c>
      <c r="E66" s="435" t="s">
        <v>149</v>
      </c>
      <c r="F66" s="435" t="s">
        <v>274</v>
      </c>
      <c r="G66" s="435" t="s">
        <v>12</v>
      </c>
      <c r="H66" s="435" t="s">
        <v>150</v>
      </c>
      <c r="I66" s="435" t="s">
        <v>1</v>
      </c>
      <c r="J66" s="435" t="s">
        <v>160</v>
      </c>
      <c r="O66" s="435" t="s">
        <v>3070</v>
      </c>
      <c r="AC66" s="435" t="s">
        <v>2</v>
      </c>
      <c r="AD66" s="80"/>
      <c r="AE66" s="687"/>
      <c r="AF66" s="687"/>
      <c r="AG66" s="687"/>
      <c r="AH66" s="687"/>
      <c r="AI66" s="687"/>
      <c r="AK66" s="99"/>
    </row>
    <row r="67" spans="1:37" s="435" customFormat="1">
      <c r="D67" s="435" t="s">
        <v>79</v>
      </c>
      <c r="E67" s="435" t="s">
        <v>149</v>
      </c>
      <c r="F67" s="435" t="s">
        <v>274</v>
      </c>
      <c r="G67" s="435" t="s">
        <v>12</v>
      </c>
      <c r="H67" s="435" t="s">
        <v>150</v>
      </c>
      <c r="I67" s="435" t="s">
        <v>1</v>
      </c>
      <c r="J67" s="435" t="s">
        <v>161</v>
      </c>
      <c r="O67" s="435" t="s">
        <v>2934</v>
      </c>
      <c r="AC67" s="435" t="s">
        <v>2</v>
      </c>
      <c r="AD67" s="80"/>
      <c r="AE67" s="687"/>
      <c r="AF67" s="687"/>
      <c r="AG67" s="687"/>
      <c r="AH67" s="687"/>
      <c r="AI67" s="687"/>
      <c r="AK67" s="99"/>
    </row>
    <row r="68" spans="1:37" s="435" customFormat="1">
      <c r="D68" s="435" t="s">
        <v>79</v>
      </c>
      <c r="E68" s="435" t="s">
        <v>149</v>
      </c>
      <c r="F68" s="435" t="s">
        <v>274</v>
      </c>
      <c r="G68" s="435" t="s">
        <v>12</v>
      </c>
      <c r="H68" s="435" t="s">
        <v>150</v>
      </c>
      <c r="I68" s="435" t="s">
        <v>1</v>
      </c>
      <c r="J68" s="435" t="s">
        <v>3068</v>
      </c>
      <c r="O68" s="435" t="s">
        <v>2938</v>
      </c>
      <c r="AC68" s="435" t="s">
        <v>2</v>
      </c>
      <c r="AD68" s="80"/>
      <c r="AE68" s="687"/>
      <c r="AF68" s="687"/>
      <c r="AG68" s="687"/>
      <c r="AH68" s="687"/>
      <c r="AI68" s="687"/>
    </row>
    <row r="69" spans="1:37" s="435" customFormat="1">
      <c r="D69" s="435" t="s">
        <v>79</v>
      </c>
      <c r="E69" s="435" t="s">
        <v>149</v>
      </c>
      <c r="F69" s="435" t="s">
        <v>274</v>
      </c>
      <c r="G69" s="435" t="s">
        <v>12</v>
      </c>
      <c r="H69" s="435" t="s">
        <v>150</v>
      </c>
      <c r="I69" s="435" t="s">
        <v>1</v>
      </c>
      <c r="J69" s="1320" t="s">
        <v>1954</v>
      </c>
      <c r="O69" s="435" t="s">
        <v>3071</v>
      </c>
      <c r="AC69" s="435" t="s">
        <v>2</v>
      </c>
      <c r="AD69" s="80"/>
      <c r="AE69" s="687"/>
      <c r="AF69" s="687"/>
      <c r="AG69" s="687"/>
      <c r="AH69" s="687"/>
      <c r="AI69" s="687"/>
    </row>
    <row r="70" spans="1:37" s="435" customFormat="1">
      <c r="D70" s="435" t="s">
        <v>79</v>
      </c>
      <c r="E70" s="435" t="s">
        <v>149</v>
      </c>
      <c r="F70" s="435" t="s">
        <v>274</v>
      </c>
      <c r="G70" s="435" t="s">
        <v>12</v>
      </c>
      <c r="H70" s="435" t="s">
        <v>150</v>
      </c>
      <c r="I70" s="435" t="s">
        <v>1</v>
      </c>
      <c r="J70" s="435" t="s">
        <v>1498</v>
      </c>
      <c r="O70" s="435" t="s">
        <v>2935</v>
      </c>
      <c r="AC70" s="435" t="s">
        <v>2</v>
      </c>
      <c r="AD70" s="80"/>
      <c r="AE70" s="687"/>
      <c r="AF70" s="687"/>
      <c r="AG70" s="687"/>
      <c r="AH70" s="687"/>
      <c r="AI70" s="687"/>
    </row>
    <row r="71" spans="1:37" s="435" customFormat="1">
      <c r="D71" s="435" t="s">
        <v>185</v>
      </c>
      <c r="E71" s="435" t="s">
        <v>149</v>
      </c>
      <c r="F71" s="435" t="s">
        <v>274</v>
      </c>
      <c r="G71" s="435" t="s">
        <v>12</v>
      </c>
      <c r="H71" s="435" t="s">
        <v>150</v>
      </c>
      <c r="I71" s="435" t="s">
        <v>1</v>
      </c>
      <c r="AC71" s="435" t="s">
        <v>2</v>
      </c>
      <c r="AD71" s="80"/>
      <c r="AE71" s="79"/>
      <c r="AF71" s="79"/>
      <c r="AG71" s="79"/>
      <c r="AH71" s="79"/>
      <c r="AI71" s="79"/>
      <c r="AK71" s="99"/>
    </row>
    <row r="72" spans="1:37" s="435" customFormat="1">
      <c r="D72" s="435" t="s">
        <v>185</v>
      </c>
      <c r="E72" s="435" t="s">
        <v>149</v>
      </c>
      <c r="F72" s="435" t="s">
        <v>274</v>
      </c>
      <c r="G72" s="435" t="s">
        <v>12</v>
      </c>
      <c r="H72" s="435" t="s">
        <v>150</v>
      </c>
      <c r="I72" s="435" t="s">
        <v>1</v>
      </c>
      <c r="AC72" s="435" t="s">
        <v>2</v>
      </c>
      <c r="AD72" s="80"/>
      <c r="AE72" s="79"/>
      <c r="AF72" s="79"/>
      <c r="AG72" s="79"/>
      <c r="AH72" s="79"/>
      <c r="AI72" s="79"/>
      <c r="AK72" s="99"/>
    </row>
    <row r="73" spans="1:37" s="435" customFormat="1">
      <c r="D73" s="435" t="s">
        <v>185</v>
      </c>
      <c r="E73" s="435" t="s">
        <v>149</v>
      </c>
      <c r="F73" s="435" t="s">
        <v>274</v>
      </c>
      <c r="G73" s="435" t="s">
        <v>12</v>
      </c>
      <c r="H73" s="435" t="s">
        <v>150</v>
      </c>
      <c r="I73" s="435" t="s">
        <v>1</v>
      </c>
      <c r="AC73" s="435" t="s">
        <v>2</v>
      </c>
      <c r="AD73" s="80"/>
      <c r="AE73" s="79"/>
      <c r="AF73" s="79"/>
      <c r="AG73" s="79"/>
      <c r="AH73" s="79"/>
      <c r="AI73" s="79"/>
      <c r="AK73" s="99"/>
    </row>
    <row r="74" spans="1:37" s="435" customFormat="1"/>
    <row r="75" spans="1:37" s="1" customFormat="1" ht="17.649999999999999">
      <c r="A75" s="2" t="s">
        <v>63</v>
      </c>
      <c r="B75" s="2"/>
    </row>
    <row r="77" spans="1:37" s="1" customFormat="1" ht="13.9">
      <c r="A77" s="66"/>
      <c r="B77" s="78" t="s">
        <v>2697</v>
      </c>
    </row>
    <row r="78" spans="1:37">
      <c r="B78" s="435"/>
    </row>
    <row r="79" spans="1:37">
      <c r="B79" s="435"/>
      <c r="D79" t="s">
        <v>79</v>
      </c>
      <c r="E79" t="s">
        <v>68</v>
      </c>
      <c r="F79" s="435" t="s">
        <v>274</v>
      </c>
      <c r="G79" s="435" t="s">
        <v>12</v>
      </c>
      <c r="H79" t="s">
        <v>77</v>
      </c>
      <c r="I79" t="s">
        <v>1</v>
      </c>
      <c r="J79" t="s">
        <v>121</v>
      </c>
      <c r="K79" t="s">
        <v>122</v>
      </c>
      <c r="O79" t="s">
        <v>77</v>
      </c>
      <c r="AC79" t="s">
        <v>2</v>
      </c>
      <c r="AD79" s="80"/>
      <c r="AE79" s="93">
        <f>SUMIFS('5.9 Bus_Sup_Alloc'!$AE$67:$AE$120,'5.9 Bus_Sup_Alloc'!$D$67:$D$120,$D79,'5.9 Bus_Sup_Alloc'!$K$67:$K$120,$K79)</f>
        <v>0</v>
      </c>
      <c r="AF79" s="93">
        <f>SUMIFS('5.9 Bus_Sup_Alloc'!$AE$67:$AE$120,'5.9 Bus_Sup_Alloc'!$D$67:$D$120,$D79,'5.9 Bus_Sup_Alloc'!$K$67:$K$120,$K79)</f>
        <v>0</v>
      </c>
      <c r="AG79" s="93">
        <f>SUMIFS('5.9 Bus_Sup_Alloc'!$AE$67:$AE$120,'5.9 Bus_Sup_Alloc'!$D$67:$D$120,$D79,'5.9 Bus_Sup_Alloc'!$K$67:$K$120,$K79)</f>
        <v>0</v>
      </c>
      <c r="AH79" s="93">
        <f>SUMIFS('5.9 Bus_Sup_Alloc'!$AE$67:$AE$120,'5.9 Bus_Sup_Alloc'!$D$67:$D$120,$D79,'5.9 Bus_Sup_Alloc'!$K$67:$K$120,$K79)</f>
        <v>0</v>
      </c>
      <c r="AI79" s="93">
        <f>SUMIFS('5.9 Bus_Sup_Alloc'!$AE$67:$AE$120,'5.9 Bus_Sup_Alloc'!$D$67:$D$120,$D79,'5.9 Bus_Sup_Alloc'!$K$67:$K$120,$K79)</f>
        <v>0</v>
      </c>
    </row>
    <row r="80" spans="1:37">
      <c r="B80" s="435"/>
      <c r="D80" t="s">
        <v>79</v>
      </c>
      <c r="E80" t="s">
        <v>68</v>
      </c>
      <c r="F80" s="435" t="s">
        <v>274</v>
      </c>
      <c r="G80" s="435" t="s">
        <v>12</v>
      </c>
      <c r="H80" t="s">
        <v>77</v>
      </c>
      <c r="I80" t="s">
        <v>1</v>
      </c>
      <c r="J80" t="s">
        <v>121</v>
      </c>
      <c r="K80" t="s">
        <v>123</v>
      </c>
      <c r="O80" t="s">
        <v>77</v>
      </c>
      <c r="AC80" t="s">
        <v>2</v>
      </c>
      <c r="AD80" s="80"/>
      <c r="AE80" s="93">
        <f>SUMIFS('5.9 Bus_Sup_Alloc'!$AE$67:$AE$120,'5.9 Bus_Sup_Alloc'!$D$67:$D$120,$D80,'5.9 Bus_Sup_Alloc'!$K$67:$K$120,$K80)</f>
        <v>0</v>
      </c>
      <c r="AF80" s="93">
        <f>SUMIFS('5.9 Bus_Sup_Alloc'!$AE$67:$AE$120,'5.9 Bus_Sup_Alloc'!$D$67:$D$120,$D80,'5.9 Bus_Sup_Alloc'!$K$67:$K$120,$K80)</f>
        <v>0</v>
      </c>
      <c r="AG80" s="93">
        <f>SUMIFS('5.9 Bus_Sup_Alloc'!$AE$67:$AE$120,'5.9 Bus_Sup_Alloc'!$D$67:$D$120,$D80,'5.9 Bus_Sup_Alloc'!$K$67:$K$120,$K80)</f>
        <v>0</v>
      </c>
      <c r="AH80" s="93">
        <f>SUMIFS('5.9 Bus_Sup_Alloc'!$AE$67:$AE$120,'5.9 Bus_Sup_Alloc'!$D$67:$D$120,$D80,'5.9 Bus_Sup_Alloc'!$K$67:$K$120,$K80)</f>
        <v>0</v>
      </c>
      <c r="AI80" s="93">
        <f>SUMIFS('5.9 Bus_Sup_Alloc'!$AE$67:$AE$120,'5.9 Bus_Sup_Alloc'!$D$67:$D$120,$D80,'5.9 Bus_Sup_Alloc'!$K$67:$K$120,$K80)</f>
        <v>0</v>
      </c>
    </row>
    <row r="81" spans="1:35">
      <c r="B81" s="435"/>
      <c r="D81" t="s">
        <v>79</v>
      </c>
      <c r="E81" t="s">
        <v>68</v>
      </c>
      <c r="F81" s="435" t="s">
        <v>274</v>
      </c>
      <c r="G81" s="435" t="s">
        <v>12</v>
      </c>
      <c r="H81" t="s">
        <v>77</v>
      </c>
      <c r="I81" t="s">
        <v>1</v>
      </c>
      <c r="J81" t="s">
        <v>121</v>
      </c>
      <c r="K81" t="s">
        <v>124</v>
      </c>
      <c r="O81" t="s">
        <v>77</v>
      </c>
      <c r="AC81" t="s">
        <v>2</v>
      </c>
      <c r="AD81" s="80"/>
      <c r="AE81" s="93">
        <f>SUMIFS('5.9 Bus_Sup_Alloc'!$AE$67:$AE$120,'5.9 Bus_Sup_Alloc'!$D$67:$D$120,$D81,'5.9 Bus_Sup_Alloc'!$K$67:$K$120,$K81)</f>
        <v>0</v>
      </c>
      <c r="AF81" s="93">
        <f>SUMIFS('5.9 Bus_Sup_Alloc'!$AE$67:$AE$120,'5.9 Bus_Sup_Alloc'!$D$67:$D$120,$D81,'5.9 Bus_Sup_Alloc'!$K$67:$K$120,$K81)</f>
        <v>0</v>
      </c>
      <c r="AG81" s="93">
        <f>SUMIFS('5.9 Bus_Sup_Alloc'!$AE$67:$AE$120,'5.9 Bus_Sup_Alloc'!$D$67:$D$120,$D81,'5.9 Bus_Sup_Alloc'!$K$67:$K$120,$K81)</f>
        <v>0</v>
      </c>
      <c r="AH81" s="93">
        <f>SUMIFS('5.9 Bus_Sup_Alloc'!$AE$67:$AE$120,'5.9 Bus_Sup_Alloc'!$D$67:$D$120,$D81,'5.9 Bus_Sup_Alloc'!$K$67:$K$120,$K81)</f>
        <v>0</v>
      </c>
      <c r="AI81" s="93">
        <f>SUMIFS('5.9 Bus_Sup_Alloc'!$AE$67:$AE$120,'5.9 Bus_Sup_Alloc'!$D$67:$D$120,$D81,'5.9 Bus_Sup_Alloc'!$K$67:$K$120,$K81)</f>
        <v>0</v>
      </c>
    </row>
    <row r="82" spans="1:35">
      <c r="B82" s="435"/>
      <c r="D82" t="s">
        <v>79</v>
      </c>
      <c r="E82" t="s">
        <v>68</v>
      </c>
      <c r="F82" s="435" t="s">
        <v>274</v>
      </c>
      <c r="G82" s="435" t="s">
        <v>12</v>
      </c>
      <c r="H82" t="s">
        <v>77</v>
      </c>
      <c r="I82" t="s">
        <v>1</v>
      </c>
      <c r="J82" t="s">
        <v>121</v>
      </c>
      <c r="K82" t="s">
        <v>125</v>
      </c>
      <c r="O82" t="s">
        <v>77</v>
      </c>
      <c r="AC82" t="s">
        <v>2</v>
      </c>
      <c r="AD82" s="80"/>
      <c r="AE82" s="93">
        <f>SUMIFS('5.9 Bus_Sup_Alloc'!$AE$67:$AE$120,'5.9 Bus_Sup_Alloc'!$D$67:$D$120,$D82,'5.9 Bus_Sup_Alloc'!$K$67:$K$120,$K82)</f>
        <v>0</v>
      </c>
      <c r="AF82" s="93">
        <f>SUMIFS('5.9 Bus_Sup_Alloc'!$AE$67:$AE$120,'5.9 Bus_Sup_Alloc'!$D$67:$D$120,$D82,'5.9 Bus_Sup_Alloc'!$K$67:$K$120,$K82)</f>
        <v>0</v>
      </c>
      <c r="AG82" s="93">
        <f>SUMIFS('5.9 Bus_Sup_Alloc'!$AE$67:$AE$120,'5.9 Bus_Sup_Alloc'!$D$67:$D$120,$D82,'5.9 Bus_Sup_Alloc'!$K$67:$K$120,$K82)</f>
        <v>0</v>
      </c>
      <c r="AH82" s="93">
        <f>SUMIFS('5.9 Bus_Sup_Alloc'!$AE$67:$AE$120,'5.9 Bus_Sup_Alloc'!$D$67:$D$120,$D82,'5.9 Bus_Sup_Alloc'!$K$67:$K$120,$K82)</f>
        <v>0</v>
      </c>
      <c r="AI82" s="93">
        <f>SUMIFS('5.9 Bus_Sup_Alloc'!$AE$67:$AE$120,'5.9 Bus_Sup_Alloc'!$D$67:$D$120,$D82,'5.9 Bus_Sup_Alloc'!$K$67:$K$120,$K82)</f>
        <v>0</v>
      </c>
    </row>
    <row r="83" spans="1:35">
      <c r="B83" s="435"/>
      <c r="D83" t="s">
        <v>79</v>
      </c>
      <c r="E83" t="s">
        <v>68</v>
      </c>
      <c r="F83" s="435" t="s">
        <v>274</v>
      </c>
      <c r="G83" s="435" t="s">
        <v>12</v>
      </c>
      <c r="H83" t="s">
        <v>77</v>
      </c>
      <c r="I83" t="s">
        <v>1</v>
      </c>
      <c r="J83" t="s">
        <v>121</v>
      </c>
      <c r="K83" t="s">
        <v>126</v>
      </c>
      <c r="O83" t="s">
        <v>77</v>
      </c>
      <c r="AC83" t="s">
        <v>2</v>
      </c>
      <c r="AD83" s="80"/>
      <c r="AE83" s="93">
        <f>SUMIFS('5.9 Bus_Sup_Alloc'!$AE$67:$AE$120,'5.9 Bus_Sup_Alloc'!$D$67:$D$120,$D83,'5.9 Bus_Sup_Alloc'!$K$67:$K$120,$K83)</f>
        <v>0</v>
      </c>
      <c r="AF83" s="93">
        <f>SUMIFS('5.9 Bus_Sup_Alloc'!$AE$67:$AE$120,'5.9 Bus_Sup_Alloc'!$D$67:$D$120,$D83,'5.9 Bus_Sup_Alloc'!$K$67:$K$120,$K83)</f>
        <v>0</v>
      </c>
      <c r="AG83" s="93">
        <f>SUMIFS('5.9 Bus_Sup_Alloc'!$AE$67:$AE$120,'5.9 Bus_Sup_Alloc'!$D$67:$D$120,$D83,'5.9 Bus_Sup_Alloc'!$K$67:$K$120,$K83)</f>
        <v>0</v>
      </c>
      <c r="AH83" s="93">
        <f>SUMIFS('5.9 Bus_Sup_Alloc'!$AE$67:$AE$120,'5.9 Bus_Sup_Alloc'!$D$67:$D$120,$D83,'5.9 Bus_Sup_Alloc'!$K$67:$K$120,$K83)</f>
        <v>0</v>
      </c>
      <c r="AI83" s="93">
        <f>SUMIFS('5.9 Bus_Sup_Alloc'!$AE$67:$AE$120,'5.9 Bus_Sup_Alloc'!$D$67:$D$120,$D83,'5.9 Bus_Sup_Alloc'!$K$67:$K$120,$K83)</f>
        <v>0</v>
      </c>
    </row>
    <row r="84" spans="1:35">
      <c r="B84" s="435"/>
      <c r="D84" t="s">
        <v>79</v>
      </c>
      <c r="E84" t="s">
        <v>68</v>
      </c>
      <c r="F84" s="435" t="s">
        <v>274</v>
      </c>
      <c r="G84" s="435" t="s">
        <v>12</v>
      </c>
      <c r="H84" t="s">
        <v>77</v>
      </c>
      <c r="I84" t="s">
        <v>1</v>
      </c>
      <c r="J84" t="s">
        <v>121</v>
      </c>
      <c r="K84" t="s">
        <v>127</v>
      </c>
      <c r="O84" t="s">
        <v>77</v>
      </c>
      <c r="AC84" t="s">
        <v>2</v>
      </c>
      <c r="AD84" s="80"/>
      <c r="AE84" s="93">
        <f>SUMIFS('5.9 Bus_Sup_Alloc'!$AE$67:$AE$120,'5.9 Bus_Sup_Alloc'!$D$67:$D$120,$D84,'5.9 Bus_Sup_Alloc'!$K$67:$K$120,$K84)</f>
        <v>0</v>
      </c>
      <c r="AF84" s="93">
        <f>SUMIFS('5.9 Bus_Sup_Alloc'!$AE$67:$AE$120,'5.9 Bus_Sup_Alloc'!$D$67:$D$120,$D84,'5.9 Bus_Sup_Alloc'!$K$67:$K$120,$K84)</f>
        <v>0</v>
      </c>
      <c r="AG84" s="93">
        <f>SUMIFS('5.9 Bus_Sup_Alloc'!$AE$67:$AE$120,'5.9 Bus_Sup_Alloc'!$D$67:$D$120,$D84,'5.9 Bus_Sup_Alloc'!$K$67:$K$120,$K84)</f>
        <v>0</v>
      </c>
      <c r="AH84" s="93">
        <f>SUMIFS('5.9 Bus_Sup_Alloc'!$AE$67:$AE$120,'5.9 Bus_Sup_Alloc'!$D$67:$D$120,$D84,'5.9 Bus_Sup_Alloc'!$K$67:$K$120,$K84)</f>
        <v>0</v>
      </c>
      <c r="AI84" s="93">
        <f>SUMIFS('5.9 Bus_Sup_Alloc'!$AE$67:$AE$120,'5.9 Bus_Sup_Alloc'!$D$67:$D$120,$D84,'5.9 Bus_Sup_Alloc'!$K$67:$K$120,$K84)</f>
        <v>0</v>
      </c>
    </row>
    <row r="85" spans="1:35">
      <c r="B85" s="435"/>
      <c r="D85" t="s">
        <v>79</v>
      </c>
      <c r="E85" t="s">
        <v>68</v>
      </c>
      <c r="F85" s="435" t="s">
        <v>274</v>
      </c>
      <c r="G85" s="435" t="s">
        <v>12</v>
      </c>
      <c r="H85" t="s">
        <v>77</v>
      </c>
      <c r="I85" t="s">
        <v>1</v>
      </c>
      <c r="J85" t="s">
        <v>121</v>
      </c>
      <c r="K85" t="s">
        <v>128</v>
      </c>
      <c r="O85" t="s">
        <v>77</v>
      </c>
      <c r="AC85" t="s">
        <v>2</v>
      </c>
      <c r="AD85" s="80"/>
      <c r="AE85" s="93">
        <f>SUMIFS('5.9 Bus_Sup_Alloc'!$AE$67:$AE$120,'5.9 Bus_Sup_Alloc'!$D$67:$D$120,$D85,'5.9 Bus_Sup_Alloc'!$K$67:$K$120,$K85)</f>
        <v>0</v>
      </c>
      <c r="AF85" s="93">
        <f>SUMIFS('5.9 Bus_Sup_Alloc'!$AE$67:$AE$120,'5.9 Bus_Sup_Alloc'!$D$67:$D$120,$D85,'5.9 Bus_Sup_Alloc'!$K$67:$K$120,$K85)</f>
        <v>0</v>
      </c>
      <c r="AG85" s="93">
        <f>SUMIFS('5.9 Bus_Sup_Alloc'!$AE$67:$AE$120,'5.9 Bus_Sup_Alloc'!$D$67:$D$120,$D85,'5.9 Bus_Sup_Alloc'!$K$67:$K$120,$K85)</f>
        <v>0</v>
      </c>
      <c r="AH85" s="93">
        <f>SUMIFS('5.9 Bus_Sup_Alloc'!$AE$67:$AE$120,'5.9 Bus_Sup_Alloc'!$D$67:$D$120,$D85,'5.9 Bus_Sup_Alloc'!$K$67:$K$120,$K85)</f>
        <v>0</v>
      </c>
      <c r="AI85" s="93">
        <f>SUMIFS('5.9 Bus_Sup_Alloc'!$AE$67:$AE$120,'5.9 Bus_Sup_Alloc'!$D$67:$D$120,$D85,'5.9 Bus_Sup_Alloc'!$K$67:$K$120,$K85)</f>
        <v>0</v>
      </c>
    </row>
    <row r="86" spans="1:35">
      <c r="B86" s="435"/>
      <c r="D86" t="s">
        <v>79</v>
      </c>
      <c r="E86" t="s">
        <v>68</v>
      </c>
      <c r="F86" s="435" t="s">
        <v>274</v>
      </c>
      <c r="G86" s="435" t="s">
        <v>12</v>
      </c>
      <c r="H86" t="s">
        <v>77</v>
      </c>
      <c r="I86" t="s">
        <v>1</v>
      </c>
      <c r="J86" t="s">
        <v>121</v>
      </c>
      <c r="O86" t="s">
        <v>77</v>
      </c>
      <c r="AC86" t="s">
        <v>2</v>
      </c>
      <c r="AD86" s="80"/>
      <c r="AE86" s="79"/>
      <c r="AF86" s="79"/>
      <c r="AG86" s="79"/>
      <c r="AH86" s="79"/>
      <c r="AI86" s="79"/>
    </row>
    <row r="87" spans="1:35">
      <c r="B87" s="435"/>
      <c r="D87" t="s">
        <v>79</v>
      </c>
      <c r="E87" t="s">
        <v>68</v>
      </c>
      <c r="F87" s="435" t="s">
        <v>274</v>
      </c>
      <c r="G87" s="435" t="s">
        <v>12</v>
      </c>
      <c r="H87" t="s">
        <v>77</v>
      </c>
      <c r="I87" t="s">
        <v>1</v>
      </c>
      <c r="J87" t="s">
        <v>121</v>
      </c>
      <c r="O87" t="s">
        <v>77</v>
      </c>
      <c r="AC87" t="s">
        <v>2</v>
      </c>
      <c r="AD87" s="80"/>
      <c r="AE87" s="79"/>
      <c r="AF87" s="79"/>
      <c r="AG87" s="79"/>
      <c r="AH87" s="79"/>
      <c r="AI87" s="79"/>
    </row>
    <row r="88" spans="1:35">
      <c r="B88" s="435"/>
    </row>
    <row r="89" spans="1:35" s="1" customFormat="1" ht="13.9">
      <c r="A89" s="66"/>
      <c r="B89" s="78" t="s">
        <v>2698</v>
      </c>
    </row>
    <row r="91" spans="1:35">
      <c r="D91" t="s">
        <v>79</v>
      </c>
      <c r="E91" t="s">
        <v>68</v>
      </c>
      <c r="F91" s="435" t="s">
        <v>274</v>
      </c>
      <c r="G91" s="435" t="s">
        <v>12</v>
      </c>
      <c r="H91" t="s">
        <v>77</v>
      </c>
      <c r="I91" t="s">
        <v>1</v>
      </c>
      <c r="J91" t="s">
        <v>129</v>
      </c>
      <c r="K91" t="s">
        <v>130</v>
      </c>
      <c r="L91" t="s">
        <v>131</v>
      </c>
      <c r="O91" t="s">
        <v>77</v>
      </c>
      <c r="AC91" t="s">
        <v>2</v>
      </c>
      <c r="AD91" s="80"/>
      <c r="AE91" s="81"/>
      <c r="AF91" s="81"/>
      <c r="AG91" s="81"/>
      <c r="AH91" s="81"/>
      <c r="AI91" s="81"/>
    </row>
    <row r="92" spans="1:35">
      <c r="D92" t="s">
        <v>79</v>
      </c>
      <c r="E92" t="s">
        <v>68</v>
      </c>
      <c r="F92" s="435" t="s">
        <v>274</v>
      </c>
      <c r="G92" s="435" t="s">
        <v>12</v>
      </c>
      <c r="H92" t="s">
        <v>77</v>
      </c>
      <c r="I92" t="s">
        <v>1</v>
      </c>
      <c r="J92" t="s">
        <v>129</v>
      </c>
      <c r="K92" t="s">
        <v>130</v>
      </c>
      <c r="L92" t="s">
        <v>132</v>
      </c>
      <c r="O92" t="s">
        <v>77</v>
      </c>
      <c r="AC92" t="s">
        <v>2</v>
      </c>
      <c r="AD92" s="80"/>
      <c r="AE92" s="81"/>
      <c r="AF92" s="81"/>
      <c r="AG92" s="81"/>
      <c r="AH92" s="81"/>
      <c r="AI92" s="81"/>
    </row>
    <row r="93" spans="1:35">
      <c r="D93" t="s">
        <v>79</v>
      </c>
      <c r="E93" t="s">
        <v>68</v>
      </c>
      <c r="F93" s="435" t="s">
        <v>274</v>
      </c>
      <c r="G93" s="435" t="s">
        <v>12</v>
      </c>
      <c r="H93" t="s">
        <v>77</v>
      </c>
      <c r="I93" t="s">
        <v>1</v>
      </c>
      <c r="J93" t="s">
        <v>129</v>
      </c>
      <c r="K93" t="s">
        <v>130</v>
      </c>
      <c r="L93" t="s">
        <v>133</v>
      </c>
      <c r="O93" t="s">
        <v>77</v>
      </c>
      <c r="AC93" t="s">
        <v>2</v>
      </c>
      <c r="AD93" s="80"/>
      <c r="AE93" s="81"/>
      <c r="AF93" s="81"/>
      <c r="AG93" s="81"/>
      <c r="AH93" s="81"/>
      <c r="AI93" s="81"/>
    </row>
    <row r="94" spans="1:35">
      <c r="D94" t="s">
        <v>79</v>
      </c>
      <c r="E94" t="s">
        <v>68</v>
      </c>
      <c r="F94" s="435" t="s">
        <v>274</v>
      </c>
      <c r="G94" s="435" t="s">
        <v>12</v>
      </c>
      <c r="H94" t="s">
        <v>77</v>
      </c>
      <c r="I94" t="s">
        <v>1</v>
      </c>
      <c r="J94" t="s">
        <v>129</v>
      </c>
      <c r="K94" t="s">
        <v>134</v>
      </c>
      <c r="L94" t="s">
        <v>135</v>
      </c>
      <c r="O94" t="s">
        <v>77</v>
      </c>
      <c r="AC94" t="s">
        <v>2</v>
      </c>
      <c r="AD94" s="80"/>
      <c r="AE94" s="81"/>
      <c r="AF94" s="81"/>
      <c r="AG94" s="81"/>
      <c r="AH94" s="81"/>
      <c r="AI94" s="81"/>
    </row>
    <row r="95" spans="1:35">
      <c r="D95" t="s">
        <v>79</v>
      </c>
      <c r="E95" t="s">
        <v>68</v>
      </c>
      <c r="F95" s="435" t="s">
        <v>274</v>
      </c>
      <c r="G95" s="435" t="s">
        <v>12</v>
      </c>
      <c r="H95" t="s">
        <v>77</v>
      </c>
      <c r="I95" t="s">
        <v>1</v>
      </c>
      <c r="J95" t="s">
        <v>129</v>
      </c>
      <c r="K95" t="s">
        <v>134</v>
      </c>
      <c r="L95" t="s">
        <v>136</v>
      </c>
      <c r="O95" t="s">
        <v>77</v>
      </c>
      <c r="AC95" t="s">
        <v>2</v>
      </c>
      <c r="AD95" s="80"/>
      <c r="AE95" s="81"/>
      <c r="AF95" s="81"/>
      <c r="AG95" s="81"/>
      <c r="AH95" s="81"/>
      <c r="AI95" s="81"/>
    </row>
    <row r="96" spans="1:35">
      <c r="D96" t="s">
        <v>79</v>
      </c>
      <c r="E96" t="s">
        <v>68</v>
      </c>
      <c r="F96" s="435" t="s">
        <v>274</v>
      </c>
      <c r="G96" s="435" t="s">
        <v>12</v>
      </c>
      <c r="H96" t="s">
        <v>77</v>
      </c>
      <c r="I96" t="s">
        <v>1</v>
      </c>
      <c r="J96" t="s">
        <v>129</v>
      </c>
      <c r="K96" t="s">
        <v>134</v>
      </c>
      <c r="L96" t="s">
        <v>137</v>
      </c>
      <c r="O96" t="s">
        <v>77</v>
      </c>
      <c r="AC96" t="s">
        <v>2</v>
      </c>
      <c r="AD96" s="80"/>
      <c r="AE96" s="81"/>
      <c r="AF96" s="81"/>
      <c r="AG96" s="81"/>
      <c r="AH96" s="81"/>
      <c r="AI96" s="81"/>
    </row>
    <row r="97" spans="1:35">
      <c r="D97" t="s">
        <v>79</v>
      </c>
      <c r="E97" t="s">
        <v>68</v>
      </c>
      <c r="F97" s="435" t="s">
        <v>274</v>
      </c>
      <c r="G97" s="435" t="s">
        <v>12</v>
      </c>
      <c r="H97" t="s">
        <v>77</v>
      </c>
      <c r="I97" t="s">
        <v>1</v>
      </c>
      <c r="J97" t="s">
        <v>129</v>
      </c>
      <c r="K97" t="s">
        <v>134</v>
      </c>
      <c r="L97" t="s">
        <v>138</v>
      </c>
      <c r="O97" t="s">
        <v>77</v>
      </c>
      <c r="AC97" t="s">
        <v>2</v>
      </c>
      <c r="AD97" s="80"/>
      <c r="AE97" s="81"/>
      <c r="AF97" s="81"/>
      <c r="AG97" s="81"/>
      <c r="AH97" s="81"/>
      <c r="AI97" s="81"/>
    </row>
    <row r="98" spans="1:35">
      <c r="D98" t="s">
        <v>79</v>
      </c>
      <c r="E98" t="s">
        <v>68</v>
      </c>
      <c r="F98" s="435" t="s">
        <v>274</v>
      </c>
      <c r="G98" s="435" t="s">
        <v>12</v>
      </c>
      <c r="H98" t="s">
        <v>77</v>
      </c>
      <c r="I98" t="s">
        <v>1</v>
      </c>
      <c r="J98" t="s">
        <v>129</v>
      </c>
      <c r="K98" t="s">
        <v>134</v>
      </c>
      <c r="L98" t="s">
        <v>139</v>
      </c>
      <c r="O98" t="s">
        <v>77</v>
      </c>
      <c r="AC98" t="s">
        <v>2</v>
      </c>
      <c r="AD98" s="80"/>
      <c r="AE98" s="81"/>
      <c r="AF98" s="81"/>
      <c r="AG98" s="81"/>
      <c r="AH98" s="81"/>
      <c r="AI98" s="81"/>
    </row>
    <row r="99" spans="1:35">
      <c r="D99" t="s">
        <v>79</v>
      </c>
      <c r="E99" t="s">
        <v>68</v>
      </c>
      <c r="F99" s="435" t="s">
        <v>274</v>
      </c>
      <c r="G99" s="435" t="s">
        <v>12</v>
      </c>
      <c r="H99" t="s">
        <v>77</v>
      </c>
      <c r="I99" t="s">
        <v>1</v>
      </c>
      <c r="J99" t="s">
        <v>129</v>
      </c>
      <c r="K99" t="s">
        <v>134</v>
      </c>
      <c r="L99" t="s">
        <v>140</v>
      </c>
      <c r="O99" t="s">
        <v>77</v>
      </c>
      <c r="AC99" t="s">
        <v>2</v>
      </c>
      <c r="AD99" s="80"/>
      <c r="AE99" s="81"/>
      <c r="AF99" s="81"/>
      <c r="AG99" s="81"/>
      <c r="AH99" s="81"/>
      <c r="AI99" s="81"/>
    </row>
    <row r="100" spans="1:35">
      <c r="D100" t="s">
        <v>79</v>
      </c>
      <c r="E100" t="s">
        <v>68</v>
      </c>
      <c r="F100" s="435" t="s">
        <v>274</v>
      </c>
      <c r="G100" s="435" t="s">
        <v>12</v>
      </c>
      <c r="H100" t="s">
        <v>77</v>
      </c>
      <c r="I100" t="s">
        <v>1</v>
      </c>
      <c r="J100" t="s">
        <v>129</v>
      </c>
      <c r="K100" t="s">
        <v>134</v>
      </c>
      <c r="L100" t="s">
        <v>141</v>
      </c>
      <c r="O100" t="s">
        <v>77</v>
      </c>
      <c r="AC100" t="s">
        <v>2</v>
      </c>
      <c r="AD100" s="80"/>
      <c r="AE100" s="81"/>
      <c r="AF100" s="81"/>
      <c r="AG100" s="81"/>
      <c r="AH100" s="81"/>
      <c r="AI100" s="81"/>
    </row>
    <row r="101" spans="1:35">
      <c r="D101" t="s">
        <v>79</v>
      </c>
      <c r="E101" t="s">
        <v>68</v>
      </c>
      <c r="F101" s="435" t="s">
        <v>274</v>
      </c>
      <c r="G101" s="435" t="s">
        <v>12</v>
      </c>
      <c r="H101" t="s">
        <v>77</v>
      </c>
      <c r="I101" t="s">
        <v>1</v>
      </c>
      <c r="J101" t="s">
        <v>129</v>
      </c>
      <c r="K101" t="s">
        <v>134</v>
      </c>
      <c r="L101" t="s">
        <v>142</v>
      </c>
      <c r="O101" t="s">
        <v>77</v>
      </c>
      <c r="AC101" t="s">
        <v>2</v>
      </c>
      <c r="AD101" s="80"/>
      <c r="AE101" s="81"/>
      <c r="AF101" s="81"/>
      <c r="AG101" s="81"/>
      <c r="AH101" s="81"/>
      <c r="AI101" s="81"/>
    </row>
    <row r="102" spans="1:35">
      <c r="D102" t="s">
        <v>79</v>
      </c>
      <c r="E102" t="s">
        <v>68</v>
      </c>
      <c r="F102" s="435" t="s">
        <v>274</v>
      </c>
      <c r="G102" s="435" t="s">
        <v>12</v>
      </c>
      <c r="H102" t="s">
        <v>77</v>
      </c>
      <c r="I102" t="s">
        <v>1</v>
      </c>
      <c r="J102" t="s">
        <v>129</v>
      </c>
      <c r="K102" t="s">
        <v>134</v>
      </c>
      <c r="L102" t="s">
        <v>143</v>
      </c>
      <c r="O102" t="s">
        <v>77</v>
      </c>
      <c r="AC102" t="s">
        <v>2</v>
      </c>
      <c r="AD102" s="80"/>
      <c r="AE102" s="81"/>
      <c r="AF102" s="81"/>
      <c r="AG102" s="81"/>
      <c r="AH102" s="81"/>
      <c r="AI102" s="81"/>
    </row>
    <row r="103" spans="1:35">
      <c r="D103" t="s">
        <v>79</v>
      </c>
      <c r="E103" t="s">
        <v>68</v>
      </c>
      <c r="F103" s="435" t="s">
        <v>274</v>
      </c>
      <c r="G103" s="435" t="s">
        <v>12</v>
      </c>
      <c r="H103" t="s">
        <v>77</v>
      </c>
      <c r="I103" t="s">
        <v>1</v>
      </c>
      <c r="J103" t="s">
        <v>129</v>
      </c>
      <c r="O103" t="s">
        <v>77</v>
      </c>
      <c r="AC103" t="s">
        <v>2</v>
      </c>
      <c r="AD103" s="80"/>
      <c r="AE103" s="79"/>
      <c r="AF103" s="79"/>
      <c r="AG103" s="79"/>
      <c r="AH103" s="79"/>
      <c r="AI103" s="79"/>
    </row>
    <row r="104" spans="1:35">
      <c r="D104" t="s">
        <v>79</v>
      </c>
      <c r="E104" t="s">
        <v>68</v>
      </c>
      <c r="F104" s="435" t="s">
        <v>274</v>
      </c>
      <c r="G104" s="435" t="s">
        <v>12</v>
      </c>
      <c r="H104" t="s">
        <v>77</v>
      </c>
      <c r="I104" t="s">
        <v>1</v>
      </c>
      <c r="J104" t="s">
        <v>129</v>
      </c>
      <c r="O104" t="s">
        <v>77</v>
      </c>
      <c r="AC104" t="s">
        <v>2</v>
      </c>
      <c r="AD104" s="80"/>
      <c r="AE104" s="79"/>
      <c r="AF104" s="79"/>
      <c r="AG104" s="79"/>
      <c r="AH104" s="79"/>
      <c r="AI104" s="79"/>
    </row>
    <row r="105" spans="1:35">
      <c r="D105" t="s">
        <v>79</v>
      </c>
      <c r="E105" t="s">
        <v>68</v>
      </c>
      <c r="F105" s="435" t="s">
        <v>274</v>
      </c>
      <c r="G105" s="435" t="s">
        <v>12</v>
      </c>
      <c r="H105" t="s">
        <v>77</v>
      </c>
      <c r="I105" t="s">
        <v>1</v>
      </c>
      <c r="J105" t="s">
        <v>129</v>
      </c>
      <c r="O105" t="s">
        <v>77</v>
      </c>
      <c r="AC105" t="s">
        <v>2</v>
      </c>
      <c r="AD105" s="80"/>
      <c r="AE105" s="79"/>
      <c r="AF105" s="79"/>
      <c r="AG105" s="79"/>
      <c r="AH105" s="79"/>
      <c r="AI105" s="79"/>
    </row>
    <row r="107" spans="1:35" s="1" customFormat="1" ht="13.9">
      <c r="A107" s="66"/>
      <c r="B107" s="78" t="s">
        <v>146</v>
      </c>
    </row>
    <row r="109" spans="1:35">
      <c r="D109" t="s">
        <v>79</v>
      </c>
      <c r="E109" t="s">
        <v>68</v>
      </c>
      <c r="F109" s="435" t="s">
        <v>274</v>
      </c>
      <c r="G109" s="435" t="s">
        <v>12</v>
      </c>
      <c r="H109" t="s">
        <v>77</v>
      </c>
      <c r="I109" t="s">
        <v>1</v>
      </c>
      <c r="J109" t="s">
        <v>147</v>
      </c>
      <c r="K109" t="s">
        <v>178</v>
      </c>
      <c r="O109" t="s">
        <v>77</v>
      </c>
      <c r="AC109" t="s">
        <v>2</v>
      </c>
      <c r="AD109" s="80"/>
      <c r="AE109" s="81"/>
      <c r="AF109" s="81"/>
      <c r="AG109" s="81"/>
      <c r="AH109" s="81"/>
      <c r="AI109" s="81"/>
    </row>
    <row r="110" spans="1:35">
      <c r="D110" t="s">
        <v>79</v>
      </c>
      <c r="E110" t="s">
        <v>68</v>
      </c>
      <c r="F110" s="435" t="s">
        <v>274</v>
      </c>
      <c r="G110" s="435" t="s">
        <v>12</v>
      </c>
      <c r="H110" t="s">
        <v>77</v>
      </c>
      <c r="I110" t="s">
        <v>1</v>
      </c>
      <c r="O110" t="s">
        <v>77</v>
      </c>
      <c r="AC110" t="s">
        <v>2</v>
      </c>
      <c r="AD110" s="80"/>
      <c r="AE110" s="79"/>
      <c r="AF110" s="79"/>
      <c r="AG110" s="79"/>
      <c r="AH110" s="79"/>
      <c r="AI110" s="79"/>
    </row>
    <row r="111" spans="1:35">
      <c r="AD111" s="80"/>
      <c r="AE111" s="95"/>
      <c r="AF111" s="95"/>
      <c r="AG111" s="95"/>
      <c r="AH111" s="95"/>
      <c r="AI111" s="95"/>
    </row>
    <row r="112" spans="1:35" s="1" customFormat="1" ht="13.9">
      <c r="A112" s="66"/>
      <c r="B112" s="78" t="s">
        <v>154</v>
      </c>
    </row>
    <row r="114" spans="1:36">
      <c r="D114" t="s">
        <v>185</v>
      </c>
      <c r="E114" t="s">
        <v>68</v>
      </c>
      <c r="F114" s="435" t="s">
        <v>274</v>
      </c>
      <c r="G114" s="435" t="s">
        <v>12</v>
      </c>
      <c r="H114" t="s">
        <v>77</v>
      </c>
      <c r="I114" t="s">
        <v>1</v>
      </c>
      <c r="J114" t="s">
        <v>188</v>
      </c>
      <c r="K114" t="s">
        <v>154</v>
      </c>
      <c r="O114" t="s">
        <v>77</v>
      </c>
      <c r="AC114" t="s">
        <v>2</v>
      </c>
      <c r="AD114" s="80"/>
      <c r="AE114" s="81"/>
      <c r="AF114" s="81"/>
      <c r="AG114" s="81"/>
      <c r="AH114" s="81"/>
      <c r="AI114" s="81"/>
      <c r="AJ114" s="436" t="s">
        <v>2738</v>
      </c>
    </row>
    <row r="115" spans="1:36">
      <c r="AE115" s="76"/>
      <c r="AF115" s="76"/>
      <c r="AG115" s="76"/>
      <c r="AH115" s="76"/>
      <c r="AI115" s="76"/>
    </row>
    <row r="116" spans="1:36" s="73" customFormat="1" ht="18">
      <c r="A116" s="74" t="s">
        <v>76</v>
      </c>
    </row>
  </sheetData>
  <mergeCells count="1">
    <mergeCell ref="AE6:AI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AB313"/>
  <sheetViews>
    <sheetView zoomScale="85" zoomScaleNormal="85" workbookViewId="0"/>
  </sheetViews>
  <sheetFormatPr defaultColWidth="0" defaultRowHeight="14.25"/>
  <cols>
    <col min="1" max="2" width="1.1328125" customWidth="1"/>
    <col min="3" max="3" width="1.73046875" customWidth="1"/>
    <col min="4" max="4" width="35" bestFit="1" customWidth="1"/>
    <col min="5" max="5" width="27.86328125" bestFit="1" customWidth="1"/>
    <col min="6" max="6" width="26.3984375" bestFit="1" customWidth="1"/>
    <col min="7" max="7" width="21" bestFit="1" customWidth="1"/>
    <col min="8" max="8" width="35.59765625" bestFit="1" customWidth="1"/>
    <col min="9" max="9" width="25.3984375" bestFit="1" customWidth="1"/>
    <col min="10" max="10" width="41.86328125" bestFit="1" customWidth="1"/>
    <col min="11" max="11" width="27" bestFit="1" customWidth="1"/>
    <col min="12" max="12" width="31.265625" bestFit="1" customWidth="1"/>
    <col min="13" max="14" width="31.265625" style="435" customWidth="1"/>
    <col min="15" max="15" width="20" bestFit="1" customWidth="1"/>
    <col min="16" max="16" width="18.265625" bestFit="1" customWidth="1"/>
    <col min="17" max="17" width="19" bestFit="1" customWidth="1"/>
    <col min="18" max="18" width="18" bestFit="1" customWidth="1"/>
    <col min="19" max="19" width="8.73046875" customWidth="1"/>
    <col min="20" max="20" width="17" bestFit="1" customWidth="1"/>
    <col min="21" max="23" width="8.73046875" customWidth="1"/>
    <col min="24" max="28" width="0" hidden="1" customWidth="1"/>
    <col min="29" max="16384" width="8.73046875" hidden="1"/>
  </cols>
  <sheetData>
    <row r="1" spans="1:23" s="73" customFormat="1" ht="23.25">
      <c r="A1" s="89" t="str">
        <f>'1.1 Cover'!A2</f>
        <v>Regulatory Reporting Pack</v>
      </c>
    </row>
    <row r="2" spans="1:23" s="73" customFormat="1" ht="23.25">
      <c r="A2" s="89" t="str">
        <f>'1.1 Cover'!A3</f>
        <v>Price base - 2018/19</v>
      </c>
    </row>
    <row r="3" spans="1:23" s="73" customFormat="1" ht="23.25">
      <c r="A3" s="89" t="str">
        <f>'1.1 Cover'!A4</f>
        <v>Regulatory Year: April 2021 - March 2022</v>
      </c>
    </row>
    <row r="4" spans="1:23" s="73" customFormat="1" ht="23.25">
      <c r="A4" s="89" t="s">
        <v>36</v>
      </c>
    </row>
    <row r="6" spans="1:23" ht="15.4">
      <c r="C6" s="3"/>
      <c r="D6" s="3"/>
      <c r="E6" s="3"/>
      <c r="F6" s="3"/>
      <c r="G6" s="3"/>
      <c r="H6" s="4"/>
      <c r="I6" s="4"/>
      <c r="J6" s="4"/>
      <c r="K6" s="4"/>
      <c r="L6" s="4"/>
      <c r="M6" s="4"/>
      <c r="N6" s="4"/>
      <c r="O6" s="4"/>
    </row>
    <row r="7" spans="1:23" ht="15.4">
      <c r="C7" s="3"/>
      <c r="D7" s="3"/>
      <c r="E7" s="3"/>
      <c r="F7" s="3"/>
      <c r="G7" s="3"/>
      <c r="H7" s="4"/>
      <c r="I7" s="4"/>
      <c r="J7" s="4"/>
      <c r="K7" s="4"/>
      <c r="L7" s="4"/>
      <c r="M7" s="4"/>
      <c r="N7" s="4"/>
      <c r="O7" s="4"/>
    </row>
    <row r="8" spans="1:23" s="1" customFormat="1" ht="17.649999999999999">
      <c r="A8" s="2"/>
      <c r="B8" s="2"/>
    </row>
    <row r="9" spans="1:23">
      <c r="B9" s="56"/>
      <c r="C9" s="56"/>
      <c r="D9" s="49"/>
      <c r="E9" s="50"/>
      <c r="F9" s="50"/>
      <c r="G9" s="50"/>
      <c r="H9" s="50"/>
      <c r="I9" s="50"/>
      <c r="J9" s="50"/>
      <c r="K9" s="50"/>
      <c r="L9" s="50"/>
      <c r="M9" s="50"/>
      <c r="N9" s="50"/>
      <c r="O9" s="50"/>
    </row>
    <row r="10" spans="1:23">
      <c r="C10" s="62"/>
      <c r="D10" s="62" t="s">
        <v>2651</v>
      </c>
      <c r="E10" s="63" t="s">
        <v>64</v>
      </c>
      <c r="F10" s="61" t="s">
        <v>9</v>
      </c>
      <c r="G10" s="61" t="s">
        <v>10</v>
      </c>
      <c r="H10" s="61" t="s">
        <v>2648</v>
      </c>
      <c r="I10" s="61" t="s">
        <v>2654</v>
      </c>
      <c r="J10" s="61" t="s">
        <v>2718</v>
      </c>
      <c r="K10" s="61" t="s">
        <v>2719</v>
      </c>
      <c r="L10" s="61" t="s">
        <v>831</v>
      </c>
      <c r="M10" s="61" t="s">
        <v>2721</v>
      </c>
      <c r="N10" s="61" t="s">
        <v>2716</v>
      </c>
      <c r="O10" s="61" t="s">
        <v>2695</v>
      </c>
      <c r="P10" s="61" t="s">
        <v>2618</v>
      </c>
      <c r="Q10" s="61" t="s">
        <v>2722</v>
      </c>
      <c r="R10" s="61"/>
      <c r="S10" s="61"/>
      <c r="T10" s="61"/>
      <c r="U10" s="64"/>
      <c r="V10" s="64"/>
      <c r="W10" s="64"/>
    </row>
    <row r="11" spans="1:23">
      <c r="C11" s="65"/>
      <c r="D11" s="65"/>
      <c r="E11" s="65"/>
      <c r="F11" s="65"/>
      <c r="G11" s="65"/>
      <c r="H11" s="65"/>
      <c r="I11" s="65"/>
      <c r="J11" s="65"/>
      <c r="K11" s="65"/>
      <c r="L11" s="65"/>
      <c r="M11" s="65"/>
      <c r="N11" s="65"/>
      <c r="O11" s="65"/>
      <c r="P11" s="65"/>
      <c r="R11" s="64"/>
      <c r="S11" s="64"/>
      <c r="T11" s="64"/>
      <c r="U11" s="64"/>
      <c r="V11" s="64"/>
      <c r="W11" s="64"/>
    </row>
    <row r="12" spans="1:23">
      <c r="C12" s="65"/>
      <c r="D12" s="65" t="s">
        <v>1418</v>
      </c>
      <c r="E12" s="65" t="s">
        <v>2636</v>
      </c>
      <c r="F12" s="65" t="s">
        <v>276</v>
      </c>
      <c r="G12" s="65" t="s">
        <v>277</v>
      </c>
      <c r="H12" s="1327" t="s">
        <v>2870</v>
      </c>
      <c r="I12" s="435" t="s">
        <v>855</v>
      </c>
      <c r="J12" s="437" t="s">
        <v>300</v>
      </c>
      <c r="K12" s="437" t="s">
        <v>301</v>
      </c>
      <c r="L12" s="65" t="s">
        <v>324</v>
      </c>
      <c r="M12" s="65" t="s">
        <v>325</v>
      </c>
      <c r="N12" s="65" t="s">
        <v>1016</v>
      </c>
      <c r="O12" s="65" t="s">
        <v>1891</v>
      </c>
      <c r="P12" s="833" t="s">
        <v>2720</v>
      </c>
      <c r="Q12" s="65" t="s">
        <v>268</v>
      </c>
      <c r="R12" s="64"/>
      <c r="S12" s="64"/>
      <c r="T12" s="64"/>
      <c r="U12" s="64"/>
      <c r="V12" s="64"/>
      <c r="W12" s="64"/>
    </row>
    <row r="13" spans="1:23">
      <c r="C13" s="65"/>
      <c r="D13" s="65"/>
      <c r="E13" s="65" t="s">
        <v>2637</v>
      </c>
      <c r="F13" s="65" t="s">
        <v>2645</v>
      </c>
      <c r="G13" s="65" t="s">
        <v>278</v>
      </c>
      <c r="H13" s="65" t="s">
        <v>829</v>
      </c>
      <c r="I13" s="435" t="s">
        <v>2655</v>
      </c>
      <c r="J13" s="437" t="s">
        <v>303</v>
      </c>
      <c r="K13" s="437" t="s">
        <v>302</v>
      </c>
      <c r="L13" s="65" t="s">
        <v>326</v>
      </c>
      <c r="M13" s="65" t="s">
        <v>327</v>
      </c>
      <c r="N13" s="65" t="s">
        <v>1049</v>
      </c>
      <c r="O13" s="65" t="s">
        <v>1892</v>
      </c>
      <c r="P13" s="65">
        <v>4.0999999999999996</v>
      </c>
      <c r="Q13" s="65" t="s">
        <v>2723</v>
      </c>
      <c r="R13" s="64"/>
      <c r="S13" s="64"/>
      <c r="T13" s="64"/>
      <c r="U13" s="64"/>
      <c r="V13" s="64"/>
      <c r="W13" s="64"/>
    </row>
    <row r="14" spans="1:23">
      <c r="C14" s="65"/>
      <c r="D14" s="65"/>
      <c r="E14" s="65" t="s">
        <v>2638</v>
      </c>
      <c r="F14" s="65" t="s">
        <v>269</v>
      </c>
      <c r="G14" s="65" t="s">
        <v>279</v>
      </c>
      <c r="H14" s="65" t="s">
        <v>2649</v>
      </c>
      <c r="I14" s="435" t="s">
        <v>832</v>
      </c>
      <c r="J14" s="437" t="s">
        <v>255</v>
      </c>
      <c r="K14" s="437" t="s">
        <v>304</v>
      </c>
      <c r="L14" s="65" t="s">
        <v>328</v>
      </c>
      <c r="M14" s="65" t="s">
        <v>329</v>
      </c>
      <c r="N14" s="65"/>
      <c r="O14" s="65" t="s">
        <v>2696</v>
      </c>
      <c r="P14" s="65">
        <v>4.2</v>
      </c>
      <c r="Q14" s="65" t="s">
        <v>2724</v>
      </c>
      <c r="R14" s="64"/>
      <c r="S14" s="64"/>
      <c r="T14" s="64"/>
      <c r="U14" s="64"/>
      <c r="V14" s="64"/>
      <c r="W14" s="64"/>
    </row>
    <row r="15" spans="1:23">
      <c r="C15" s="65"/>
      <c r="D15" s="65"/>
      <c r="E15" s="65" t="s">
        <v>2639</v>
      </c>
      <c r="F15" s="65" t="s">
        <v>77</v>
      </c>
      <c r="G15" s="65" t="s">
        <v>275</v>
      </c>
      <c r="H15" s="65" t="s">
        <v>263</v>
      </c>
      <c r="I15" s="435" t="s">
        <v>833</v>
      </c>
      <c r="J15" s="437" t="s">
        <v>310</v>
      </c>
      <c r="K15" s="437" t="s">
        <v>305</v>
      </c>
      <c r="L15" s="65" t="s">
        <v>330</v>
      </c>
      <c r="M15" s="65" t="s">
        <v>331</v>
      </c>
      <c r="N15" s="65"/>
      <c r="O15" s="65" t="s">
        <v>1893</v>
      </c>
      <c r="P15" s="65">
        <v>4.3</v>
      </c>
      <c r="Q15" s="65" t="s">
        <v>2726</v>
      </c>
      <c r="R15" s="64"/>
      <c r="S15" s="64"/>
      <c r="T15" s="64"/>
      <c r="U15" s="64"/>
      <c r="V15" s="64"/>
      <c r="W15" s="64"/>
    </row>
    <row r="16" spans="1:23">
      <c r="C16" s="65"/>
      <c r="D16" s="65"/>
      <c r="E16" s="65" t="s">
        <v>2640</v>
      </c>
      <c r="F16" s="65" t="s">
        <v>209</v>
      </c>
      <c r="G16" s="65" t="s">
        <v>280</v>
      </c>
      <c r="H16" s="65" t="s">
        <v>280</v>
      </c>
      <c r="I16" s="435" t="s">
        <v>2656</v>
      </c>
      <c r="J16" s="437" t="s">
        <v>313</v>
      </c>
      <c r="K16" s="437" t="s">
        <v>306</v>
      </c>
      <c r="L16" s="65" t="s">
        <v>332</v>
      </c>
      <c r="M16" s="65" t="s">
        <v>333</v>
      </c>
      <c r="N16" s="65"/>
      <c r="O16" s="65"/>
      <c r="P16" s="65">
        <v>4.4000000000000004</v>
      </c>
      <c r="Q16" s="65" t="s">
        <v>1725</v>
      </c>
      <c r="R16" s="64"/>
      <c r="S16" s="64"/>
      <c r="T16" s="64"/>
      <c r="U16" s="64"/>
      <c r="V16" s="64"/>
      <c r="W16" s="64"/>
    </row>
    <row r="17" spans="2:23">
      <c r="C17" s="65"/>
      <c r="D17" s="65"/>
      <c r="E17" s="65"/>
      <c r="F17" s="65"/>
      <c r="G17" s="65" t="s">
        <v>299</v>
      </c>
      <c r="H17" s="65" t="s">
        <v>1053</v>
      </c>
      <c r="I17" s="435" t="s">
        <v>834</v>
      </c>
      <c r="J17" s="439" t="s">
        <v>319</v>
      </c>
      <c r="K17" s="437" t="s">
        <v>255</v>
      </c>
      <c r="L17" s="65" t="s">
        <v>334</v>
      </c>
      <c r="M17" s="65" t="s">
        <v>335</v>
      </c>
      <c r="N17" s="65"/>
      <c r="O17" s="65"/>
      <c r="P17" s="65">
        <v>4.5</v>
      </c>
      <c r="Q17" s="65" t="s">
        <v>2725</v>
      </c>
      <c r="R17" s="64"/>
      <c r="S17" s="64"/>
      <c r="T17" s="64"/>
      <c r="U17" s="64"/>
      <c r="V17" s="64"/>
      <c r="W17" s="64"/>
    </row>
    <row r="18" spans="2:23">
      <c r="C18" s="65"/>
      <c r="D18" s="65"/>
      <c r="E18" s="65"/>
      <c r="F18" s="65"/>
      <c r="G18" s="65" t="s">
        <v>2646</v>
      </c>
      <c r="H18" s="65" t="s">
        <v>291</v>
      </c>
      <c r="I18" s="435" t="s">
        <v>841</v>
      </c>
      <c r="J18" s="437" t="s">
        <v>323</v>
      </c>
      <c r="K18" s="437" t="s">
        <v>307</v>
      </c>
      <c r="L18" s="65" t="s">
        <v>336</v>
      </c>
      <c r="M18" s="65" t="s">
        <v>337</v>
      </c>
      <c r="N18" s="65"/>
      <c r="O18" s="65"/>
      <c r="P18" s="65" t="s">
        <v>1869</v>
      </c>
      <c r="Q18" s="65" t="s">
        <v>2727</v>
      </c>
      <c r="R18" s="64"/>
      <c r="S18" s="64"/>
      <c r="T18" s="64"/>
      <c r="U18" s="64"/>
      <c r="V18" s="64"/>
      <c r="W18" s="64"/>
    </row>
    <row r="19" spans="2:23">
      <c r="C19" s="65"/>
      <c r="D19" s="65"/>
      <c r="E19" s="65"/>
      <c r="F19" s="65"/>
      <c r="G19" s="65" t="s">
        <v>1773</v>
      </c>
      <c r="H19" s="65" t="s">
        <v>2650</v>
      </c>
      <c r="I19" s="435" t="s">
        <v>839</v>
      </c>
      <c r="K19" s="437" t="s">
        <v>308</v>
      </c>
      <c r="L19" s="65" t="s">
        <v>338</v>
      </c>
      <c r="M19" s="65" t="s">
        <v>339</v>
      </c>
      <c r="N19" s="65"/>
      <c r="O19" s="65"/>
      <c r="P19" s="65"/>
      <c r="Q19" s="65" t="s">
        <v>2728</v>
      </c>
      <c r="R19" s="64"/>
      <c r="S19" s="64"/>
      <c r="T19" s="64"/>
      <c r="U19" s="64"/>
      <c r="V19" s="64"/>
      <c r="W19" s="64"/>
    </row>
    <row r="20" spans="2:23">
      <c r="B20" s="59"/>
      <c r="C20" s="65"/>
      <c r="D20" s="65"/>
      <c r="E20" s="65"/>
      <c r="F20" s="65"/>
      <c r="G20" s="65" t="s">
        <v>1086</v>
      </c>
      <c r="H20" s="65" t="s">
        <v>1086</v>
      </c>
      <c r="I20" s="435" t="s">
        <v>835</v>
      </c>
      <c r="K20" s="437" t="s">
        <v>309</v>
      </c>
      <c r="L20" s="65" t="s">
        <v>340</v>
      </c>
      <c r="M20" s="65" t="s">
        <v>341</v>
      </c>
      <c r="N20" s="65"/>
      <c r="O20" s="65"/>
      <c r="P20" s="64"/>
      <c r="Q20" s="65" t="s">
        <v>2729</v>
      </c>
      <c r="R20" s="64"/>
      <c r="S20" s="64"/>
      <c r="T20" s="64"/>
      <c r="U20" s="64"/>
      <c r="V20" s="64"/>
      <c r="W20" s="64"/>
    </row>
    <row r="21" spans="2:23">
      <c r="G21" s="65" t="s">
        <v>1762</v>
      </c>
      <c r="H21" s="65" t="s">
        <v>2627</v>
      </c>
      <c r="I21" s="435" t="s">
        <v>837</v>
      </c>
      <c r="K21" s="437" t="s">
        <v>311</v>
      </c>
      <c r="L21" t="s">
        <v>342</v>
      </c>
      <c r="M21" s="435" t="s">
        <v>339</v>
      </c>
      <c r="Q21" s="65" t="s">
        <v>2730</v>
      </c>
    </row>
    <row r="22" spans="2:23">
      <c r="G22" s="65" t="s">
        <v>2647</v>
      </c>
      <c r="I22" s="435" t="s">
        <v>2657</v>
      </c>
      <c r="K22" s="437" t="s">
        <v>312</v>
      </c>
      <c r="L22" t="s">
        <v>343</v>
      </c>
      <c r="M22" s="435" t="s">
        <v>344</v>
      </c>
      <c r="Q22" s="65" t="s">
        <v>2731</v>
      </c>
    </row>
    <row r="23" spans="2:23">
      <c r="G23" s="65" t="s">
        <v>1765</v>
      </c>
      <c r="I23" s="435" t="s">
        <v>838</v>
      </c>
      <c r="K23" s="437" t="s">
        <v>314</v>
      </c>
      <c r="L23" t="s">
        <v>345</v>
      </c>
      <c r="M23" s="435" t="s">
        <v>346</v>
      </c>
      <c r="Q23" s="65" t="s">
        <v>2732</v>
      </c>
    </row>
    <row r="24" spans="2:23">
      <c r="G24" s="65" t="s">
        <v>11</v>
      </c>
      <c r="I24" s="435" t="s">
        <v>842</v>
      </c>
      <c r="K24" s="437" t="s">
        <v>315</v>
      </c>
      <c r="L24" t="s">
        <v>347</v>
      </c>
      <c r="M24" s="435" t="s">
        <v>348</v>
      </c>
    </row>
    <row r="25" spans="2:23">
      <c r="I25" s="435" t="s">
        <v>843</v>
      </c>
      <c r="K25" s="437" t="s">
        <v>316</v>
      </c>
      <c r="L25" t="s">
        <v>349</v>
      </c>
      <c r="M25" s="435" t="s">
        <v>346</v>
      </c>
    </row>
    <row r="26" spans="2:23">
      <c r="I26" s="435" t="s">
        <v>852</v>
      </c>
      <c r="K26" s="439" t="s">
        <v>318</v>
      </c>
      <c r="L26" t="s">
        <v>350</v>
      </c>
      <c r="M26" s="435" t="s">
        <v>351</v>
      </c>
    </row>
    <row r="27" spans="2:23">
      <c r="I27" s="435" t="s">
        <v>848</v>
      </c>
      <c r="K27" s="439" t="s">
        <v>320</v>
      </c>
      <c r="L27" t="s">
        <v>352</v>
      </c>
      <c r="M27" s="435" t="s">
        <v>353</v>
      </c>
    </row>
    <row r="28" spans="2:23">
      <c r="I28" s="435" t="s">
        <v>849</v>
      </c>
      <c r="K28" s="439" t="s">
        <v>321</v>
      </c>
      <c r="L28" t="s">
        <v>354</v>
      </c>
      <c r="M28" s="435" t="s">
        <v>355</v>
      </c>
    </row>
    <row r="29" spans="2:23">
      <c r="I29" s="435" t="s">
        <v>857</v>
      </c>
      <c r="K29" s="439" t="s">
        <v>322</v>
      </c>
      <c r="L29" t="s">
        <v>356</v>
      </c>
      <c r="M29" s="435" t="s">
        <v>357</v>
      </c>
    </row>
    <row r="30" spans="2:23">
      <c r="I30" s="435" t="s">
        <v>2658</v>
      </c>
      <c r="K30" s="437" t="s">
        <v>323</v>
      </c>
      <c r="L30" t="s">
        <v>358</v>
      </c>
      <c r="M30" s="435" t="s">
        <v>359</v>
      </c>
    </row>
    <row r="31" spans="2:23">
      <c r="I31" s="435" t="s">
        <v>836</v>
      </c>
      <c r="L31" t="s">
        <v>360</v>
      </c>
      <c r="M31" s="435" t="s">
        <v>361</v>
      </c>
    </row>
    <row r="32" spans="2:23">
      <c r="I32" s="435" t="s">
        <v>859</v>
      </c>
      <c r="L32" t="s">
        <v>362</v>
      </c>
      <c r="M32" s="435" t="s">
        <v>353</v>
      </c>
    </row>
    <row r="33" spans="9:13">
      <c r="I33" s="435" t="s">
        <v>2659</v>
      </c>
      <c r="L33" t="s">
        <v>363</v>
      </c>
      <c r="M33" s="435" t="s">
        <v>351</v>
      </c>
    </row>
    <row r="34" spans="9:13">
      <c r="I34" s="435" t="s">
        <v>844</v>
      </c>
      <c r="L34" t="s">
        <v>364</v>
      </c>
      <c r="M34" s="435" t="s">
        <v>365</v>
      </c>
    </row>
    <row r="35" spans="9:13">
      <c r="I35" s="435" t="s">
        <v>850</v>
      </c>
      <c r="L35" t="s">
        <v>366</v>
      </c>
      <c r="M35" s="435" t="s">
        <v>367</v>
      </c>
    </row>
    <row r="36" spans="9:13">
      <c r="I36" s="435" t="s">
        <v>854</v>
      </c>
      <c r="L36" t="s">
        <v>368</v>
      </c>
      <c r="M36" s="435" t="s">
        <v>365</v>
      </c>
    </row>
    <row r="37" spans="9:13">
      <c r="I37" s="435" t="s">
        <v>2660</v>
      </c>
      <c r="L37" t="s">
        <v>369</v>
      </c>
      <c r="M37" s="435" t="s">
        <v>351</v>
      </c>
    </row>
    <row r="38" spans="9:13">
      <c r="I38" s="435" t="s">
        <v>2661</v>
      </c>
      <c r="L38" t="s">
        <v>370</v>
      </c>
      <c r="M38" s="435" t="s">
        <v>371</v>
      </c>
    </row>
    <row r="39" spans="9:13">
      <c r="I39" s="435" t="s">
        <v>2662</v>
      </c>
      <c r="L39" t="s">
        <v>372</v>
      </c>
      <c r="M39" s="435" t="s">
        <v>373</v>
      </c>
    </row>
    <row r="40" spans="9:13">
      <c r="I40" s="435" t="s">
        <v>2663</v>
      </c>
      <c r="L40" t="s">
        <v>374</v>
      </c>
      <c r="M40" s="435" t="s">
        <v>351</v>
      </c>
    </row>
    <row r="41" spans="9:13">
      <c r="I41" s="435" t="s">
        <v>2664</v>
      </c>
      <c r="L41" t="s">
        <v>375</v>
      </c>
      <c r="M41" s="435" t="s">
        <v>365</v>
      </c>
    </row>
    <row r="42" spans="9:13">
      <c r="I42" s="435" t="s">
        <v>851</v>
      </c>
      <c r="L42" t="s">
        <v>376</v>
      </c>
      <c r="M42" s="435" t="s">
        <v>367</v>
      </c>
    </row>
    <row r="43" spans="9:13">
      <c r="I43" s="435" t="s">
        <v>856</v>
      </c>
      <c r="L43" t="s">
        <v>377</v>
      </c>
      <c r="M43" s="435" t="s">
        <v>378</v>
      </c>
    </row>
    <row r="44" spans="9:13">
      <c r="I44" s="435" t="s">
        <v>853</v>
      </c>
      <c r="L44" t="s">
        <v>379</v>
      </c>
      <c r="M44" s="435" t="s">
        <v>380</v>
      </c>
    </row>
    <row r="45" spans="9:13">
      <c r="I45" s="435" t="s">
        <v>845</v>
      </c>
      <c r="L45" t="s">
        <v>381</v>
      </c>
      <c r="M45" s="435" t="s">
        <v>382</v>
      </c>
    </row>
    <row r="46" spans="9:13">
      <c r="I46" s="435" t="s">
        <v>858</v>
      </c>
      <c r="L46" t="s">
        <v>383</v>
      </c>
      <c r="M46" s="435" t="s">
        <v>384</v>
      </c>
    </row>
    <row r="47" spans="9:13">
      <c r="I47" s="435" t="s">
        <v>2665</v>
      </c>
      <c r="L47" t="s">
        <v>385</v>
      </c>
      <c r="M47" s="435" t="s">
        <v>386</v>
      </c>
    </row>
    <row r="48" spans="9:13">
      <c r="I48" s="435" t="s">
        <v>2666</v>
      </c>
      <c r="L48" t="s">
        <v>387</v>
      </c>
      <c r="M48" s="435" t="s">
        <v>365</v>
      </c>
    </row>
    <row r="49" spans="9:13">
      <c r="I49" s="435" t="s">
        <v>2667</v>
      </c>
      <c r="L49" t="s">
        <v>388</v>
      </c>
      <c r="M49" s="435" t="s">
        <v>351</v>
      </c>
    </row>
    <row r="50" spans="9:13">
      <c r="I50" s="435" t="s">
        <v>840</v>
      </c>
      <c r="L50" t="s">
        <v>389</v>
      </c>
      <c r="M50" s="435" t="s">
        <v>390</v>
      </c>
    </row>
    <row r="51" spans="9:13">
      <c r="I51" s="435" t="s">
        <v>2668</v>
      </c>
      <c r="L51" t="s">
        <v>391</v>
      </c>
      <c r="M51" s="435" t="s">
        <v>392</v>
      </c>
    </row>
    <row r="52" spans="9:13">
      <c r="I52" s="435" t="s">
        <v>847</v>
      </c>
      <c r="L52" t="s">
        <v>393</v>
      </c>
      <c r="M52" s="435" t="s">
        <v>394</v>
      </c>
    </row>
    <row r="53" spans="9:13">
      <c r="I53" s="435" t="s">
        <v>846</v>
      </c>
      <c r="L53" t="s">
        <v>395</v>
      </c>
      <c r="M53" s="435" t="s">
        <v>396</v>
      </c>
    </row>
    <row r="54" spans="9:13">
      <c r="I54" s="435" t="s">
        <v>861</v>
      </c>
      <c r="L54" t="s">
        <v>397</v>
      </c>
      <c r="M54" s="435" t="s">
        <v>351</v>
      </c>
    </row>
    <row r="55" spans="9:13">
      <c r="I55" s="435" t="s">
        <v>862</v>
      </c>
      <c r="L55" t="s">
        <v>398</v>
      </c>
      <c r="M55" s="435" t="s">
        <v>365</v>
      </c>
    </row>
    <row r="56" spans="9:13">
      <c r="I56" s="435" t="s">
        <v>863</v>
      </c>
      <c r="L56" t="s">
        <v>399</v>
      </c>
      <c r="M56" s="435" t="s">
        <v>367</v>
      </c>
    </row>
    <row r="57" spans="9:13">
      <c r="I57" s="435" t="s">
        <v>864</v>
      </c>
      <c r="L57" t="s">
        <v>400</v>
      </c>
      <c r="M57" s="435" t="s">
        <v>365</v>
      </c>
    </row>
    <row r="58" spans="9:13">
      <c r="I58" s="435" t="s">
        <v>860</v>
      </c>
      <c r="L58" t="s">
        <v>401</v>
      </c>
      <c r="M58" s="435" t="s">
        <v>351</v>
      </c>
    </row>
    <row r="59" spans="9:13">
      <c r="L59" t="s">
        <v>402</v>
      </c>
      <c r="M59" s="435" t="s">
        <v>403</v>
      </c>
    </row>
    <row r="60" spans="9:13">
      <c r="L60" t="s">
        <v>404</v>
      </c>
      <c r="M60" s="435" t="s">
        <v>405</v>
      </c>
    </row>
    <row r="61" spans="9:13">
      <c r="L61" t="s">
        <v>406</v>
      </c>
      <c r="M61" s="435" t="s">
        <v>407</v>
      </c>
    </row>
    <row r="62" spans="9:13">
      <c r="L62" t="s">
        <v>408</v>
      </c>
      <c r="M62" s="435" t="s">
        <v>351</v>
      </c>
    </row>
    <row r="63" spans="9:13">
      <c r="L63" t="s">
        <v>409</v>
      </c>
      <c r="M63" s="435" t="s">
        <v>365</v>
      </c>
    </row>
    <row r="64" spans="9:13">
      <c r="L64" t="s">
        <v>410</v>
      </c>
      <c r="M64" s="435" t="s">
        <v>367</v>
      </c>
    </row>
    <row r="65" spans="12:13">
      <c r="L65" t="s">
        <v>411</v>
      </c>
      <c r="M65" s="435" t="s">
        <v>365</v>
      </c>
    </row>
    <row r="66" spans="12:13">
      <c r="L66" t="s">
        <v>412</v>
      </c>
      <c r="M66" s="435" t="s">
        <v>351</v>
      </c>
    </row>
    <row r="67" spans="12:13">
      <c r="L67" t="s">
        <v>413</v>
      </c>
      <c r="M67" s="435" t="s">
        <v>414</v>
      </c>
    </row>
    <row r="68" spans="12:13">
      <c r="L68" t="s">
        <v>415</v>
      </c>
      <c r="M68" s="435" t="s">
        <v>416</v>
      </c>
    </row>
    <row r="69" spans="12:13">
      <c r="L69" t="s">
        <v>417</v>
      </c>
      <c r="M69" s="435" t="s">
        <v>351</v>
      </c>
    </row>
    <row r="70" spans="12:13">
      <c r="L70" t="s">
        <v>418</v>
      </c>
      <c r="M70" s="435" t="s">
        <v>419</v>
      </c>
    </row>
    <row r="71" spans="12:13">
      <c r="L71" t="s">
        <v>420</v>
      </c>
      <c r="M71" s="435" t="s">
        <v>421</v>
      </c>
    </row>
    <row r="72" spans="12:13">
      <c r="L72" t="s">
        <v>422</v>
      </c>
      <c r="M72" s="435" t="s">
        <v>365</v>
      </c>
    </row>
    <row r="73" spans="12:13">
      <c r="L73" t="s">
        <v>423</v>
      </c>
      <c r="M73" s="435" t="s">
        <v>424</v>
      </c>
    </row>
    <row r="74" spans="12:13">
      <c r="L74" t="s">
        <v>425</v>
      </c>
      <c r="M74" s="435" t="s">
        <v>351</v>
      </c>
    </row>
    <row r="75" spans="12:13">
      <c r="L75" t="s">
        <v>426</v>
      </c>
      <c r="M75" s="435" t="s">
        <v>365</v>
      </c>
    </row>
    <row r="76" spans="12:13">
      <c r="L76" t="s">
        <v>427</v>
      </c>
      <c r="M76" s="435" t="s">
        <v>367</v>
      </c>
    </row>
    <row r="77" spans="12:13">
      <c r="L77" t="s">
        <v>428</v>
      </c>
      <c r="M77" s="435" t="s">
        <v>365</v>
      </c>
    </row>
    <row r="78" spans="12:13">
      <c r="L78" t="s">
        <v>429</v>
      </c>
      <c r="M78" s="435" t="s">
        <v>351</v>
      </c>
    </row>
    <row r="79" spans="12:13">
      <c r="L79" t="s">
        <v>430</v>
      </c>
      <c r="M79" s="435" t="s">
        <v>431</v>
      </c>
    </row>
    <row r="80" spans="12:13">
      <c r="L80" t="s">
        <v>432</v>
      </c>
      <c r="M80" s="435" t="s">
        <v>433</v>
      </c>
    </row>
    <row r="81" spans="12:13">
      <c r="L81" t="s">
        <v>434</v>
      </c>
      <c r="M81" s="435" t="s">
        <v>435</v>
      </c>
    </row>
    <row r="82" spans="12:13">
      <c r="L82" t="s">
        <v>436</v>
      </c>
      <c r="M82" s="435" t="s">
        <v>351</v>
      </c>
    </row>
    <row r="83" spans="12:13">
      <c r="L83" t="s">
        <v>437</v>
      </c>
      <c r="M83" s="435" t="s">
        <v>365</v>
      </c>
    </row>
    <row r="84" spans="12:13">
      <c r="L84" t="s">
        <v>438</v>
      </c>
      <c r="M84" s="435" t="s">
        <v>439</v>
      </c>
    </row>
    <row r="85" spans="12:13">
      <c r="L85" t="s">
        <v>440</v>
      </c>
      <c r="M85" s="435" t="s">
        <v>365</v>
      </c>
    </row>
    <row r="86" spans="12:13">
      <c r="L86" t="s">
        <v>441</v>
      </c>
      <c r="M86" s="435" t="s">
        <v>351</v>
      </c>
    </row>
    <row r="87" spans="12:13">
      <c r="L87" t="s">
        <v>442</v>
      </c>
      <c r="M87" s="435" t="s">
        <v>439</v>
      </c>
    </row>
    <row r="88" spans="12:13">
      <c r="L88" t="s">
        <v>443</v>
      </c>
      <c r="M88" s="435" t="s">
        <v>439</v>
      </c>
    </row>
    <row r="89" spans="12:13">
      <c r="L89" t="s">
        <v>444</v>
      </c>
      <c r="M89" s="435" t="s">
        <v>445</v>
      </c>
    </row>
    <row r="90" spans="12:13">
      <c r="L90" t="s">
        <v>446</v>
      </c>
      <c r="M90" s="435" t="s">
        <v>447</v>
      </c>
    </row>
    <row r="91" spans="12:13">
      <c r="L91" t="s">
        <v>448</v>
      </c>
      <c r="M91" s="435" t="s">
        <v>449</v>
      </c>
    </row>
    <row r="92" spans="12:13">
      <c r="L92" t="s">
        <v>450</v>
      </c>
      <c r="M92" s="435" t="s">
        <v>451</v>
      </c>
    </row>
    <row r="93" spans="12:13">
      <c r="L93" t="s">
        <v>452</v>
      </c>
      <c r="M93" s="435" t="s">
        <v>453</v>
      </c>
    </row>
    <row r="94" spans="12:13">
      <c r="L94" t="s">
        <v>454</v>
      </c>
      <c r="M94" s="435" t="s">
        <v>455</v>
      </c>
    </row>
    <row r="95" spans="12:13">
      <c r="L95" t="s">
        <v>456</v>
      </c>
      <c r="M95" s="435" t="s">
        <v>457</v>
      </c>
    </row>
    <row r="96" spans="12:13">
      <c r="L96" t="s">
        <v>458</v>
      </c>
      <c r="M96" s="435" t="s">
        <v>459</v>
      </c>
    </row>
    <row r="97" spans="12:13">
      <c r="L97" t="s">
        <v>460</v>
      </c>
      <c r="M97" s="435" t="s">
        <v>461</v>
      </c>
    </row>
    <row r="98" spans="12:13">
      <c r="L98" t="s">
        <v>462</v>
      </c>
      <c r="M98" s="435" t="s">
        <v>463</v>
      </c>
    </row>
    <row r="99" spans="12:13">
      <c r="L99" t="s">
        <v>464</v>
      </c>
      <c r="M99" s="435" t="s">
        <v>465</v>
      </c>
    </row>
    <row r="100" spans="12:13">
      <c r="L100" t="s">
        <v>466</v>
      </c>
      <c r="M100" s="435" t="s">
        <v>467</v>
      </c>
    </row>
    <row r="101" spans="12:13">
      <c r="L101" t="s">
        <v>468</v>
      </c>
      <c r="M101" s="435" t="s">
        <v>469</v>
      </c>
    </row>
    <row r="102" spans="12:13">
      <c r="L102" t="s">
        <v>470</v>
      </c>
      <c r="M102" s="435" t="s">
        <v>471</v>
      </c>
    </row>
    <row r="103" spans="12:13">
      <c r="L103" t="s">
        <v>472</v>
      </c>
      <c r="M103" s="435" t="s">
        <v>473</v>
      </c>
    </row>
    <row r="104" spans="12:13">
      <c r="L104" t="s">
        <v>474</v>
      </c>
      <c r="M104" s="435" t="s">
        <v>475</v>
      </c>
    </row>
    <row r="105" spans="12:13">
      <c r="L105" t="s">
        <v>476</v>
      </c>
      <c r="M105" s="435" t="s">
        <v>477</v>
      </c>
    </row>
    <row r="106" spans="12:13">
      <c r="L106" t="s">
        <v>478</v>
      </c>
      <c r="M106" s="435" t="s">
        <v>479</v>
      </c>
    </row>
    <row r="107" spans="12:13">
      <c r="L107" t="s">
        <v>480</v>
      </c>
      <c r="M107" s="435" t="s">
        <v>481</v>
      </c>
    </row>
    <row r="108" spans="12:13">
      <c r="L108" t="s">
        <v>482</v>
      </c>
      <c r="M108" s="435" t="s">
        <v>483</v>
      </c>
    </row>
    <row r="109" spans="12:13">
      <c r="L109" t="s">
        <v>484</v>
      </c>
      <c r="M109" s="435" t="s">
        <v>485</v>
      </c>
    </row>
    <row r="110" spans="12:13">
      <c r="L110" t="s">
        <v>486</v>
      </c>
      <c r="M110" s="435" t="s">
        <v>487</v>
      </c>
    </row>
    <row r="111" spans="12:13">
      <c r="L111" t="s">
        <v>488</v>
      </c>
      <c r="M111" s="435" t="s">
        <v>489</v>
      </c>
    </row>
    <row r="112" spans="12:13">
      <c r="L112" t="s">
        <v>490</v>
      </c>
      <c r="M112" s="435" t="s">
        <v>491</v>
      </c>
    </row>
    <row r="113" spans="12:13">
      <c r="L113" t="s">
        <v>492</v>
      </c>
      <c r="M113" s="435" t="s">
        <v>493</v>
      </c>
    </row>
    <row r="114" spans="12:13">
      <c r="L114" t="s">
        <v>494</v>
      </c>
      <c r="M114" s="435" t="s">
        <v>495</v>
      </c>
    </row>
    <row r="115" spans="12:13">
      <c r="L115" t="s">
        <v>496</v>
      </c>
      <c r="M115" s="435" t="s">
        <v>497</v>
      </c>
    </row>
    <row r="116" spans="12:13">
      <c r="L116" t="s">
        <v>498</v>
      </c>
      <c r="M116" s="435" t="s">
        <v>499</v>
      </c>
    </row>
    <row r="117" spans="12:13">
      <c r="L117" t="s">
        <v>500</v>
      </c>
      <c r="M117" s="435" t="s">
        <v>501</v>
      </c>
    </row>
    <row r="118" spans="12:13">
      <c r="L118" t="s">
        <v>502</v>
      </c>
      <c r="M118" s="435" t="s">
        <v>503</v>
      </c>
    </row>
    <row r="119" spans="12:13">
      <c r="L119" t="s">
        <v>504</v>
      </c>
      <c r="M119" s="435" t="s">
        <v>485</v>
      </c>
    </row>
    <row r="120" spans="12:13">
      <c r="L120" t="s">
        <v>505</v>
      </c>
      <c r="M120" s="435" t="s">
        <v>499</v>
      </c>
    </row>
    <row r="121" spans="12:13">
      <c r="L121" t="s">
        <v>506</v>
      </c>
      <c r="M121" s="435" t="s">
        <v>503</v>
      </c>
    </row>
    <row r="122" spans="12:13">
      <c r="L122" t="s">
        <v>507</v>
      </c>
      <c r="M122" s="435" t="s">
        <v>483</v>
      </c>
    </row>
    <row r="123" spans="12:13">
      <c r="L123" t="s">
        <v>508</v>
      </c>
      <c r="M123" s="435" t="s">
        <v>489</v>
      </c>
    </row>
    <row r="124" spans="12:13">
      <c r="L124" t="s">
        <v>509</v>
      </c>
      <c r="M124" s="435" t="s">
        <v>493</v>
      </c>
    </row>
    <row r="125" spans="12:13">
      <c r="L125" t="s">
        <v>510</v>
      </c>
      <c r="M125" s="435" t="s">
        <v>491</v>
      </c>
    </row>
    <row r="126" spans="12:13">
      <c r="L126" t="s">
        <v>511</v>
      </c>
      <c r="M126" s="435" t="s">
        <v>497</v>
      </c>
    </row>
    <row r="127" spans="12:13">
      <c r="L127" t="s">
        <v>512</v>
      </c>
      <c r="M127" s="435" t="s">
        <v>513</v>
      </c>
    </row>
    <row r="128" spans="12:13">
      <c r="L128" t="s">
        <v>514</v>
      </c>
      <c r="M128" s="435" t="s">
        <v>515</v>
      </c>
    </row>
    <row r="129" spans="12:13">
      <c r="L129" t="s">
        <v>516</v>
      </c>
      <c r="M129" s="435" t="s">
        <v>517</v>
      </c>
    </row>
    <row r="130" spans="12:13">
      <c r="L130" t="s">
        <v>518</v>
      </c>
      <c r="M130" s="435" t="s">
        <v>519</v>
      </c>
    </row>
    <row r="131" spans="12:13">
      <c r="L131" t="s">
        <v>520</v>
      </c>
      <c r="M131" s="435" t="s">
        <v>513</v>
      </c>
    </row>
    <row r="132" spans="12:13">
      <c r="L132" t="s">
        <v>521</v>
      </c>
      <c r="M132" s="435" t="s">
        <v>351</v>
      </c>
    </row>
    <row r="133" spans="12:13">
      <c r="L133" t="s">
        <v>522</v>
      </c>
      <c r="M133" s="435" t="s">
        <v>523</v>
      </c>
    </row>
    <row r="134" spans="12:13">
      <c r="L134" t="s">
        <v>524</v>
      </c>
      <c r="M134" s="435" t="s">
        <v>525</v>
      </c>
    </row>
    <row r="135" spans="12:13">
      <c r="L135" t="s">
        <v>526</v>
      </c>
      <c r="M135" s="435" t="s">
        <v>527</v>
      </c>
    </row>
    <row r="136" spans="12:13">
      <c r="L136" t="s">
        <v>528</v>
      </c>
      <c r="M136" s="435" t="s">
        <v>529</v>
      </c>
    </row>
    <row r="137" spans="12:13">
      <c r="L137" t="s">
        <v>530</v>
      </c>
      <c r="M137" s="435" t="s">
        <v>531</v>
      </c>
    </row>
    <row r="138" spans="12:13">
      <c r="L138" t="s">
        <v>532</v>
      </c>
      <c r="M138" s="435" t="s">
        <v>533</v>
      </c>
    </row>
    <row r="139" spans="12:13">
      <c r="L139" t="s">
        <v>534</v>
      </c>
      <c r="M139" s="435" t="s">
        <v>535</v>
      </c>
    </row>
    <row r="140" spans="12:13">
      <c r="L140" t="s">
        <v>536</v>
      </c>
      <c r="M140" s="435" t="s">
        <v>537</v>
      </c>
    </row>
    <row r="141" spans="12:13">
      <c r="L141" t="s">
        <v>538</v>
      </c>
      <c r="M141" s="435" t="s">
        <v>539</v>
      </c>
    </row>
    <row r="142" spans="12:13">
      <c r="L142" t="s">
        <v>540</v>
      </c>
      <c r="M142" s="435" t="s">
        <v>541</v>
      </c>
    </row>
    <row r="143" spans="12:13">
      <c r="L143" t="s">
        <v>542</v>
      </c>
      <c r="M143" s="435" t="s">
        <v>543</v>
      </c>
    </row>
    <row r="144" spans="12:13">
      <c r="L144" t="s">
        <v>544</v>
      </c>
      <c r="M144" s="435" t="s">
        <v>545</v>
      </c>
    </row>
    <row r="145" spans="12:13">
      <c r="L145" t="s">
        <v>546</v>
      </c>
      <c r="M145" s="435" t="s">
        <v>547</v>
      </c>
    </row>
    <row r="146" spans="12:13">
      <c r="L146" t="s">
        <v>548</v>
      </c>
      <c r="M146" s="435" t="s">
        <v>549</v>
      </c>
    </row>
    <row r="147" spans="12:13">
      <c r="L147" t="s">
        <v>550</v>
      </c>
      <c r="M147" s="435" t="s">
        <v>551</v>
      </c>
    </row>
    <row r="148" spans="12:13">
      <c r="L148" t="s">
        <v>552</v>
      </c>
      <c r="M148" s="435" t="s">
        <v>553</v>
      </c>
    </row>
    <row r="149" spans="12:13">
      <c r="L149" t="s">
        <v>554</v>
      </c>
      <c r="M149" s="435" t="s">
        <v>555</v>
      </c>
    </row>
    <row r="150" spans="12:13">
      <c r="L150" t="s">
        <v>556</v>
      </c>
      <c r="M150" s="435" t="s">
        <v>557</v>
      </c>
    </row>
    <row r="151" spans="12:13">
      <c r="L151" t="s">
        <v>558</v>
      </c>
      <c r="M151" s="435" t="s">
        <v>559</v>
      </c>
    </row>
    <row r="152" spans="12:13">
      <c r="L152" t="s">
        <v>560</v>
      </c>
      <c r="M152" s="435" t="s">
        <v>561</v>
      </c>
    </row>
    <row r="153" spans="12:13">
      <c r="L153" t="s">
        <v>562</v>
      </c>
      <c r="M153" s="435" t="s">
        <v>563</v>
      </c>
    </row>
    <row r="154" spans="12:13">
      <c r="L154" t="s">
        <v>564</v>
      </c>
      <c r="M154" s="435" t="s">
        <v>565</v>
      </c>
    </row>
    <row r="155" spans="12:13">
      <c r="L155" t="s">
        <v>566</v>
      </c>
      <c r="M155" s="435" t="s">
        <v>567</v>
      </c>
    </row>
    <row r="156" spans="12:13">
      <c r="L156" t="s">
        <v>568</v>
      </c>
      <c r="M156" s="435" t="s">
        <v>569</v>
      </c>
    </row>
    <row r="157" spans="12:13">
      <c r="L157" t="s">
        <v>570</v>
      </c>
      <c r="M157" s="435" t="s">
        <v>571</v>
      </c>
    </row>
    <row r="158" spans="12:13">
      <c r="L158" t="s">
        <v>572</v>
      </c>
      <c r="M158" s="435" t="s">
        <v>573</v>
      </c>
    </row>
    <row r="159" spans="12:13">
      <c r="L159" t="s">
        <v>574</v>
      </c>
      <c r="M159" s="435" t="s">
        <v>575</v>
      </c>
    </row>
    <row r="160" spans="12:13">
      <c r="L160" t="s">
        <v>576</v>
      </c>
      <c r="M160" s="435" t="s">
        <v>577</v>
      </c>
    </row>
    <row r="161" spans="12:13">
      <c r="L161" t="s">
        <v>578</v>
      </c>
      <c r="M161" s="435" t="s">
        <v>579</v>
      </c>
    </row>
    <row r="162" spans="12:13">
      <c r="L162" t="s">
        <v>580</v>
      </c>
      <c r="M162" s="435" t="s">
        <v>581</v>
      </c>
    </row>
    <row r="163" spans="12:13">
      <c r="L163" t="s">
        <v>582</v>
      </c>
      <c r="M163" s="435" t="s">
        <v>583</v>
      </c>
    </row>
    <row r="164" spans="12:13">
      <c r="L164" t="s">
        <v>584</v>
      </c>
      <c r="M164" s="435" t="s">
        <v>585</v>
      </c>
    </row>
    <row r="165" spans="12:13">
      <c r="L165" t="s">
        <v>586</v>
      </c>
      <c r="M165" s="435" t="s">
        <v>587</v>
      </c>
    </row>
    <row r="166" spans="12:13">
      <c r="L166" t="s">
        <v>588</v>
      </c>
      <c r="M166" s="435" t="s">
        <v>589</v>
      </c>
    </row>
    <row r="167" spans="12:13">
      <c r="L167" t="s">
        <v>590</v>
      </c>
      <c r="M167" s="435" t="s">
        <v>591</v>
      </c>
    </row>
    <row r="168" spans="12:13">
      <c r="L168" t="s">
        <v>592</v>
      </c>
      <c r="M168" s="435" t="s">
        <v>579</v>
      </c>
    </row>
    <row r="169" spans="12:13">
      <c r="L169" t="s">
        <v>593</v>
      </c>
      <c r="M169" s="435" t="s">
        <v>577</v>
      </c>
    </row>
    <row r="170" spans="12:13">
      <c r="L170" t="s">
        <v>594</v>
      </c>
      <c r="M170" s="435" t="s">
        <v>581</v>
      </c>
    </row>
    <row r="171" spans="12:13">
      <c r="L171" t="s">
        <v>595</v>
      </c>
      <c r="M171" s="435" t="s">
        <v>596</v>
      </c>
    </row>
    <row r="172" spans="12:13">
      <c r="L172" t="s">
        <v>597</v>
      </c>
      <c r="M172" s="435" t="s">
        <v>598</v>
      </c>
    </row>
    <row r="173" spans="12:13">
      <c r="L173" t="s">
        <v>599</v>
      </c>
      <c r="M173" s="435" t="s">
        <v>529</v>
      </c>
    </row>
    <row r="174" spans="12:13">
      <c r="L174" t="s">
        <v>600</v>
      </c>
      <c r="M174" s="435" t="s">
        <v>527</v>
      </c>
    </row>
    <row r="175" spans="12:13">
      <c r="L175" t="s">
        <v>601</v>
      </c>
      <c r="M175" s="435" t="s">
        <v>531</v>
      </c>
    </row>
    <row r="176" spans="12:13">
      <c r="L176" t="s">
        <v>602</v>
      </c>
      <c r="M176" s="435" t="s">
        <v>535</v>
      </c>
    </row>
    <row r="177" spans="12:13">
      <c r="L177" t="s">
        <v>603</v>
      </c>
      <c r="M177" s="435" t="s">
        <v>533</v>
      </c>
    </row>
    <row r="178" spans="12:13">
      <c r="L178" t="s">
        <v>604</v>
      </c>
      <c r="M178" s="435" t="s">
        <v>585</v>
      </c>
    </row>
    <row r="179" spans="12:13">
      <c r="L179" t="s">
        <v>605</v>
      </c>
      <c r="M179" s="435" t="s">
        <v>537</v>
      </c>
    </row>
    <row r="180" spans="12:13">
      <c r="L180" t="s">
        <v>606</v>
      </c>
      <c r="M180" s="435" t="s">
        <v>571</v>
      </c>
    </row>
    <row r="181" spans="12:13">
      <c r="L181" t="s">
        <v>607</v>
      </c>
      <c r="M181" s="435" t="s">
        <v>575</v>
      </c>
    </row>
    <row r="182" spans="12:13">
      <c r="L182" t="s">
        <v>608</v>
      </c>
      <c r="M182" s="435" t="s">
        <v>587</v>
      </c>
    </row>
    <row r="183" spans="12:13">
      <c r="L183" t="s">
        <v>609</v>
      </c>
      <c r="M183" s="435" t="s">
        <v>567</v>
      </c>
    </row>
    <row r="184" spans="12:13">
      <c r="L184" t="s">
        <v>610</v>
      </c>
      <c r="M184" s="435" t="s">
        <v>569</v>
      </c>
    </row>
    <row r="185" spans="12:13">
      <c r="L185" t="s">
        <v>611</v>
      </c>
      <c r="M185" s="435" t="s">
        <v>612</v>
      </c>
    </row>
    <row r="186" spans="12:13">
      <c r="L186" t="s">
        <v>613</v>
      </c>
      <c r="M186" s="435" t="s">
        <v>614</v>
      </c>
    </row>
    <row r="187" spans="12:13">
      <c r="L187" t="s">
        <v>615</v>
      </c>
      <c r="M187" s="435" t="s">
        <v>555</v>
      </c>
    </row>
    <row r="188" spans="12:13">
      <c r="L188" t="s">
        <v>616</v>
      </c>
      <c r="M188" s="435" t="s">
        <v>559</v>
      </c>
    </row>
    <row r="189" spans="12:13">
      <c r="L189" t="s">
        <v>617</v>
      </c>
      <c r="M189" s="435" t="s">
        <v>618</v>
      </c>
    </row>
    <row r="190" spans="12:13">
      <c r="L190" t="s">
        <v>619</v>
      </c>
      <c r="M190" s="435" t="s">
        <v>561</v>
      </c>
    </row>
    <row r="191" spans="12:13">
      <c r="L191" t="s">
        <v>620</v>
      </c>
      <c r="M191" s="435" t="s">
        <v>621</v>
      </c>
    </row>
    <row r="192" spans="12:13">
      <c r="L192" t="s">
        <v>622</v>
      </c>
      <c r="M192" s="435" t="s">
        <v>549</v>
      </c>
    </row>
    <row r="193" spans="12:13">
      <c r="L193" t="s">
        <v>623</v>
      </c>
      <c r="M193" s="435" t="s">
        <v>624</v>
      </c>
    </row>
    <row r="194" spans="12:13">
      <c r="L194" t="s">
        <v>625</v>
      </c>
      <c r="M194" s="435" t="s">
        <v>551</v>
      </c>
    </row>
    <row r="195" spans="12:13">
      <c r="L195" t="s">
        <v>626</v>
      </c>
      <c r="M195" s="435" t="s">
        <v>523</v>
      </c>
    </row>
    <row r="196" spans="12:13">
      <c r="L196" t="s">
        <v>627</v>
      </c>
      <c r="M196" s="435" t="s">
        <v>591</v>
      </c>
    </row>
    <row r="197" spans="12:13">
      <c r="L197" t="s">
        <v>628</v>
      </c>
      <c r="M197" s="435" t="s">
        <v>541</v>
      </c>
    </row>
    <row r="198" spans="12:13">
      <c r="L198" t="s">
        <v>629</v>
      </c>
      <c r="M198" s="435" t="s">
        <v>539</v>
      </c>
    </row>
    <row r="199" spans="12:13">
      <c r="L199" t="s">
        <v>630</v>
      </c>
      <c r="M199" s="435" t="s">
        <v>545</v>
      </c>
    </row>
    <row r="200" spans="12:13">
      <c r="L200" t="s">
        <v>631</v>
      </c>
      <c r="M200" s="435" t="s">
        <v>596</v>
      </c>
    </row>
    <row r="201" spans="12:13">
      <c r="L201" t="s">
        <v>632</v>
      </c>
      <c r="M201" s="435" t="s">
        <v>598</v>
      </c>
    </row>
    <row r="202" spans="12:13">
      <c r="L202" t="s">
        <v>633</v>
      </c>
      <c r="M202" s="435" t="s">
        <v>563</v>
      </c>
    </row>
    <row r="203" spans="12:13">
      <c r="L203" t="s">
        <v>634</v>
      </c>
      <c r="M203" s="435" t="s">
        <v>635</v>
      </c>
    </row>
    <row r="204" spans="12:13">
      <c r="L204" t="s">
        <v>636</v>
      </c>
      <c r="M204" s="435" t="s">
        <v>637</v>
      </c>
    </row>
    <row r="205" spans="12:13">
      <c r="L205" t="s">
        <v>638</v>
      </c>
      <c r="M205" s="435" t="s">
        <v>639</v>
      </c>
    </row>
    <row r="206" spans="12:13">
      <c r="L206" t="s">
        <v>640</v>
      </c>
      <c r="M206" s="435" t="s">
        <v>641</v>
      </c>
    </row>
    <row r="207" spans="12:13">
      <c r="L207" t="s">
        <v>642</v>
      </c>
      <c r="M207" s="435" t="s">
        <v>643</v>
      </c>
    </row>
    <row r="208" spans="12:13">
      <c r="L208" t="s">
        <v>644</v>
      </c>
      <c r="M208" s="435" t="s">
        <v>645</v>
      </c>
    </row>
    <row r="209" spans="12:13">
      <c r="L209" t="s">
        <v>646</v>
      </c>
      <c r="M209" s="435" t="s">
        <v>647</v>
      </c>
    </row>
    <row r="210" spans="12:13">
      <c r="L210" t="s">
        <v>648</v>
      </c>
      <c r="M210" s="435" t="s">
        <v>649</v>
      </c>
    </row>
    <row r="211" spans="12:13">
      <c r="L211" t="s">
        <v>650</v>
      </c>
      <c r="M211" s="435" t="s">
        <v>651</v>
      </c>
    </row>
    <row r="212" spans="12:13">
      <c r="L212" t="s">
        <v>652</v>
      </c>
      <c r="M212" s="435" t="s">
        <v>653</v>
      </c>
    </row>
    <row r="213" spans="12:13">
      <c r="L213" t="s">
        <v>654</v>
      </c>
      <c r="M213" s="435" t="s">
        <v>655</v>
      </c>
    </row>
    <row r="214" spans="12:13">
      <c r="L214" t="s">
        <v>656</v>
      </c>
      <c r="M214" s="435" t="s">
        <v>657</v>
      </c>
    </row>
    <row r="215" spans="12:13">
      <c r="L215" t="s">
        <v>658</v>
      </c>
      <c r="M215" s="435" t="s">
        <v>659</v>
      </c>
    </row>
    <row r="216" spans="12:13">
      <c r="L216" t="s">
        <v>660</v>
      </c>
      <c r="M216" s="435" t="s">
        <v>661</v>
      </c>
    </row>
    <row r="217" spans="12:13">
      <c r="L217" t="s">
        <v>662</v>
      </c>
      <c r="M217" s="435" t="s">
        <v>663</v>
      </c>
    </row>
    <row r="218" spans="12:13">
      <c r="L218" t="s">
        <v>664</v>
      </c>
      <c r="M218" s="435" t="s">
        <v>665</v>
      </c>
    </row>
    <row r="219" spans="12:13">
      <c r="L219" t="s">
        <v>666</v>
      </c>
      <c r="M219" s="435" t="s">
        <v>667</v>
      </c>
    </row>
    <row r="220" spans="12:13">
      <c r="L220" t="s">
        <v>668</v>
      </c>
      <c r="M220" s="435" t="s">
        <v>669</v>
      </c>
    </row>
    <row r="221" spans="12:13">
      <c r="L221" t="s">
        <v>670</v>
      </c>
      <c r="M221" s="435" t="s">
        <v>645</v>
      </c>
    </row>
    <row r="222" spans="12:13">
      <c r="L222" t="s">
        <v>671</v>
      </c>
      <c r="M222" s="435" t="s">
        <v>643</v>
      </c>
    </row>
    <row r="223" spans="12:13">
      <c r="L223" t="s">
        <v>672</v>
      </c>
      <c r="M223" s="435" t="s">
        <v>647</v>
      </c>
    </row>
    <row r="224" spans="12:13">
      <c r="L224" t="s">
        <v>673</v>
      </c>
      <c r="M224" s="435" t="s">
        <v>661</v>
      </c>
    </row>
    <row r="225" spans="12:13">
      <c r="L225" t="s">
        <v>674</v>
      </c>
      <c r="M225" s="435" t="s">
        <v>659</v>
      </c>
    </row>
    <row r="226" spans="12:13">
      <c r="L226" t="s">
        <v>675</v>
      </c>
      <c r="M226" s="435" t="s">
        <v>663</v>
      </c>
    </row>
    <row r="227" spans="12:13">
      <c r="L227" t="s">
        <v>676</v>
      </c>
      <c r="M227" s="435" t="s">
        <v>655</v>
      </c>
    </row>
    <row r="228" spans="12:13">
      <c r="L228" t="s">
        <v>677</v>
      </c>
      <c r="M228" s="435" t="s">
        <v>635</v>
      </c>
    </row>
    <row r="229" spans="12:13">
      <c r="L229" t="s">
        <v>678</v>
      </c>
      <c r="M229" s="435" t="s">
        <v>679</v>
      </c>
    </row>
    <row r="230" spans="12:13">
      <c r="L230" t="s">
        <v>680</v>
      </c>
      <c r="M230" s="435" t="s">
        <v>681</v>
      </c>
    </row>
    <row r="231" spans="12:13">
      <c r="L231" t="s">
        <v>682</v>
      </c>
      <c r="M231" s="435" t="s">
        <v>683</v>
      </c>
    </row>
    <row r="232" spans="12:13">
      <c r="L232" t="s">
        <v>684</v>
      </c>
      <c r="M232" s="435" t="s">
        <v>685</v>
      </c>
    </row>
    <row r="233" spans="12:13">
      <c r="L233" t="s">
        <v>686</v>
      </c>
      <c r="M233" s="435" t="s">
        <v>687</v>
      </c>
    </row>
    <row r="234" spans="12:13">
      <c r="L234" t="s">
        <v>688</v>
      </c>
      <c r="M234" s="435" t="s">
        <v>689</v>
      </c>
    </row>
    <row r="235" spans="12:13">
      <c r="L235" t="s">
        <v>690</v>
      </c>
      <c r="M235" s="435" t="s">
        <v>691</v>
      </c>
    </row>
    <row r="236" spans="12:13">
      <c r="L236" t="s">
        <v>692</v>
      </c>
      <c r="M236" s="435" t="s">
        <v>693</v>
      </c>
    </row>
    <row r="237" spans="12:13">
      <c r="L237" t="s">
        <v>694</v>
      </c>
      <c r="M237" s="435" t="s">
        <v>695</v>
      </c>
    </row>
    <row r="238" spans="12:13">
      <c r="L238" t="s">
        <v>696</v>
      </c>
      <c r="M238" s="435" t="s">
        <v>697</v>
      </c>
    </row>
    <row r="239" spans="12:13">
      <c r="L239" t="s">
        <v>698</v>
      </c>
      <c r="M239" s="435" t="s">
        <v>699</v>
      </c>
    </row>
    <row r="240" spans="12:13">
      <c r="L240" t="s">
        <v>700</v>
      </c>
      <c r="M240" s="435" t="s">
        <v>701</v>
      </c>
    </row>
    <row r="241" spans="12:13">
      <c r="L241" t="s">
        <v>702</v>
      </c>
      <c r="M241" s="435" t="s">
        <v>703</v>
      </c>
    </row>
    <row r="242" spans="12:13">
      <c r="L242" t="s">
        <v>704</v>
      </c>
      <c r="M242" s="435" t="s">
        <v>705</v>
      </c>
    </row>
    <row r="243" spans="12:13">
      <c r="L243" t="s">
        <v>706</v>
      </c>
      <c r="M243" s="435" t="s">
        <v>707</v>
      </c>
    </row>
    <row r="244" spans="12:13">
      <c r="L244" t="s">
        <v>708</v>
      </c>
      <c r="M244" s="435" t="s">
        <v>709</v>
      </c>
    </row>
    <row r="245" spans="12:13">
      <c r="L245" t="s">
        <v>710</v>
      </c>
      <c r="M245" s="435" t="s">
        <v>711</v>
      </c>
    </row>
    <row r="246" spans="12:13">
      <c r="L246" t="s">
        <v>712</v>
      </c>
      <c r="M246" s="435" t="s">
        <v>713</v>
      </c>
    </row>
    <row r="247" spans="12:13">
      <c r="L247" t="s">
        <v>714</v>
      </c>
      <c r="M247" s="435" t="s">
        <v>715</v>
      </c>
    </row>
    <row r="248" spans="12:13">
      <c r="L248" t="s">
        <v>716</v>
      </c>
      <c r="M248" s="435" t="s">
        <v>717</v>
      </c>
    </row>
    <row r="249" spans="12:13">
      <c r="L249" t="s">
        <v>718</v>
      </c>
      <c r="M249" s="435" t="s">
        <v>719</v>
      </c>
    </row>
    <row r="250" spans="12:13">
      <c r="L250" t="s">
        <v>720</v>
      </c>
      <c r="M250" s="435" t="s">
        <v>721</v>
      </c>
    </row>
    <row r="251" spans="12:13">
      <c r="L251" t="s">
        <v>722</v>
      </c>
      <c r="M251" s="435" t="s">
        <v>723</v>
      </c>
    </row>
    <row r="252" spans="12:13">
      <c r="L252" t="s">
        <v>724</v>
      </c>
      <c r="M252" s="435" t="s">
        <v>725</v>
      </c>
    </row>
    <row r="253" spans="12:13">
      <c r="L253" t="s">
        <v>726</v>
      </c>
      <c r="M253" s="435" t="s">
        <v>727</v>
      </c>
    </row>
    <row r="254" spans="12:13">
      <c r="L254" t="s">
        <v>728</v>
      </c>
      <c r="M254" s="435" t="s">
        <v>729</v>
      </c>
    </row>
    <row r="255" spans="12:13">
      <c r="L255" t="s">
        <v>730</v>
      </c>
      <c r="M255" s="435" t="s">
        <v>731</v>
      </c>
    </row>
    <row r="256" spans="12:13">
      <c r="L256" t="s">
        <v>732</v>
      </c>
      <c r="M256" s="435" t="s">
        <v>731</v>
      </c>
    </row>
    <row r="257" spans="12:13">
      <c r="L257" t="s">
        <v>733</v>
      </c>
      <c r="M257" s="435" t="s">
        <v>734</v>
      </c>
    </row>
    <row r="258" spans="12:13">
      <c r="L258" t="s">
        <v>735</v>
      </c>
      <c r="M258" s="435" t="s">
        <v>729</v>
      </c>
    </row>
    <row r="259" spans="12:13">
      <c r="L259" t="s">
        <v>736</v>
      </c>
      <c r="M259" s="435" t="s">
        <v>737</v>
      </c>
    </row>
    <row r="260" spans="12:13">
      <c r="L260" t="s">
        <v>738</v>
      </c>
      <c r="M260" s="435" t="s">
        <v>739</v>
      </c>
    </row>
    <row r="261" spans="12:13">
      <c r="L261" t="s">
        <v>740</v>
      </c>
      <c r="M261" s="435" t="s">
        <v>741</v>
      </c>
    </row>
    <row r="262" spans="12:13">
      <c r="L262" t="s">
        <v>742</v>
      </c>
      <c r="M262" s="435" t="s">
        <v>743</v>
      </c>
    </row>
    <row r="263" spans="12:13">
      <c r="L263" t="s">
        <v>744</v>
      </c>
      <c r="M263" s="435" t="s">
        <v>745</v>
      </c>
    </row>
    <row r="264" spans="12:13">
      <c r="L264" t="s">
        <v>746</v>
      </c>
      <c r="M264" s="435" t="s">
        <v>745</v>
      </c>
    </row>
    <row r="265" spans="12:13">
      <c r="L265" t="s">
        <v>747</v>
      </c>
      <c r="M265" s="435" t="s">
        <v>748</v>
      </c>
    </row>
    <row r="266" spans="12:13">
      <c r="L266" t="s">
        <v>749</v>
      </c>
      <c r="M266" s="435" t="s">
        <v>750</v>
      </c>
    </row>
    <row r="267" spans="12:13">
      <c r="L267" t="s">
        <v>751</v>
      </c>
      <c r="M267" s="435" t="s">
        <v>752</v>
      </c>
    </row>
    <row r="268" spans="12:13">
      <c r="L268" t="s">
        <v>753</v>
      </c>
      <c r="M268" s="435" t="s">
        <v>754</v>
      </c>
    </row>
    <row r="269" spans="12:13">
      <c r="L269" t="s">
        <v>755</v>
      </c>
      <c r="M269" s="435" t="s">
        <v>756</v>
      </c>
    </row>
    <row r="270" spans="12:13">
      <c r="L270" t="s">
        <v>757</v>
      </c>
      <c r="M270" s="435" t="s">
        <v>752</v>
      </c>
    </row>
    <row r="271" spans="12:13">
      <c r="L271" t="s">
        <v>758</v>
      </c>
      <c r="M271" s="435" t="s">
        <v>759</v>
      </c>
    </row>
    <row r="272" spans="12:13">
      <c r="L272" t="s">
        <v>760</v>
      </c>
      <c r="M272" s="435" t="s">
        <v>761</v>
      </c>
    </row>
    <row r="273" spans="12:13">
      <c r="L273" t="s">
        <v>762</v>
      </c>
      <c r="M273" s="435" t="s">
        <v>763</v>
      </c>
    </row>
    <row r="274" spans="12:13">
      <c r="L274" t="s">
        <v>764</v>
      </c>
      <c r="M274" s="435" t="s">
        <v>765</v>
      </c>
    </row>
    <row r="275" spans="12:13">
      <c r="L275" t="s">
        <v>766</v>
      </c>
      <c r="M275" s="435" t="s">
        <v>767</v>
      </c>
    </row>
    <row r="276" spans="12:13">
      <c r="L276" t="s">
        <v>768</v>
      </c>
      <c r="M276" s="435" t="s">
        <v>761</v>
      </c>
    </row>
    <row r="277" spans="12:13">
      <c r="L277" t="s">
        <v>769</v>
      </c>
      <c r="M277" s="435" t="s">
        <v>763</v>
      </c>
    </row>
    <row r="278" spans="12:13">
      <c r="L278" t="s">
        <v>770</v>
      </c>
      <c r="M278" s="435" t="s">
        <v>765</v>
      </c>
    </row>
    <row r="279" spans="12:13">
      <c r="L279" t="s">
        <v>771</v>
      </c>
      <c r="M279" s="435" t="s">
        <v>772</v>
      </c>
    </row>
    <row r="280" spans="12:13">
      <c r="L280" t="s">
        <v>773</v>
      </c>
      <c r="M280" s="435" t="s">
        <v>774</v>
      </c>
    </row>
    <row r="281" spans="12:13">
      <c r="L281" t="s">
        <v>775</v>
      </c>
      <c r="M281" s="435" t="s">
        <v>776</v>
      </c>
    </row>
    <row r="282" spans="12:13">
      <c r="L282" t="s">
        <v>777</v>
      </c>
      <c r="M282" s="435" t="s">
        <v>778</v>
      </c>
    </row>
    <row r="283" spans="12:13">
      <c r="L283" t="s">
        <v>779</v>
      </c>
      <c r="M283" s="435" t="s">
        <v>780</v>
      </c>
    </row>
    <row r="284" spans="12:13">
      <c r="L284" t="s">
        <v>781</v>
      </c>
      <c r="M284" s="435" t="s">
        <v>782</v>
      </c>
    </row>
    <row r="285" spans="12:13">
      <c r="L285" t="s">
        <v>783</v>
      </c>
      <c r="M285" s="435" t="s">
        <v>784</v>
      </c>
    </row>
    <row r="286" spans="12:13">
      <c r="L286" t="s">
        <v>785</v>
      </c>
      <c r="M286" s="435" t="s">
        <v>786</v>
      </c>
    </row>
    <row r="287" spans="12:13">
      <c r="L287" t="s">
        <v>787</v>
      </c>
      <c r="M287" s="435" t="s">
        <v>778</v>
      </c>
    </row>
    <row r="288" spans="12:13">
      <c r="L288" t="s">
        <v>788</v>
      </c>
      <c r="M288" s="435" t="s">
        <v>784</v>
      </c>
    </row>
    <row r="289" spans="12:13">
      <c r="L289" t="s">
        <v>789</v>
      </c>
      <c r="M289" s="435" t="s">
        <v>790</v>
      </c>
    </row>
    <row r="290" spans="12:13">
      <c r="L290" t="s">
        <v>791</v>
      </c>
      <c r="M290" s="435" t="s">
        <v>790</v>
      </c>
    </row>
    <row r="291" spans="12:13">
      <c r="L291" t="s">
        <v>792</v>
      </c>
      <c r="M291" s="435" t="s">
        <v>793</v>
      </c>
    </row>
    <row r="292" spans="12:13">
      <c r="L292" t="s">
        <v>794</v>
      </c>
      <c r="M292" s="435" t="s">
        <v>795</v>
      </c>
    </row>
    <row r="293" spans="12:13">
      <c r="L293" t="s">
        <v>796</v>
      </c>
      <c r="M293" s="435" t="s">
        <v>795</v>
      </c>
    </row>
    <row r="294" spans="12:13">
      <c r="L294" t="s">
        <v>797</v>
      </c>
      <c r="M294" s="435" t="s">
        <v>793</v>
      </c>
    </row>
    <row r="295" spans="12:13">
      <c r="L295" t="s">
        <v>798</v>
      </c>
      <c r="M295" s="435" t="s">
        <v>799</v>
      </c>
    </row>
    <row r="296" spans="12:13">
      <c r="L296" t="s">
        <v>800</v>
      </c>
      <c r="M296" s="435" t="s">
        <v>801</v>
      </c>
    </row>
    <row r="297" spans="12:13">
      <c r="L297" t="s">
        <v>802</v>
      </c>
      <c r="M297" s="435" t="s">
        <v>803</v>
      </c>
    </row>
    <row r="298" spans="12:13">
      <c r="L298" t="s">
        <v>804</v>
      </c>
      <c r="M298" s="435" t="s">
        <v>805</v>
      </c>
    </row>
    <row r="299" spans="12:13">
      <c r="L299" t="s">
        <v>806</v>
      </c>
      <c r="M299" s="435" t="s">
        <v>807</v>
      </c>
    </row>
    <row r="300" spans="12:13">
      <c r="L300" t="s">
        <v>808</v>
      </c>
      <c r="M300" s="435" t="s">
        <v>809</v>
      </c>
    </row>
    <row r="301" spans="12:13">
      <c r="L301" t="s">
        <v>810</v>
      </c>
      <c r="M301" s="435" t="s">
        <v>807</v>
      </c>
    </row>
    <row r="302" spans="12:13">
      <c r="L302" t="s">
        <v>811</v>
      </c>
      <c r="M302" s="435" t="s">
        <v>809</v>
      </c>
    </row>
    <row r="303" spans="12:13">
      <c r="L303" t="s">
        <v>812</v>
      </c>
      <c r="M303" s="435" t="s">
        <v>801</v>
      </c>
    </row>
    <row r="304" spans="12:13">
      <c r="L304" t="s">
        <v>813</v>
      </c>
      <c r="M304" s="435" t="s">
        <v>805</v>
      </c>
    </row>
    <row r="305" spans="12:13">
      <c r="L305" t="s">
        <v>814</v>
      </c>
      <c r="M305" s="435" t="s">
        <v>815</v>
      </c>
    </row>
    <row r="306" spans="12:13">
      <c r="L306" t="s">
        <v>816</v>
      </c>
      <c r="M306" s="435" t="s">
        <v>817</v>
      </c>
    </row>
    <row r="307" spans="12:13">
      <c r="L307" t="s">
        <v>818</v>
      </c>
      <c r="M307" s="435" t="s">
        <v>819</v>
      </c>
    </row>
    <row r="308" spans="12:13">
      <c r="L308" t="s">
        <v>820</v>
      </c>
      <c r="M308" s="435" t="s">
        <v>821</v>
      </c>
    </row>
    <row r="309" spans="12:13">
      <c r="L309" t="s">
        <v>822</v>
      </c>
      <c r="M309" s="435" t="s">
        <v>823</v>
      </c>
    </row>
    <row r="310" spans="12:13">
      <c r="L310" t="s">
        <v>824</v>
      </c>
      <c r="M310" s="435" t="s">
        <v>817</v>
      </c>
    </row>
    <row r="311" spans="12:13">
      <c r="L311" t="s">
        <v>825</v>
      </c>
      <c r="M311" s="435" t="s">
        <v>819</v>
      </c>
    </row>
    <row r="312" spans="12:13">
      <c r="L312" t="s">
        <v>826</v>
      </c>
      <c r="M312" s="435" t="s">
        <v>823</v>
      </c>
    </row>
    <row r="313" spans="12:13">
      <c r="L313" t="s">
        <v>827</v>
      </c>
      <c r="M313" s="435" t="s">
        <v>815</v>
      </c>
    </row>
  </sheetData>
  <sortState xmlns:xlrd2="http://schemas.microsoft.com/office/spreadsheetml/2017/richdata2" ref="I12:I58">
    <sortCondition ref="I12:I58"/>
  </sortState>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6"/>
  <sheetViews>
    <sheetView zoomScale="80" zoomScaleNormal="80" workbookViewId="0">
      <pane ySplit="8" topLeftCell="A9" activePane="bottomLeft" state="frozen"/>
      <selection activeCell="F13" sqref="F13"/>
      <selection pane="bottomLeft"/>
    </sheetView>
  </sheetViews>
  <sheetFormatPr defaultRowHeight="14.25"/>
  <cols>
    <col min="1" max="3" width="1.73046875" customWidth="1"/>
    <col min="4" max="4" width="8.1328125" bestFit="1" customWidth="1"/>
    <col min="5" max="5" width="5" bestFit="1" customWidth="1"/>
    <col min="6" max="7" width="5" style="435" customWidth="1"/>
    <col min="8" max="8" width="25.73046875" bestFit="1" customWidth="1"/>
    <col min="9" max="9" width="9.3984375" bestFit="1" customWidth="1"/>
    <col min="10" max="10" width="10.73046875" bestFit="1" customWidth="1"/>
    <col min="11" max="11" width="31.3984375" bestFit="1" customWidth="1"/>
    <col min="12" max="12" width="45.59765625" bestFit="1" customWidth="1"/>
    <col min="13" max="14" width="1.73046875" customWidth="1"/>
    <col min="15" max="15" width="14.86328125" bestFit="1" customWidth="1"/>
    <col min="16" max="17" width="1.73046875" customWidth="1"/>
    <col min="18"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207</v>
      </c>
    </row>
    <row r="6" spans="1:35">
      <c r="AD6" s="435"/>
      <c r="AE6" s="1362" t="s">
        <v>112</v>
      </c>
      <c r="AF6" s="1363"/>
      <c r="AG6" s="1363"/>
      <c r="AH6" s="1363"/>
      <c r="AI6" s="1364"/>
    </row>
    <row r="7" spans="1:35" s="67" customFormat="1">
      <c r="D7" s="87" t="s">
        <v>111</v>
      </c>
      <c r="E7" s="87" t="s">
        <v>68</v>
      </c>
      <c r="F7" s="87" t="s">
        <v>2692</v>
      </c>
      <c r="G7" s="87" t="s">
        <v>2681</v>
      </c>
      <c r="H7" s="87" t="s">
        <v>110</v>
      </c>
      <c r="I7" s="87" t="s">
        <v>109</v>
      </c>
      <c r="J7" s="87" t="s">
        <v>108</v>
      </c>
      <c r="K7" s="87" t="s">
        <v>107</v>
      </c>
      <c r="L7" s="87" t="s">
        <v>106</v>
      </c>
      <c r="M7" s="87" t="s">
        <v>105</v>
      </c>
      <c r="N7" s="87"/>
      <c r="O7" s="87" t="s">
        <v>103</v>
      </c>
      <c r="P7" s="87"/>
      <c r="Q7" s="87"/>
      <c r="R7" s="86" t="s">
        <v>101</v>
      </c>
      <c r="S7" s="86" t="s">
        <v>100</v>
      </c>
      <c r="T7" s="86" t="s">
        <v>99</v>
      </c>
      <c r="U7" s="86" t="s">
        <v>98</v>
      </c>
      <c r="V7" s="86" t="s">
        <v>97</v>
      </c>
      <c r="W7" s="86" t="s">
        <v>96</v>
      </c>
      <c r="X7" s="86" t="s">
        <v>95</v>
      </c>
      <c r="Y7" s="86" t="s">
        <v>94</v>
      </c>
      <c r="Z7" s="86" t="s">
        <v>93</v>
      </c>
      <c r="AA7" s="86" t="s">
        <v>92</v>
      </c>
      <c r="AB7" s="86" t="s">
        <v>91</v>
      </c>
      <c r="AC7" s="67" t="s">
        <v>5</v>
      </c>
      <c r="AE7" s="90">
        <v>2022</v>
      </c>
      <c r="AF7" s="91">
        <v>2023</v>
      </c>
      <c r="AG7" s="91">
        <v>2024</v>
      </c>
      <c r="AH7" s="91">
        <v>2025</v>
      </c>
      <c r="AI7" s="92">
        <v>2026</v>
      </c>
    </row>
    <row r="8" spans="1:35">
      <c r="R8" s="67"/>
      <c r="S8" s="67"/>
      <c r="T8" s="67"/>
      <c r="U8" s="67"/>
    </row>
    <row r="9" spans="1:35" s="1" customFormat="1" ht="17.649999999999999">
      <c r="A9" s="2" t="s">
        <v>6</v>
      </c>
      <c r="B9" s="2"/>
    </row>
    <row r="11" spans="1:35" s="1" customFormat="1" ht="13.9">
      <c r="A11" s="66"/>
      <c r="B11" s="78" t="s">
        <v>2697</v>
      </c>
    </row>
    <row r="12" spans="1:35">
      <c r="B12" s="435"/>
    </row>
    <row r="13" spans="1:35">
      <c r="B13" s="435"/>
      <c r="D13" t="s">
        <v>185</v>
      </c>
      <c r="E13" t="s">
        <v>68</v>
      </c>
      <c r="F13" s="435" t="s">
        <v>274</v>
      </c>
      <c r="G13" s="435" t="s">
        <v>12</v>
      </c>
      <c r="H13" t="s">
        <v>77</v>
      </c>
      <c r="I13" t="s">
        <v>1</v>
      </c>
      <c r="J13" t="s">
        <v>121</v>
      </c>
      <c r="K13" t="s">
        <v>122</v>
      </c>
      <c r="O13" t="s">
        <v>77</v>
      </c>
      <c r="AC13" t="s">
        <v>2</v>
      </c>
      <c r="AD13" s="80"/>
      <c r="AE13" s="93">
        <f>SUMIFS('5.9 Bus_Sup_Alloc'!AE$11:AE$64,'5.9 Bus_Sup_Alloc'!$D$11:$D$64,$D13,'5.9 Bus_Sup_Alloc'!$K$11:$K$64,$K13)</f>
        <v>0</v>
      </c>
      <c r="AF13" s="93">
        <f>SUMIFS('5.9 Bus_Sup_Alloc'!AF$11:AF$64,'5.9 Bus_Sup_Alloc'!$D$11:$D$64,$D13,'5.9 Bus_Sup_Alloc'!$K$11:$K$64,$K13)</f>
        <v>0</v>
      </c>
      <c r="AG13" s="93">
        <f>SUMIFS('5.9 Bus_Sup_Alloc'!AG$11:AG$64,'5.9 Bus_Sup_Alloc'!$D$11:$D$64,$D13,'5.9 Bus_Sup_Alloc'!$K$11:$K$64,$K13)</f>
        <v>0</v>
      </c>
      <c r="AH13" s="93">
        <f>SUMIFS('5.9 Bus_Sup_Alloc'!AH$11:AH$64,'5.9 Bus_Sup_Alloc'!$D$11:$D$64,$D13,'5.9 Bus_Sup_Alloc'!$K$11:$K$64,$K13)</f>
        <v>0</v>
      </c>
      <c r="AI13" s="93">
        <f>SUMIFS('5.9 Bus_Sup_Alloc'!AI$11:AI$64,'5.9 Bus_Sup_Alloc'!$D$11:$D$64,$D13,'5.9 Bus_Sup_Alloc'!$K$11:$K$64,$K13)</f>
        <v>0</v>
      </c>
    </row>
    <row r="14" spans="1:35">
      <c r="B14" s="435"/>
      <c r="D14" t="s">
        <v>185</v>
      </c>
      <c r="E14" t="s">
        <v>68</v>
      </c>
      <c r="F14" s="435" t="s">
        <v>274</v>
      </c>
      <c r="G14" s="435" t="s">
        <v>12</v>
      </c>
      <c r="H14" t="s">
        <v>77</v>
      </c>
      <c r="I14" t="s">
        <v>1</v>
      </c>
      <c r="J14" t="s">
        <v>121</v>
      </c>
      <c r="K14" t="s">
        <v>123</v>
      </c>
      <c r="O14" t="s">
        <v>77</v>
      </c>
      <c r="AC14" t="s">
        <v>2</v>
      </c>
      <c r="AD14" s="80"/>
      <c r="AE14" s="93">
        <f>SUMIFS('5.9 Bus_Sup_Alloc'!AE$11:AE$64,'5.9 Bus_Sup_Alloc'!$D$11:$D$64,$D14,'5.9 Bus_Sup_Alloc'!$K$11:$K$64,$K14)</f>
        <v>0</v>
      </c>
      <c r="AF14" s="93">
        <f>SUMIFS('5.9 Bus_Sup_Alloc'!AF$11:AF$64,'5.9 Bus_Sup_Alloc'!$D$11:$D$64,$D14,'5.9 Bus_Sup_Alloc'!$K$11:$K$64,$K14)</f>
        <v>0</v>
      </c>
      <c r="AG14" s="93">
        <f>SUMIFS('5.9 Bus_Sup_Alloc'!AG$11:AG$64,'5.9 Bus_Sup_Alloc'!$D$11:$D$64,$D14,'5.9 Bus_Sup_Alloc'!$K$11:$K$64,$K14)</f>
        <v>0</v>
      </c>
      <c r="AH14" s="93">
        <f>SUMIFS('5.9 Bus_Sup_Alloc'!AH$11:AH$64,'5.9 Bus_Sup_Alloc'!$D$11:$D$64,$D14,'5.9 Bus_Sup_Alloc'!$K$11:$K$64,$K14)</f>
        <v>0</v>
      </c>
      <c r="AI14" s="93">
        <f>SUMIFS('5.9 Bus_Sup_Alloc'!AI$11:AI$64,'5.9 Bus_Sup_Alloc'!$D$11:$D$64,$D14,'5.9 Bus_Sup_Alloc'!$K$11:$K$64,$K14)</f>
        <v>0</v>
      </c>
    </row>
    <row r="15" spans="1:35">
      <c r="B15" s="435"/>
      <c r="D15" t="s">
        <v>185</v>
      </c>
      <c r="E15" t="s">
        <v>68</v>
      </c>
      <c r="F15" s="435" t="s">
        <v>274</v>
      </c>
      <c r="G15" s="435" t="s">
        <v>12</v>
      </c>
      <c r="H15" t="s">
        <v>77</v>
      </c>
      <c r="I15" t="s">
        <v>1</v>
      </c>
      <c r="J15" t="s">
        <v>121</v>
      </c>
      <c r="K15" t="s">
        <v>124</v>
      </c>
      <c r="O15" t="s">
        <v>77</v>
      </c>
      <c r="AC15" t="s">
        <v>2</v>
      </c>
      <c r="AD15" s="80"/>
      <c r="AE15" s="93">
        <f>SUMIFS('5.9 Bus_Sup_Alloc'!AE$11:AE$64,'5.9 Bus_Sup_Alloc'!$D$11:$D$64,$D15,'5.9 Bus_Sup_Alloc'!$K$11:$K$64,$K15)</f>
        <v>0</v>
      </c>
      <c r="AF15" s="93">
        <f>SUMIFS('5.9 Bus_Sup_Alloc'!AF$11:AF$64,'5.9 Bus_Sup_Alloc'!$D$11:$D$64,$D15,'5.9 Bus_Sup_Alloc'!$K$11:$K$64,$K15)</f>
        <v>0</v>
      </c>
      <c r="AG15" s="93">
        <f>SUMIFS('5.9 Bus_Sup_Alloc'!AG$11:AG$64,'5.9 Bus_Sup_Alloc'!$D$11:$D$64,$D15,'5.9 Bus_Sup_Alloc'!$K$11:$K$64,$K15)</f>
        <v>0</v>
      </c>
      <c r="AH15" s="93">
        <f>SUMIFS('5.9 Bus_Sup_Alloc'!AH$11:AH$64,'5.9 Bus_Sup_Alloc'!$D$11:$D$64,$D15,'5.9 Bus_Sup_Alloc'!$K$11:$K$64,$K15)</f>
        <v>0</v>
      </c>
      <c r="AI15" s="93">
        <f>SUMIFS('5.9 Bus_Sup_Alloc'!AI$11:AI$64,'5.9 Bus_Sup_Alloc'!$D$11:$D$64,$D15,'5.9 Bus_Sup_Alloc'!$K$11:$K$64,$K15)</f>
        <v>0</v>
      </c>
    </row>
    <row r="16" spans="1:35">
      <c r="B16" s="435"/>
      <c r="D16" t="s">
        <v>185</v>
      </c>
      <c r="E16" t="s">
        <v>68</v>
      </c>
      <c r="F16" s="435" t="s">
        <v>274</v>
      </c>
      <c r="G16" s="435" t="s">
        <v>12</v>
      </c>
      <c r="H16" t="s">
        <v>77</v>
      </c>
      <c r="I16" t="s">
        <v>1</v>
      </c>
      <c r="J16" t="s">
        <v>121</v>
      </c>
      <c r="K16" t="s">
        <v>125</v>
      </c>
      <c r="O16" t="s">
        <v>77</v>
      </c>
      <c r="AC16" t="s">
        <v>2</v>
      </c>
      <c r="AD16" s="80"/>
      <c r="AE16" s="93">
        <f>SUMIFS('5.9 Bus_Sup_Alloc'!AE$11:AE$64,'5.9 Bus_Sup_Alloc'!$D$11:$D$64,$D16,'5.9 Bus_Sup_Alloc'!$K$11:$K$64,$K16)</f>
        <v>0</v>
      </c>
      <c r="AF16" s="93">
        <f>SUMIFS('5.9 Bus_Sup_Alloc'!AF$11:AF$64,'5.9 Bus_Sup_Alloc'!$D$11:$D$64,$D16,'5.9 Bus_Sup_Alloc'!$K$11:$K$64,$K16)</f>
        <v>0</v>
      </c>
      <c r="AG16" s="93">
        <f>SUMIFS('5.9 Bus_Sup_Alloc'!AG$11:AG$64,'5.9 Bus_Sup_Alloc'!$D$11:$D$64,$D16,'5.9 Bus_Sup_Alloc'!$K$11:$K$64,$K16)</f>
        <v>0</v>
      </c>
      <c r="AH16" s="93">
        <f>SUMIFS('5.9 Bus_Sup_Alloc'!AH$11:AH$64,'5.9 Bus_Sup_Alloc'!$D$11:$D$64,$D16,'5.9 Bus_Sup_Alloc'!$K$11:$K$64,$K16)</f>
        <v>0</v>
      </c>
      <c r="AI16" s="93">
        <f>SUMIFS('5.9 Bus_Sup_Alloc'!AI$11:AI$64,'5.9 Bus_Sup_Alloc'!$D$11:$D$64,$D16,'5.9 Bus_Sup_Alloc'!$K$11:$K$64,$K16)</f>
        <v>0</v>
      </c>
    </row>
    <row r="17" spans="1:35">
      <c r="B17" s="435"/>
      <c r="D17" t="s">
        <v>185</v>
      </c>
      <c r="E17" t="s">
        <v>68</v>
      </c>
      <c r="F17" s="435" t="s">
        <v>274</v>
      </c>
      <c r="G17" s="435" t="s">
        <v>12</v>
      </c>
      <c r="H17" t="s">
        <v>77</v>
      </c>
      <c r="I17" t="s">
        <v>1</v>
      </c>
      <c r="J17" t="s">
        <v>121</v>
      </c>
      <c r="K17" t="s">
        <v>126</v>
      </c>
      <c r="O17" t="s">
        <v>77</v>
      </c>
      <c r="AC17" t="s">
        <v>2</v>
      </c>
      <c r="AD17" s="80"/>
      <c r="AE17" s="93">
        <f>SUMIFS('5.9 Bus_Sup_Alloc'!AE$11:AE$64,'5.9 Bus_Sup_Alloc'!$D$11:$D$64,$D17,'5.9 Bus_Sup_Alloc'!$K$11:$K$64,$K17)</f>
        <v>0</v>
      </c>
      <c r="AF17" s="93">
        <f>SUMIFS('5.9 Bus_Sup_Alloc'!AF$11:AF$64,'5.9 Bus_Sup_Alloc'!$D$11:$D$64,$D17,'5.9 Bus_Sup_Alloc'!$K$11:$K$64,$K17)</f>
        <v>0</v>
      </c>
      <c r="AG17" s="93">
        <f>SUMIFS('5.9 Bus_Sup_Alloc'!AG$11:AG$64,'5.9 Bus_Sup_Alloc'!$D$11:$D$64,$D17,'5.9 Bus_Sup_Alloc'!$K$11:$K$64,$K17)</f>
        <v>0</v>
      </c>
      <c r="AH17" s="93">
        <f>SUMIFS('5.9 Bus_Sup_Alloc'!AH$11:AH$64,'5.9 Bus_Sup_Alloc'!$D$11:$D$64,$D17,'5.9 Bus_Sup_Alloc'!$K$11:$K$64,$K17)</f>
        <v>0</v>
      </c>
      <c r="AI17" s="93">
        <f>SUMIFS('5.9 Bus_Sup_Alloc'!AI$11:AI$64,'5.9 Bus_Sup_Alloc'!$D$11:$D$64,$D17,'5.9 Bus_Sup_Alloc'!$K$11:$K$64,$K17)</f>
        <v>0</v>
      </c>
    </row>
    <row r="18" spans="1:35">
      <c r="B18" s="435"/>
      <c r="D18" t="s">
        <v>185</v>
      </c>
      <c r="E18" t="s">
        <v>68</v>
      </c>
      <c r="F18" s="435" t="s">
        <v>274</v>
      </c>
      <c r="G18" s="435" t="s">
        <v>12</v>
      </c>
      <c r="H18" t="s">
        <v>77</v>
      </c>
      <c r="I18" t="s">
        <v>1</v>
      </c>
      <c r="J18" t="s">
        <v>121</v>
      </c>
      <c r="K18" t="s">
        <v>127</v>
      </c>
      <c r="O18" t="s">
        <v>77</v>
      </c>
      <c r="AC18" t="s">
        <v>2</v>
      </c>
      <c r="AD18" s="80"/>
      <c r="AE18" s="93">
        <f>SUMIFS('5.9 Bus_Sup_Alloc'!AE$11:AE$64,'5.9 Bus_Sup_Alloc'!$D$11:$D$64,$D18,'5.9 Bus_Sup_Alloc'!$K$11:$K$64,$K18)</f>
        <v>0</v>
      </c>
      <c r="AF18" s="93">
        <f>SUMIFS('5.9 Bus_Sup_Alloc'!AF$11:AF$64,'5.9 Bus_Sup_Alloc'!$D$11:$D$64,$D18,'5.9 Bus_Sup_Alloc'!$K$11:$K$64,$K18)</f>
        <v>0</v>
      </c>
      <c r="AG18" s="93">
        <f>SUMIFS('5.9 Bus_Sup_Alloc'!AG$11:AG$64,'5.9 Bus_Sup_Alloc'!$D$11:$D$64,$D18,'5.9 Bus_Sup_Alloc'!$K$11:$K$64,$K18)</f>
        <v>0</v>
      </c>
      <c r="AH18" s="93">
        <f>SUMIFS('5.9 Bus_Sup_Alloc'!AH$11:AH$64,'5.9 Bus_Sup_Alloc'!$D$11:$D$64,$D18,'5.9 Bus_Sup_Alloc'!$K$11:$K$64,$K18)</f>
        <v>0</v>
      </c>
      <c r="AI18" s="93">
        <f>SUMIFS('5.9 Bus_Sup_Alloc'!AI$11:AI$64,'5.9 Bus_Sup_Alloc'!$D$11:$D$64,$D18,'5.9 Bus_Sup_Alloc'!$K$11:$K$64,$K18)</f>
        <v>0</v>
      </c>
    </row>
    <row r="19" spans="1:35">
      <c r="B19" s="435"/>
      <c r="D19" t="s">
        <v>185</v>
      </c>
      <c r="E19" t="s">
        <v>68</v>
      </c>
      <c r="F19" s="435" t="s">
        <v>274</v>
      </c>
      <c r="G19" s="435" t="s">
        <v>12</v>
      </c>
      <c r="H19" t="s">
        <v>77</v>
      </c>
      <c r="I19" t="s">
        <v>1</v>
      </c>
      <c r="J19" t="s">
        <v>121</v>
      </c>
      <c r="K19" t="s">
        <v>128</v>
      </c>
      <c r="O19" t="s">
        <v>77</v>
      </c>
      <c r="AC19" t="s">
        <v>2</v>
      </c>
      <c r="AD19" s="80"/>
      <c r="AE19" s="93">
        <f>SUMIFS('5.9 Bus_Sup_Alloc'!AE$11:AE$64,'5.9 Bus_Sup_Alloc'!$D$11:$D$64,$D19,'5.9 Bus_Sup_Alloc'!$K$11:$K$64,$K19)</f>
        <v>0</v>
      </c>
      <c r="AF19" s="93">
        <f>SUMIFS('5.9 Bus_Sup_Alloc'!AF$11:AF$64,'5.9 Bus_Sup_Alloc'!$D$11:$D$64,$D19,'5.9 Bus_Sup_Alloc'!$K$11:$K$64,$K19)</f>
        <v>0</v>
      </c>
      <c r="AG19" s="93">
        <f>SUMIFS('5.9 Bus_Sup_Alloc'!AG$11:AG$64,'5.9 Bus_Sup_Alloc'!$D$11:$D$64,$D19,'5.9 Bus_Sup_Alloc'!$K$11:$K$64,$K19)</f>
        <v>0</v>
      </c>
      <c r="AH19" s="93">
        <f>SUMIFS('5.9 Bus_Sup_Alloc'!AH$11:AH$64,'5.9 Bus_Sup_Alloc'!$D$11:$D$64,$D19,'5.9 Bus_Sup_Alloc'!$K$11:$K$64,$K19)</f>
        <v>0</v>
      </c>
      <c r="AI19" s="93">
        <f>SUMIFS('5.9 Bus_Sup_Alloc'!AI$11:AI$64,'5.9 Bus_Sup_Alloc'!$D$11:$D$64,$D19,'5.9 Bus_Sup_Alloc'!$K$11:$K$64,$K19)</f>
        <v>0</v>
      </c>
    </row>
    <row r="20" spans="1:35">
      <c r="B20" s="435"/>
      <c r="D20" t="s">
        <v>185</v>
      </c>
      <c r="E20" t="s">
        <v>68</v>
      </c>
      <c r="F20" s="435" t="s">
        <v>274</v>
      </c>
      <c r="G20" s="435" t="s">
        <v>12</v>
      </c>
      <c r="H20" t="s">
        <v>77</v>
      </c>
      <c r="I20" t="s">
        <v>1</v>
      </c>
      <c r="J20" t="s">
        <v>121</v>
      </c>
      <c r="O20" t="s">
        <v>77</v>
      </c>
      <c r="AC20" t="s">
        <v>2</v>
      </c>
      <c r="AD20" s="80"/>
      <c r="AE20" s="79"/>
      <c r="AF20" s="79"/>
      <c r="AG20" s="79"/>
      <c r="AH20" s="79"/>
      <c r="AI20" s="79"/>
    </row>
    <row r="21" spans="1:35">
      <c r="B21" s="435"/>
      <c r="D21" t="s">
        <v>185</v>
      </c>
      <c r="E21" t="s">
        <v>68</v>
      </c>
      <c r="F21" s="435" t="s">
        <v>274</v>
      </c>
      <c r="G21" s="435" t="s">
        <v>12</v>
      </c>
      <c r="H21" t="s">
        <v>77</v>
      </c>
      <c r="I21" t="s">
        <v>1</v>
      </c>
      <c r="J21" t="s">
        <v>121</v>
      </c>
      <c r="O21" t="s">
        <v>77</v>
      </c>
      <c r="AC21" t="s">
        <v>2</v>
      </c>
      <c r="AD21" s="80"/>
      <c r="AE21" s="79"/>
      <c r="AF21" s="79"/>
      <c r="AG21" s="79"/>
      <c r="AH21" s="79"/>
      <c r="AI21" s="79"/>
    </row>
    <row r="22" spans="1:35">
      <c r="B22" s="435"/>
    </row>
    <row r="23" spans="1:35" s="1" customFormat="1" ht="13.9">
      <c r="A23" s="66"/>
      <c r="B23" s="78" t="s">
        <v>2698</v>
      </c>
    </row>
    <row r="25" spans="1:35">
      <c r="D25" t="s">
        <v>185</v>
      </c>
      <c r="E25" t="s">
        <v>68</v>
      </c>
      <c r="F25" s="435" t="s">
        <v>274</v>
      </c>
      <c r="G25" s="435" t="s">
        <v>12</v>
      </c>
      <c r="H25" t="s">
        <v>77</v>
      </c>
      <c r="I25" t="s">
        <v>1</v>
      </c>
      <c r="J25" t="s">
        <v>129</v>
      </c>
      <c r="K25" t="s">
        <v>130</v>
      </c>
      <c r="L25" t="s">
        <v>131</v>
      </c>
      <c r="O25" t="s">
        <v>77</v>
      </c>
      <c r="AC25" t="s">
        <v>2</v>
      </c>
      <c r="AD25" s="80"/>
      <c r="AE25" s="97"/>
      <c r="AF25" s="97"/>
      <c r="AG25" s="97"/>
      <c r="AH25" s="97"/>
      <c r="AI25" s="97"/>
    </row>
    <row r="26" spans="1:35">
      <c r="D26" t="s">
        <v>185</v>
      </c>
      <c r="E26" t="s">
        <v>68</v>
      </c>
      <c r="F26" s="435" t="s">
        <v>274</v>
      </c>
      <c r="G26" s="435" t="s">
        <v>12</v>
      </c>
      <c r="H26" t="s">
        <v>77</v>
      </c>
      <c r="I26" t="s">
        <v>1</v>
      </c>
      <c r="J26" t="s">
        <v>129</v>
      </c>
      <c r="K26" t="s">
        <v>130</v>
      </c>
      <c r="L26" t="s">
        <v>132</v>
      </c>
      <c r="O26" t="s">
        <v>77</v>
      </c>
      <c r="AC26" t="s">
        <v>2</v>
      </c>
      <c r="AD26" s="80"/>
      <c r="AE26" s="97"/>
      <c r="AF26" s="97"/>
      <c r="AG26" s="97"/>
      <c r="AH26" s="97"/>
      <c r="AI26" s="97"/>
    </row>
    <row r="27" spans="1:35">
      <c r="D27" t="s">
        <v>185</v>
      </c>
      <c r="E27" t="s">
        <v>68</v>
      </c>
      <c r="F27" s="435" t="s">
        <v>274</v>
      </c>
      <c r="G27" s="435" t="s">
        <v>12</v>
      </c>
      <c r="H27" t="s">
        <v>77</v>
      </c>
      <c r="I27" t="s">
        <v>1</v>
      </c>
      <c r="J27" t="s">
        <v>129</v>
      </c>
      <c r="K27" t="s">
        <v>130</v>
      </c>
      <c r="L27" t="s">
        <v>133</v>
      </c>
      <c r="O27" t="s">
        <v>77</v>
      </c>
      <c r="AC27" t="s">
        <v>2</v>
      </c>
      <c r="AD27" s="80"/>
      <c r="AE27" s="97"/>
      <c r="AF27" s="97"/>
      <c r="AG27" s="97"/>
      <c r="AH27" s="97"/>
      <c r="AI27" s="97"/>
    </row>
    <row r="28" spans="1:35">
      <c r="D28" t="s">
        <v>185</v>
      </c>
      <c r="E28" t="s">
        <v>68</v>
      </c>
      <c r="F28" s="435" t="s">
        <v>274</v>
      </c>
      <c r="G28" s="435" t="s">
        <v>12</v>
      </c>
      <c r="H28" t="s">
        <v>77</v>
      </c>
      <c r="I28" t="s">
        <v>1</v>
      </c>
      <c r="J28" t="s">
        <v>129</v>
      </c>
      <c r="K28" t="s">
        <v>134</v>
      </c>
      <c r="L28" t="s">
        <v>135</v>
      </c>
      <c r="O28" t="s">
        <v>77</v>
      </c>
      <c r="AC28" t="s">
        <v>2</v>
      </c>
      <c r="AD28" s="80"/>
      <c r="AE28" s="81"/>
      <c r="AF28" s="81"/>
      <c r="AG28" s="81"/>
      <c r="AH28" s="81"/>
      <c r="AI28" s="81"/>
    </row>
    <row r="29" spans="1:35">
      <c r="D29" t="s">
        <v>185</v>
      </c>
      <c r="E29" t="s">
        <v>68</v>
      </c>
      <c r="F29" s="435" t="s">
        <v>274</v>
      </c>
      <c r="G29" s="435" t="s">
        <v>12</v>
      </c>
      <c r="H29" t="s">
        <v>77</v>
      </c>
      <c r="I29" t="s">
        <v>1</v>
      </c>
      <c r="J29" t="s">
        <v>129</v>
      </c>
      <c r="K29" t="s">
        <v>134</v>
      </c>
      <c r="L29" t="s">
        <v>136</v>
      </c>
      <c r="O29" t="s">
        <v>77</v>
      </c>
      <c r="AC29" t="s">
        <v>2</v>
      </c>
      <c r="AD29" s="80"/>
      <c r="AE29" s="97"/>
      <c r="AF29" s="97"/>
      <c r="AG29" s="97"/>
      <c r="AH29" s="97"/>
      <c r="AI29" s="97"/>
    </row>
    <row r="30" spans="1:35">
      <c r="D30" t="s">
        <v>185</v>
      </c>
      <c r="E30" t="s">
        <v>68</v>
      </c>
      <c r="F30" s="435" t="s">
        <v>274</v>
      </c>
      <c r="G30" s="435" t="s">
        <v>12</v>
      </c>
      <c r="H30" t="s">
        <v>77</v>
      </c>
      <c r="I30" t="s">
        <v>1</v>
      </c>
      <c r="J30" t="s">
        <v>129</v>
      </c>
      <c r="K30" t="s">
        <v>134</v>
      </c>
      <c r="L30" t="s">
        <v>137</v>
      </c>
      <c r="O30" t="s">
        <v>77</v>
      </c>
      <c r="AC30" t="s">
        <v>2</v>
      </c>
      <c r="AD30" s="80"/>
      <c r="AE30" s="97"/>
      <c r="AF30" s="97"/>
      <c r="AG30" s="97"/>
      <c r="AH30" s="97"/>
      <c r="AI30" s="97"/>
    </row>
    <row r="31" spans="1:35">
      <c r="D31" t="s">
        <v>185</v>
      </c>
      <c r="E31" t="s">
        <v>68</v>
      </c>
      <c r="F31" s="435" t="s">
        <v>274</v>
      </c>
      <c r="G31" s="435" t="s">
        <v>12</v>
      </c>
      <c r="H31" t="s">
        <v>77</v>
      </c>
      <c r="I31" t="s">
        <v>1</v>
      </c>
      <c r="J31" t="s">
        <v>129</v>
      </c>
      <c r="K31" t="s">
        <v>134</v>
      </c>
      <c r="L31" t="s">
        <v>138</v>
      </c>
      <c r="O31" t="s">
        <v>77</v>
      </c>
      <c r="AC31" t="s">
        <v>2</v>
      </c>
      <c r="AD31" s="80"/>
      <c r="AE31" s="81"/>
      <c r="AF31" s="81"/>
      <c r="AG31" s="81"/>
      <c r="AH31" s="81"/>
      <c r="AI31" s="81"/>
    </row>
    <row r="32" spans="1:35">
      <c r="D32" t="s">
        <v>185</v>
      </c>
      <c r="E32" t="s">
        <v>68</v>
      </c>
      <c r="F32" s="435" t="s">
        <v>274</v>
      </c>
      <c r="G32" s="435" t="s">
        <v>12</v>
      </c>
      <c r="H32" t="s">
        <v>77</v>
      </c>
      <c r="I32" t="s">
        <v>1</v>
      </c>
      <c r="J32" t="s">
        <v>129</v>
      </c>
      <c r="K32" t="s">
        <v>134</v>
      </c>
      <c r="L32" t="s">
        <v>139</v>
      </c>
      <c r="O32" t="s">
        <v>77</v>
      </c>
      <c r="AC32" t="s">
        <v>2</v>
      </c>
      <c r="AD32" s="80"/>
      <c r="AE32" s="97"/>
      <c r="AF32" s="97"/>
      <c r="AG32" s="97"/>
      <c r="AH32" s="97"/>
      <c r="AI32" s="97"/>
    </row>
    <row r="33" spans="1:35">
      <c r="D33" t="s">
        <v>185</v>
      </c>
      <c r="E33" t="s">
        <v>68</v>
      </c>
      <c r="F33" s="435" t="s">
        <v>274</v>
      </c>
      <c r="G33" s="435" t="s">
        <v>12</v>
      </c>
      <c r="H33" t="s">
        <v>77</v>
      </c>
      <c r="I33" t="s">
        <v>1</v>
      </c>
      <c r="J33" t="s">
        <v>129</v>
      </c>
      <c r="K33" t="s">
        <v>134</v>
      </c>
      <c r="L33" t="s">
        <v>140</v>
      </c>
      <c r="O33" t="s">
        <v>77</v>
      </c>
      <c r="AC33" t="s">
        <v>2</v>
      </c>
      <c r="AD33" s="80"/>
      <c r="AE33" s="97"/>
      <c r="AF33" s="97"/>
      <c r="AG33" s="97"/>
      <c r="AH33" s="97"/>
      <c r="AI33" s="97"/>
    </row>
    <row r="34" spans="1:35">
      <c r="D34" t="s">
        <v>185</v>
      </c>
      <c r="E34" t="s">
        <v>68</v>
      </c>
      <c r="F34" s="435" t="s">
        <v>274</v>
      </c>
      <c r="G34" s="435" t="s">
        <v>12</v>
      </c>
      <c r="H34" t="s">
        <v>77</v>
      </c>
      <c r="I34" t="s">
        <v>1</v>
      </c>
      <c r="J34" t="s">
        <v>129</v>
      </c>
      <c r="K34" t="s">
        <v>134</v>
      </c>
      <c r="L34" t="s">
        <v>141</v>
      </c>
      <c r="O34" t="s">
        <v>77</v>
      </c>
      <c r="AC34" t="s">
        <v>2</v>
      </c>
      <c r="AD34" s="80"/>
      <c r="AE34" s="97"/>
      <c r="AF34" s="97"/>
      <c r="AG34" s="97"/>
      <c r="AH34" s="97"/>
      <c r="AI34" s="97"/>
    </row>
    <row r="35" spans="1:35">
      <c r="D35" t="s">
        <v>185</v>
      </c>
      <c r="E35" t="s">
        <v>68</v>
      </c>
      <c r="F35" s="435" t="s">
        <v>274</v>
      </c>
      <c r="G35" s="435" t="s">
        <v>12</v>
      </c>
      <c r="H35" t="s">
        <v>77</v>
      </c>
      <c r="I35" t="s">
        <v>1</v>
      </c>
      <c r="J35" t="s">
        <v>129</v>
      </c>
      <c r="K35" t="s">
        <v>134</v>
      </c>
      <c r="L35" t="s">
        <v>142</v>
      </c>
      <c r="O35" t="s">
        <v>77</v>
      </c>
      <c r="AC35" t="s">
        <v>2</v>
      </c>
      <c r="AD35" s="80"/>
      <c r="AE35" s="97"/>
      <c r="AF35" s="97"/>
      <c r="AG35" s="97"/>
      <c r="AH35" s="97"/>
      <c r="AI35" s="97"/>
    </row>
    <row r="36" spans="1:35">
      <c r="D36" t="s">
        <v>185</v>
      </c>
      <c r="E36" t="s">
        <v>68</v>
      </c>
      <c r="F36" s="435" t="s">
        <v>274</v>
      </c>
      <c r="G36" s="435" t="s">
        <v>12</v>
      </c>
      <c r="H36" t="s">
        <v>77</v>
      </c>
      <c r="I36" t="s">
        <v>1</v>
      </c>
      <c r="J36" t="s">
        <v>129</v>
      </c>
      <c r="K36" t="s">
        <v>134</v>
      </c>
      <c r="L36" t="s">
        <v>143</v>
      </c>
      <c r="O36" t="s">
        <v>77</v>
      </c>
      <c r="AC36" t="s">
        <v>2</v>
      </c>
      <c r="AD36" s="80"/>
      <c r="AE36" s="97"/>
      <c r="AF36" s="97"/>
      <c r="AG36" s="97"/>
      <c r="AH36" s="97"/>
      <c r="AI36" s="97"/>
    </row>
    <row r="37" spans="1:35">
      <c r="D37" t="s">
        <v>185</v>
      </c>
      <c r="E37" t="s">
        <v>68</v>
      </c>
      <c r="F37" s="435" t="s">
        <v>274</v>
      </c>
      <c r="G37" s="435" t="s">
        <v>12</v>
      </c>
      <c r="H37" t="s">
        <v>77</v>
      </c>
      <c r="I37" t="s">
        <v>1</v>
      </c>
      <c r="J37" t="s">
        <v>129</v>
      </c>
      <c r="O37" t="s">
        <v>77</v>
      </c>
      <c r="AC37" t="s">
        <v>2</v>
      </c>
      <c r="AD37" s="80"/>
      <c r="AE37" s="79"/>
      <c r="AF37" s="79"/>
      <c r="AG37" s="79"/>
      <c r="AH37" s="79"/>
      <c r="AI37" s="79"/>
    </row>
    <row r="38" spans="1:35">
      <c r="D38" t="s">
        <v>185</v>
      </c>
      <c r="E38" t="s">
        <v>68</v>
      </c>
      <c r="F38" s="435" t="s">
        <v>274</v>
      </c>
      <c r="G38" s="435" t="s">
        <v>12</v>
      </c>
      <c r="H38" t="s">
        <v>77</v>
      </c>
      <c r="I38" t="s">
        <v>1</v>
      </c>
      <c r="J38" t="s">
        <v>129</v>
      </c>
      <c r="O38" t="s">
        <v>77</v>
      </c>
      <c r="AC38" t="s">
        <v>2</v>
      </c>
      <c r="AD38" s="80"/>
      <c r="AE38" s="79"/>
      <c r="AF38" s="79"/>
      <c r="AG38" s="79"/>
      <c r="AH38" s="79"/>
      <c r="AI38" s="79"/>
    </row>
    <row r="39" spans="1:35">
      <c r="D39" t="s">
        <v>185</v>
      </c>
      <c r="E39" t="s">
        <v>68</v>
      </c>
      <c r="F39" s="435" t="s">
        <v>274</v>
      </c>
      <c r="G39" s="435" t="s">
        <v>12</v>
      </c>
      <c r="H39" t="s">
        <v>77</v>
      </c>
      <c r="I39" t="s">
        <v>1</v>
      </c>
      <c r="J39" t="s">
        <v>129</v>
      </c>
      <c r="O39" t="s">
        <v>77</v>
      </c>
      <c r="AC39" t="s">
        <v>2</v>
      </c>
      <c r="AD39" s="80"/>
      <c r="AE39" s="79"/>
      <c r="AF39" s="79"/>
      <c r="AG39" s="79"/>
      <c r="AH39" s="79"/>
      <c r="AI39" s="79"/>
    </row>
    <row r="41" spans="1:35">
      <c r="AE41" s="76"/>
      <c r="AF41" s="76"/>
      <c r="AG41" s="76"/>
      <c r="AH41" s="76"/>
      <c r="AI41" s="76"/>
    </row>
    <row r="42" spans="1:35" s="1" customFormat="1" ht="13.9">
      <c r="A42" s="66"/>
      <c r="B42" s="78" t="s">
        <v>146</v>
      </c>
    </row>
    <row r="44" spans="1:35">
      <c r="D44" t="s">
        <v>185</v>
      </c>
      <c r="E44" t="s">
        <v>68</v>
      </c>
      <c r="F44" s="435" t="s">
        <v>274</v>
      </c>
      <c r="G44" s="435" t="s">
        <v>12</v>
      </c>
      <c r="H44" t="s">
        <v>77</v>
      </c>
      <c r="I44" t="s">
        <v>1</v>
      </c>
      <c r="J44" t="s">
        <v>147</v>
      </c>
      <c r="K44" t="s">
        <v>178</v>
      </c>
      <c r="O44" t="s">
        <v>77</v>
      </c>
      <c r="AC44" t="s">
        <v>2</v>
      </c>
      <c r="AD44" s="80"/>
      <c r="AE44" s="81"/>
      <c r="AF44" s="81"/>
      <c r="AG44" s="81"/>
      <c r="AH44" s="81"/>
      <c r="AI44" s="81"/>
    </row>
    <row r="45" spans="1:35">
      <c r="D45" t="s">
        <v>185</v>
      </c>
      <c r="E45" t="s">
        <v>68</v>
      </c>
      <c r="F45" s="435" t="s">
        <v>274</v>
      </c>
      <c r="G45" s="435" t="s">
        <v>12</v>
      </c>
      <c r="H45" t="s">
        <v>77</v>
      </c>
      <c r="I45" t="s">
        <v>1</v>
      </c>
      <c r="O45" t="s">
        <v>77</v>
      </c>
      <c r="AC45" t="s">
        <v>2</v>
      </c>
      <c r="AD45" s="80"/>
      <c r="AE45" s="79"/>
      <c r="AF45" s="79"/>
      <c r="AG45" s="79"/>
      <c r="AH45" s="79"/>
      <c r="AI45" s="79"/>
    </row>
    <row r="46" spans="1:35">
      <c r="AE46" s="76"/>
      <c r="AF46" s="76"/>
      <c r="AG46" s="76"/>
      <c r="AH46" s="76"/>
      <c r="AI46" s="76"/>
    </row>
    <row r="47" spans="1:35" s="1" customFormat="1" ht="13.9">
      <c r="A47" s="66"/>
      <c r="B47" s="78" t="s">
        <v>154</v>
      </c>
    </row>
    <row r="49" spans="1:37">
      <c r="D49" t="s">
        <v>185</v>
      </c>
      <c r="E49" t="s">
        <v>68</v>
      </c>
      <c r="F49" s="435" t="s">
        <v>274</v>
      </c>
      <c r="G49" s="435" t="s">
        <v>12</v>
      </c>
      <c r="H49" t="s">
        <v>77</v>
      </c>
      <c r="I49" t="s">
        <v>1</v>
      </c>
      <c r="J49" t="s">
        <v>188</v>
      </c>
      <c r="K49" t="s">
        <v>154</v>
      </c>
      <c r="O49" t="s">
        <v>77</v>
      </c>
      <c r="AC49" t="s">
        <v>2</v>
      </c>
      <c r="AD49" s="80"/>
      <c r="AE49" s="81"/>
      <c r="AF49" s="81"/>
      <c r="AG49" s="81"/>
      <c r="AH49" s="81"/>
      <c r="AI49" s="81"/>
      <c r="AJ49" s="436" t="s">
        <v>2738</v>
      </c>
    </row>
    <row r="50" spans="1:37">
      <c r="AD50" s="80"/>
      <c r="AE50" s="95"/>
      <c r="AF50" s="95"/>
      <c r="AG50" s="95"/>
      <c r="AH50" s="95"/>
      <c r="AI50" s="95"/>
    </row>
    <row r="51" spans="1:37" s="1" customFormat="1" ht="13.9">
      <c r="A51" s="66"/>
      <c r="B51" s="78" t="s">
        <v>148</v>
      </c>
    </row>
    <row r="52" spans="1:37" s="435" customFormat="1"/>
    <row r="53" spans="1:37" s="435" customFormat="1">
      <c r="D53" s="435" t="s">
        <v>185</v>
      </c>
      <c r="E53" s="435" t="s">
        <v>149</v>
      </c>
      <c r="F53" s="435" t="s">
        <v>274</v>
      </c>
      <c r="G53" s="435" t="s">
        <v>12</v>
      </c>
      <c r="H53" s="435" t="s">
        <v>150</v>
      </c>
      <c r="I53" s="435" t="s">
        <v>1</v>
      </c>
      <c r="J53" s="435" t="s">
        <v>151</v>
      </c>
      <c r="AC53" s="435" t="s">
        <v>2</v>
      </c>
      <c r="AD53" s="80"/>
      <c r="AE53" s="688"/>
      <c r="AF53" s="688"/>
      <c r="AG53" s="688"/>
      <c r="AH53" s="688"/>
      <c r="AI53" s="688"/>
      <c r="AK53" s="99"/>
    </row>
    <row r="54" spans="1:37" s="435" customFormat="1">
      <c r="D54" s="435" t="s">
        <v>185</v>
      </c>
      <c r="E54" s="435" t="s">
        <v>149</v>
      </c>
      <c r="F54" s="435" t="s">
        <v>274</v>
      </c>
      <c r="G54" s="435" t="s">
        <v>12</v>
      </c>
      <c r="H54" s="435" t="s">
        <v>150</v>
      </c>
      <c r="I54" s="435" t="s">
        <v>1</v>
      </c>
      <c r="J54" s="435" t="s">
        <v>152</v>
      </c>
      <c r="AC54" s="435" t="s">
        <v>2</v>
      </c>
      <c r="AD54" s="80"/>
      <c r="AE54" s="688"/>
      <c r="AF54" s="688"/>
      <c r="AG54" s="688"/>
      <c r="AH54" s="688"/>
      <c r="AI54" s="688"/>
      <c r="AK54" s="99"/>
    </row>
    <row r="55" spans="1:37" s="435" customFormat="1">
      <c r="D55" s="435" t="s">
        <v>185</v>
      </c>
      <c r="E55" s="435" t="s">
        <v>149</v>
      </c>
      <c r="F55" s="435" t="s">
        <v>274</v>
      </c>
      <c r="G55" s="435" t="s">
        <v>12</v>
      </c>
      <c r="H55" s="435" t="s">
        <v>150</v>
      </c>
      <c r="I55" s="435" t="s">
        <v>1</v>
      </c>
      <c r="J55" s="435" t="s">
        <v>953</v>
      </c>
      <c r="AC55" s="435" t="s">
        <v>2</v>
      </c>
      <c r="AD55" s="80"/>
      <c r="AE55" s="688"/>
      <c r="AF55" s="688"/>
      <c r="AG55" s="688"/>
      <c r="AH55" s="688"/>
      <c r="AI55" s="688"/>
      <c r="AK55" s="99"/>
    </row>
    <row r="56" spans="1:37" s="435" customFormat="1">
      <c r="D56" s="435" t="s">
        <v>185</v>
      </c>
      <c r="E56" s="435" t="s">
        <v>149</v>
      </c>
      <c r="F56" s="435" t="s">
        <v>274</v>
      </c>
      <c r="G56" s="435" t="s">
        <v>12</v>
      </c>
      <c r="H56" s="435" t="s">
        <v>150</v>
      </c>
      <c r="I56" s="435" t="s">
        <v>1</v>
      </c>
      <c r="J56" s="435" t="s">
        <v>954</v>
      </c>
      <c r="AC56" s="435" t="s">
        <v>2</v>
      </c>
      <c r="AD56" s="80"/>
      <c r="AE56" s="688"/>
      <c r="AF56" s="688"/>
      <c r="AG56" s="688"/>
      <c r="AH56" s="688"/>
      <c r="AI56" s="688"/>
      <c r="AK56" s="99"/>
    </row>
    <row r="57" spans="1:37" s="435" customFormat="1">
      <c r="D57" s="435" t="s">
        <v>185</v>
      </c>
      <c r="E57" s="435" t="s">
        <v>149</v>
      </c>
      <c r="F57" s="435" t="s">
        <v>274</v>
      </c>
      <c r="G57" s="435" t="s">
        <v>12</v>
      </c>
      <c r="H57" s="435" t="s">
        <v>150</v>
      </c>
      <c r="I57" s="435" t="s">
        <v>1</v>
      </c>
      <c r="J57" s="435" t="s">
        <v>179</v>
      </c>
      <c r="O57" s="435" t="s">
        <v>2929</v>
      </c>
      <c r="AC57" s="435" t="s">
        <v>2</v>
      </c>
      <c r="AD57" s="80"/>
      <c r="AE57" s="687"/>
      <c r="AF57" s="687"/>
      <c r="AG57" s="687"/>
      <c r="AH57" s="687"/>
      <c r="AI57" s="687"/>
      <c r="AK57" s="99"/>
    </row>
    <row r="58" spans="1:37" s="435" customFormat="1">
      <c r="D58" s="435" t="s">
        <v>185</v>
      </c>
      <c r="E58" s="435" t="s">
        <v>149</v>
      </c>
      <c r="F58" s="435" t="s">
        <v>274</v>
      </c>
      <c r="G58" s="435" t="s">
        <v>12</v>
      </c>
      <c r="H58" s="435" t="s">
        <v>150</v>
      </c>
      <c r="I58" s="435" t="s">
        <v>1</v>
      </c>
      <c r="J58" s="435" t="s">
        <v>153</v>
      </c>
      <c r="AC58" s="435" t="s">
        <v>2</v>
      </c>
      <c r="AD58" s="80"/>
      <c r="AE58" s="688"/>
      <c r="AF58" s="688"/>
      <c r="AG58" s="688"/>
      <c r="AH58" s="688"/>
      <c r="AI58" s="688"/>
      <c r="AK58" s="99"/>
    </row>
    <row r="59" spans="1:37" s="435" customFormat="1">
      <c r="D59" s="435" t="s">
        <v>185</v>
      </c>
      <c r="E59" s="435" t="s">
        <v>149</v>
      </c>
      <c r="F59" s="435" t="s">
        <v>274</v>
      </c>
      <c r="G59" s="435" t="s">
        <v>12</v>
      </c>
      <c r="H59" s="435" t="s">
        <v>150</v>
      </c>
      <c r="I59" s="435" t="s">
        <v>1</v>
      </c>
      <c r="J59" s="435" t="s">
        <v>154</v>
      </c>
      <c r="AC59" s="435" t="s">
        <v>2</v>
      </c>
      <c r="AD59" s="80"/>
      <c r="AE59" s="688"/>
      <c r="AF59" s="688"/>
      <c r="AG59" s="688"/>
      <c r="AH59" s="688"/>
      <c r="AI59" s="688"/>
      <c r="AK59" s="99"/>
    </row>
    <row r="60" spans="1:37" s="435" customFormat="1">
      <c r="D60" s="435" t="s">
        <v>185</v>
      </c>
      <c r="E60" s="435" t="s">
        <v>149</v>
      </c>
      <c r="F60" s="435" t="s">
        <v>274</v>
      </c>
      <c r="G60" s="435" t="s">
        <v>12</v>
      </c>
      <c r="H60" s="435" t="s">
        <v>150</v>
      </c>
      <c r="I60" s="435" t="s">
        <v>1</v>
      </c>
      <c r="J60" s="435" t="s">
        <v>155</v>
      </c>
      <c r="AC60" s="435" t="s">
        <v>2</v>
      </c>
      <c r="AD60" s="80"/>
      <c r="AE60" s="688"/>
      <c r="AF60" s="688"/>
      <c r="AG60" s="688"/>
      <c r="AH60" s="688"/>
      <c r="AI60" s="688"/>
      <c r="AK60" s="99"/>
    </row>
    <row r="61" spans="1:37" s="435" customFormat="1">
      <c r="D61" s="435" t="s">
        <v>185</v>
      </c>
      <c r="E61" s="435" t="s">
        <v>149</v>
      </c>
      <c r="F61" s="435" t="s">
        <v>274</v>
      </c>
      <c r="G61" s="435" t="s">
        <v>12</v>
      </c>
      <c r="H61" s="435" t="s">
        <v>150</v>
      </c>
      <c r="I61" s="435" t="s">
        <v>1</v>
      </c>
      <c r="J61" s="435" t="s">
        <v>156</v>
      </c>
      <c r="O61" s="435" t="s">
        <v>3067</v>
      </c>
      <c r="AC61" s="435" t="s">
        <v>2</v>
      </c>
      <c r="AD61" s="80"/>
      <c r="AE61" s="687"/>
      <c r="AF61" s="687"/>
      <c r="AG61" s="687"/>
      <c r="AH61" s="687"/>
      <c r="AI61" s="687"/>
      <c r="AK61" s="99"/>
    </row>
    <row r="62" spans="1:37" s="435" customFormat="1">
      <c r="D62" s="435" t="s">
        <v>185</v>
      </c>
      <c r="E62" s="435" t="s">
        <v>149</v>
      </c>
      <c r="F62" s="435" t="s">
        <v>274</v>
      </c>
      <c r="G62" s="435" t="s">
        <v>12</v>
      </c>
      <c r="H62" s="435" t="s">
        <v>150</v>
      </c>
      <c r="I62" s="435" t="s">
        <v>1</v>
      </c>
      <c r="J62" s="435" t="s">
        <v>157</v>
      </c>
      <c r="O62" s="435" t="s">
        <v>2928</v>
      </c>
      <c r="AC62" s="435" t="s">
        <v>2</v>
      </c>
      <c r="AD62" s="80"/>
      <c r="AE62" s="687"/>
      <c r="AF62" s="687"/>
      <c r="AG62" s="687"/>
      <c r="AH62" s="687"/>
      <c r="AI62" s="687"/>
      <c r="AK62" s="99"/>
    </row>
    <row r="63" spans="1:37" s="435" customFormat="1">
      <c r="D63" s="435" t="s">
        <v>185</v>
      </c>
      <c r="E63" s="435" t="s">
        <v>149</v>
      </c>
      <c r="F63" s="435" t="s">
        <v>274</v>
      </c>
      <c r="G63" s="435" t="s">
        <v>12</v>
      </c>
      <c r="H63" s="435" t="s">
        <v>150</v>
      </c>
      <c r="I63" s="435" t="s">
        <v>1</v>
      </c>
      <c r="J63" s="435" t="s">
        <v>158</v>
      </c>
      <c r="AC63" s="435" t="s">
        <v>2</v>
      </c>
      <c r="AD63" s="80"/>
      <c r="AE63" s="688"/>
      <c r="AF63" s="688"/>
      <c r="AG63" s="688"/>
      <c r="AH63" s="688"/>
      <c r="AI63" s="688"/>
      <c r="AK63" s="99"/>
    </row>
    <row r="64" spans="1:37" s="435" customFormat="1">
      <c r="D64" s="435" t="s">
        <v>185</v>
      </c>
      <c r="E64" s="435" t="s">
        <v>149</v>
      </c>
      <c r="F64" s="435" t="s">
        <v>274</v>
      </c>
      <c r="G64" s="435" t="s">
        <v>12</v>
      </c>
      <c r="H64" s="435" t="s">
        <v>150</v>
      </c>
      <c r="I64" s="435" t="s">
        <v>1</v>
      </c>
      <c r="J64" s="435" t="s">
        <v>1494</v>
      </c>
      <c r="AC64" s="435" t="s">
        <v>2</v>
      </c>
      <c r="AD64" s="80"/>
      <c r="AE64" s="688"/>
      <c r="AF64" s="688"/>
      <c r="AG64" s="688"/>
      <c r="AH64" s="688"/>
      <c r="AI64" s="688"/>
      <c r="AK64" s="99"/>
    </row>
    <row r="65" spans="1:37" s="435" customFormat="1">
      <c r="D65" s="435" t="s">
        <v>185</v>
      </c>
      <c r="E65" s="435" t="s">
        <v>149</v>
      </c>
      <c r="F65" s="435" t="s">
        <v>274</v>
      </c>
      <c r="G65" s="435" t="s">
        <v>12</v>
      </c>
      <c r="H65" s="435" t="s">
        <v>150</v>
      </c>
      <c r="I65" s="435" t="s">
        <v>1</v>
      </c>
      <c r="J65" s="435" t="s">
        <v>159</v>
      </c>
      <c r="AC65" s="435" t="s">
        <v>2</v>
      </c>
      <c r="AD65" s="80"/>
      <c r="AE65" s="688"/>
      <c r="AF65" s="688"/>
      <c r="AG65" s="688"/>
      <c r="AH65" s="688"/>
      <c r="AI65" s="688"/>
      <c r="AK65" s="99"/>
    </row>
    <row r="66" spans="1:37" s="435" customFormat="1">
      <c r="D66" s="435" t="s">
        <v>185</v>
      </c>
      <c r="E66" s="435" t="s">
        <v>149</v>
      </c>
      <c r="F66" s="435" t="s">
        <v>274</v>
      </c>
      <c r="G66" s="435" t="s">
        <v>12</v>
      </c>
      <c r="H66" s="435" t="s">
        <v>150</v>
      </c>
      <c r="I66" s="435" t="s">
        <v>1</v>
      </c>
      <c r="J66" s="435" t="s">
        <v>160</v>
      </c>
      <c r="AC66" s="435" t="s">
        <v>2</v>
      </c>
      <c r="AD66" s="80"/>
      <c r="AE66" s="688"/>
      <c r="AF66" s="688"/>
      <c r="AG66" s="688"/>
      <c r="AH66" s="688"/>
      <c r="AI66" s="688"/>
      <c r="AK66" s="99"/>
    </row>
    <row r="67" spans="1:37" s="435" customFormat="1">
      <c r="D67" s="435" t="s">
        <v>185</v>
      </c>
      <c r="E67" s="435" t="s">
        <v>149</v>
      </c>
      <c r="F67" s="435" t="s">
        <v>274</v>
      </c>
      <c r="G67" s="435" t="s">
        <v>12</v>
      </c>
      <c r="H67" s="435" t="s">
        <v>150</v>
      </c>
      <c r="I67" s="435" t="s">
        <v>1</v>
      </c>
      <c r="J67" s="435" t="s">
        <v>161</v>
      </c>
      <c r="AC67" s="435" t="s">
        <v>2</v>
      </c>
      <c r="AD67" s="80"/>
      <c r="AE67" s="688"/>
      <c r="AF67" s="688"/>
      <c r="AG67" s="688"/>
      <c r="AH67" s="688"/>
      <c r="AI67" s="688"/>
      <c r="AK67" s="99"/>
    </row>
    <row r="68" spans="1:37" s="435" customFormat="1">
      <c r="D68" s="435" t="s">
        <v>185</v>
      </c>
      <c r="E68" s="435" t="s">
        <v>149</v>
      </c>
      <c r="F68" s="435" t="s">
        <v>274</v>
      </c>
      <c r="G68" s="435" t="s">
        <v>12</v>
      </c>
      <c r="H68" s="435" t="s">
        <v>150</v>
      </c>
      <c r="I68" s="435" t="s">
        <v>1</v>
      </c>
      <c r="J68" s="435" t="s">
        <v>3068</v>
      </c>
      <c r="AC68" s="435" t="s">
        <v>2</v>
      </c>
      <c r="AD68" s="80"/>
      <c r="AE68" s="688"/>
      <c r="AF68" s="688"/>
      <c r="AG68" s="688"/>
      <c r="AH68" s="688"/>
      <c r="AI68" s="688"/>
      <c r="AK68" s="99"/>
    </row>
    <row r="69" spans="1:37" s="435" customFormat="1">
      <c r="D69" s="435" t="s">
        <v>185</v>
      </c>
      <c r="E69" s="435" t="s">
        <v>149</v>
      </c>
      <c r="F69" s="435" t="s">
        <v>274</v>
      </c>
      <c r="G69" s="435" t="s">
        <v>12</v>
      </c>
      <c r="H69" s="435" t="s">
        <v>150</v>
      </c>
      <c r="I69" s="435" t="s">
        <v>1</v>
      </c>
      <c r="J69" s="1320" t="s">
        <v>1954</v>
      </c>
      <c r="AC69" s="435" t="s">
        <v>2</v>
      </c>
      <c r="AD69" s="80"/>
      <c r="AE69" s="688"/>
      <c r="AF69" s="688"/>
      <c r="AG69" s="688"/>
      <c r="AH69" s="688"/>
      <c r="AI69" s="688"/>
      <c r="AK69" s="99"/>
    </row>
    <row r="70" spans="1:37" s="435" customFormat="1">
      <c r="D70" s="435" t="s">
        <v>185</v>
      </c>
      <c r="E70" s="435" t="s">
        <v>149</v>
      </c>
      <c r="F70" s="435" t="s">
        <v>274</v>
      </c>
      <c r="G70" s="435" t="s">
        <v>12</v>
      </c>
      <c r="H70" s="435" t="s">
        <v>150</v>
      </c>
      <c r="I70" s="435" t="s">
        <v>1</v>
      </c>
      <c r="J70" s="435" t="s">
        <v>1498</v>
      </c>
      <c r="AC70" s="435" t="s">
        <v>2</v>
      </c>
      <c r="AD70" s="80"/>
      <c r="AE70" s="688"/>
      <c r="AF70" s="688"/>
      <c r="AG70" s="688"/>
      <c r="AH70" s="688"/>
      <c r="AI70" s="688"/>
      <c r="AK70" s="99"/>
    </row>
    <row r="71" spans="1:37" s="435" customFormat="1">
      <c r="D71" s="435" t="s">
        <v>185</v>
      </c>
      <c r="E71" s="435" t="s">
        <v>149</v>
      </c>
      <c r="F71" s="435" t="s">
        <v>274</v>
      </c>
      <c r="G71" s="435" t="s">
        <v>12</v>
      </c>
      <c r="H71" s="435" t="s">
        <v>150</v>
      </c>
      <c r="I71" s="435" t="s">
        <v>1</v>
      </c>
      <c r="AC71" s="435" t="s">
        <v>2</v>
      </c>
      <c r="AD71" s="80"/>
      <c r="AE71" s="79"/>
      <c r="AF71" s="79"/>
      <c r="AG71" s="79"/>
      <c r="AH71" s="79"/>
      <c r="AI71" s="79"/>
      <c r="AK71" s="99"/>
    </row>
    <row r="72" spans="1:37" s="435" customFormat="1">
      <c r="D72" s="435" t="s">
        <v>185</v>
      </c>
      <c r="E72" s="435" t="s">
        <v>149</v>
      </c>
      <c r="F72" s="435" t="s">
        <v>274</v>
      </c>
      <c r="G72" s="435" t="s">
        <v>12</v>
      </c>
      <c r="H72" s="435" t="s">
        <v>150</v>
      </c>
      <c r="I72" s="435" t="s">
        <v>1</v>
      </c>
      <c r="AC72" s="435" t="s">
        <v>2</v>
      </c>
      <c r="AD72" s="80"/>
      <c r="AE72" s="79"/>
      <c r="AF72" s="79"/>
      <c r="AG72" s="79"/>
      <c r="AH72" s="79"/>
      <c r="AI72" s="79"/>
      <c r="AK72" s="99"/>
    </row>
    <row r="73" spans="1:37" s="435" customFormat="1">
      <c r="D73" s="435" t="s">
        <v>185</v>
      </c>
      <c r="E73" s="435" t="s">
        <v>149</v>
      </c>
      <c r="F73" s="435" t="s">
        <v>274</v>
      </c>
      <c r="G73" s="435" t="s">
        <v>12</v>
      </c>
      <c r="H73" s="435" t="s">
        <v>150</v>
      </c>
      <c r="I73" s="435" t="s">
        <v>1</v>
      </c>
      <c r="AC73" s="435" t="s">
        <v>2</v>
      </c>
      <c r="AD73" s="80"/>
      <c r="AE73" s="79"/>
      <c r="AF73" s="79"/>
      <c r="AG73" s="79"/>
      <c r="AH73" s="79"/>
      <c r="AI73" s="79"/>
      <c r="AK73" s="99"/>
    </row>
    <row r="74" spans="1:37" s="435" customFormat="1">
      <c r="AD74" s="80"/>
      <c r="AE74" s="689"/>
      <c r="AF74" s="689"/>
      <c r="AG74" s="689"/>
      <c r="AH74" s="689"/>
      <c r="AI74" s="689"/>
      <c r="AK74" s="99"/>
    </row>
    <row r="75" spans="1:37" s="1" customFormat="1" ht="17.649999999999999">
      <c r="A75" s="2" t="s">
        <v>63</v>
      </c>
      <c r="B75" s="2"/>
    </row>
    <row r="77" spans="1:37" s="1" customFormat="1" ht="13.9">
      <c r="A77" s="66"/>
      <c r="B77" s="78" t="s">
        <v>2697</v>
      </c>
    </row>
    <row r="78" spans="1:37">
      <c r="B78" s="435"/>
    </row>
    <row r="79" spans="1:37">
      <c r="B79" s="435"/>
      <c r="D79" t="s">
        <v>185</v>
      </c>
      <c r="E79" t="s">
        <v>68</v>
      </c>
      <c r="F79" s="435" t="s">
        <v>274</v>
      </c>
      <c r="G79" s="435" t="s">
        <v>12</v>
      </c>
      <c r="H79" t="s">
        <v>77</v>
      </c>
      <c r="I79" t="s">
        <v>1</v>
      </c>
      <c r="J79" t="s">
        <v>121</v>
      </c>
      <c r="K79" t="s">
        <v>122</v>
      </c>
      <c r="O79" t="s">
        <v>77</v>
      </c>
      <c r="AC79" t="s">
        <v>2</v>
      </c>
      <c r="AD79" s="80"/>
      <c r="AE79" s="93">
        <f>SUMIFS('5.9 Bus_Sup_Alloc'!$AE$67:$AE$120,'5.9 Bus_Sup_Alloc'!$D$67:$D$120,$D79,'5.9 Bus_Sup_Alloc'!$K$67:$K$120,$K79)</f>
        <v>0</v>
      </c>
      <c r="AF79" s="93">
        <f>SUMIFS('5.9 Bus_Sup_Alloc'!$AE$67:$AE$120,'5.9 Bus_Sup_Alloc'!$D$67:$D$120,$D79,'5.9 Bus_Sup_Alloc'!$K$67:$K$120,$K79)</f>
        <v>0</v>
      </c>
      <c r="AG79" s="93">
        <f>SUMIFS('5.9 Bus_Sup_Alloc'!$AE$67:$AE$120,'5.9 Bus_Sup_Alloc'!$D$67:$D$120,$D79,'5.9 Bus_Sup_Alloc'!$K$67:$K$120,$K79)</f>
        <v>0</v>
      </c>
      <c r="AH79" s="93">
        <f>SUMIFS('5.9 Bus_Sup_Alloc'!$AE$67:$AE$120,'5.9 Bus_Sup_Alloc'!$D$67:$D$120,$D79,'5.9 Bus_Sup_Alloc'!$K$67:$K$120,$K79)</f>
        <v>0</v>
      </c>
      <c r="AI79" s="93">
        <f>SUMIFS('5.9 Bus_Sup_Alloc'!$AE$67:$AE$120,'5.9 Bus_Sup_Alloc'!$D$67:$D$120,$D79,'5.9 Bus_Sup_Alloc'!$K$67:$K$120,$K79)</f>
        <v>0</v>
      </c>
    </row>
    <row r="80" spans="1:37">
      <c r="B80" s="435"/>
      <c r="D80" t="s">
        <v>185</v>
      </c>
      <c r="E80" t="s">
        <v>68</v>
      </c>
      <c r="F80" s="435" t="s">
        <v>274</v>
      </c>
      <c r="G80" s="435" t="s">
        <v>12</v>
      </c>
      <c r="H80" t="s">
        <v>77</v>
      </c>
      <c r="I80" t="s">
        <v>1</v>
      </c>
      <c r="J80" t="s">
        <v>121</v>
      </c>
      <c r="K80" t="s">
        <v>123</v>
      </c>
      <c r="O80" t="s">
        <v>77</v>
      </c>
      <c r="AC80" t="s">
        <v>2</v>
      </c>
      <c r="AD80" s="80"/>
      <c r="AE80" s="93">
        <f>SUMIFS('5.9 Bus_Sup_Alloc'!$AE$67:$AE$120,'5.9 Bus_Sup_Alloc'!$D$67:$D$120,$D80,'5.9 Bus_Sup_Alloc'!$K$67:$K$120,$K80)</f>
        <v>0</v>
      </c>
      <c r="AF80" s="93">
        <f>SUMIFS('5.9 Bus_Sup_Alloc'!$AE$67:$AE$120,'5.9 Bus_Sup_Alloc'!$D$67:$D$120,$D80,'5.9 Bus_Sup_Alloc'!$K$67:$K$120,$K80)</f>
        <v>0</v>
      </c>
      <c r="AG80" s="93">
        <f>SUMIFS('5.9 Bus_Sup_Alloc'!$AE$67:$AE$120,'5.9 Bus_Sup_Alloc'!$D$67:$D$120,$D80,'5.9 Bus_Sup_Alloc'!$K$67:$K$120,$K80)</f>
        <v>0</v>
      </c>
      <c r="AH80" s="93">
        <f>SUMIFS('5.9 Bus_Sup_Alloc'!$AE$67:$AE$120,'5.9 Bus_Sup_Alloc'!$D$67:$D$120,$D80,'5.9 Bus_Sup_Alloc'!$K$67:$K$120,$K80)</f>
        <v>0</v>
      </c>
      <c r="AI80" s="93">
        <f>SUMIFS('5.9 Bus_Sup_Alloc'!$AE$67:$AE$120,'5.9 Bus_Sup_Alloc'!$D$67:$D$120,$D80,'5.9 Bus_Sup_Alloc'!$K$67:$K$120,$K80)</f>
        <v>0</v>
      </c>
    </row>
    <row r="81" spans="1:35">
      <c r="B81" s="435"/>
      <c r="D81" t="s">
        <v>185</v>
      </c>
      <c r="E81" t="s">
        <v>68</v>
      </c>
      <c r="F81" s="435" t="s">
        <v>274</v>
      </c>
      <c r="G81" s="435" t="s">
        <v>12</v>
      </c>
      <c r="H81" t="s">
        <v>77</v>
      </c>
      <c r="I81" t="s">
        <v>1</v>
      </c>
      <c r="J81" t="s">
        <v>121</v>
      </c>
      <c r="K81" t="s">
        <v>124</v>
      </c>
      <c r="O81" t="s">
        <v>77</v>
      </c>
      <c r="AC81" t="s">
        <v>2</v>
      </c>
      <c r="AD81" s="80"/>
      <c r="AE81" s="93">
        <f>SUMIFS('5.9 Bus_Sup_Alloc'!$AE$67:$AE$120,'5.9 Bus_Sup_Alloc'!$D$67:$D$120,$D81,'5.9 Bus_Sup_Alloc'!$K$67:$K$120,$K81)</f>
        <v>0</v>
      </c>
      <c r="AF81" s="93">
        <f>SUMIFS('5.9 Bus_Sup_Alloc'!$AE$67:$AE$120,'5.9 Bus_Sup_Alloc'!$D$67:$D$120,$D81,'5.9 Bus_Sup_Alloc'!$K$67:$K$120,$K81)</f>
        <v>0</v>
      </c>
      <c r="AG81" s="93">
        <f>SUMIFS('5.9 Bus_Sup_Alloc'!$AE$67:$AE$120,'5.9 Bus_Sup_Alloc'!$D$67:$D$120,$D81,'5.9 Bus_Sup_Alloc'!$K$67:$K$120,$K81)</f>
        <v>0</v>
      </c>
      <c r="AH81" s="93">
        <f>SUMIFS('5.9 Bus_Sup_Alloc'!$AE$67:$AE$120,'5.9 Bus_Sup_Alloc'!$D$67:$D$120,$D81,'5.9 Bus_Sup_Alloc'!$K$67:$K$120,$K81)</f>
        <v>0</v>
      </c>
      <c r="AI81" s="93">
        <f>SUMIFS('5.9 Bus_Sup_Alloc'!$AE$67:$AE$120,'5.9 Bus_Sup_Alloc'!$D$67:$D$120,$D81,'5.9 Bus_Sup_Alloc'!$K$67:$K$120,$K81)</f>
        <v>0</v>
      </c>
    </row>
    <row r="82" spans="1:35">
      <c r="B82" s="435"/>
      <c r="D82" t="s">
        <v>185</v>
      </c>
      <c r="E82" t="s">
        <v>68</v>
      </c>
      <c r="F82" s="435" t="s">
        <v>274</v>
      </c>
      <c r="G82" s="435" t="s">
        <v>12</v>
      </c>
      <c r="H82" t="s">
        <v>77</v>
      </c>
      <c r="I82" t="s">
        <v>1</v>
      </c>
      <c r="J82" t="s">
        <v>121</v>
      </c>
      <c r="K82" t="s">
        <v>125</v>
      </c>
      <c r="O82" t="s">
        <v>77</v>
      </c>
      <c r="AC82" t="s">
        <v>2</v>
      </c>
      <c r="AD82" s="80"/>
      <c r="AE82" s="93">
        <f>SUMIFS('5.9 Bus_Sup_Alloc'!$AE$67:$AE$120,'5.9 Bus_Sup_Alloc'!$D$67:$D$120,$D82,'5.9 Bus_Sup_Alloc'!$K$67:$K$120,$K82)</f>
        <v>0</v>
      </c>
      <c r="AF82" s="93">
        <f>SUMIFS('5.9 Bus_Sup_Alloc'!$AE$67:$AE$120,'5.9 Bus_Sup_Alloc'!$D$67:$D$120,$D82,'5.9 Bus_Sup_Alloc'!$K$67:$K$120,$K82)</f>
        <v>0</v>
      </c>
      <c r="AG82" s="93">
        <f>SUMIFS('5.9 Bus_Sup_Alloc'!$AE$67:$AE$120,'5.9 Bus_Sup_Alloc'!$D$67:$D$120,$D82,'5.9 Bus_Sup_Alloc'!$K$67:$K$120,$K82)</f>
        <v>0</v>
      </c>
      <c r="AH82" s="93">
        <f>SUMIFS('5.9 Bus_Sup_Alloc'!$AE$67:$AE$120,'5.9 Bus_Sup_Alloc'!$D$67:$D$120,$D82,'5.9 Bus_Sup_Alloc'!$K$67:$K$120,$K82)</f>
        <v>0</v>
      </c>
      <c r="AI82" s="93">
        <f>SUMIFS('5.9 Bus_Sup_Alloc'!$AE$67:$AE$120,'5.9 Bus_Sup_Alloc'!$D$67:$D$120,$D82,'5.9 Bus_Sup_Alloc'!$K$67:$K$120,$K82)</f>
        <v>0</v>
      </c>
    </row>
    <row r="83" spans="1:35">
      <c r="B83" s="435"/>
      <c r="D83" t="s">
        <v>185</v>
      </c>
      <c r="E83" t="s">
        <v>68</v>
      </c>
      <c r="F83" s="435" t="s">
        <v>274</v>
      </c>
      <c r="G83" s="435" t="s">
        <v>12</v>
      </c>
      <c r="H83" t="s">
        <v>77</v>
      </c>
      <c r="I83" t="s">
        <v>1</v>
      </c>
      <c r="J83" t="s">
        <v>121</v>
      </c>
      <c r="K83" t="s">
        <v>126</v>
      </c>
      <c r="O83" t="s">
        <v>77</v>
      </c>
      <c r="AC83" t="s">
        <v>2</v>
      </c>
      <c r="AD83" s="80"/>
      <c r="AE83" s="93">
        <f>SUMIFS('5.9 Bus_Sup_Alloc'!$AE$67:$AE$120,'5.9 Bus_Sup_Alloc'!$D$67:$D$120,$D83,'5.9 Bus_Sup_Alloc'!$K$67:$K$120,$K83)</f>
        <v>0</v>
      </c>
      <c r="AF83" s="93">
        <f>SUMIFS('5.9 Bus_Sup_Alloc'!$AE$67:$AE$120,'5.9 Bus_Sup_Alloc'!$D$67:$D$120,$D83,'5.9 Bus_Sup_Alloc'!$K$67:$K$120,$K83)</f>
        <v>0</v>
      </c>
      <c r="AG83" s="93">
        <f>SUMIFS('5.9 Bus_Sup_Alloc'!$AE$67:$AE$120,'5.9 Bus_Sup_Alloc'!$D$67:$D$120,$D83,'5.9 Bus_Sup_Alloc'!$K$67:$K$120,$K83)</f>
        <v>0</v>
      </c>
      <c r="AH83" s="93">
        <f>SUMIFS('5.9 Bus_Sup_Alloc'!$AE$67:$AE$120,'5.9 Bus_Sup_Alloc'!$D$67:$D$120,$D83,'5.9 Bus_Sup_Alloc'!$K$67:$K$120,$K83)</f>
        <v>0</v>
      </c>
      <c r="AI83" s="93">
        <f>SUMIFS('5.9 Bus_Sup_Alloc'!$AE$67:$AE$120,'5.9 Bus_Sup_Alloc'!$D$67:$D$120,$D83,'5.9 Bus_Sup_Alloc'!$K$67:$K$120,$K83)</f>
        <v>0</v>
      </c>
    </row>
    <row r="84" spans="1:35">
      <c r="B84" s="435"/>
      <c r="D84" t="s">
        <v>185</v>
      </c>
      <c r="E84" t="s">
        <v>68</v>
      </c>
      <c r="F84" s="435" t="s">
        <v>274</v>
      </c>
      <c r="G84" s="435" t="s">
        <v>12</v>
      </c>
      <c r="H84" t="s">
        <v>77</v>
      </c>
      <c r="I84" t="s">
        <v>1</v>
      </c>
      <c r="J84" t="s">
        <v>121</v>
      </c>
      <c r="K84" t="s">
        <v>127</v>
      </c>
      <c r="O84" t="s">
        <v>77</v>
      </c>
      <c r="AC84" t="s">
        <v>2</v>
      </c>
      <c r="AD84" s="80"/>
      <c r="AE84" s="93">
        <f>SUMIFS('5.9 Bus_Sup_Alloc'!$AE$67:$AE$120,'5.9 Bus_Sup_Alloc'!$D$67:$D$120,$D84,'5.9 Bus_Sup_Alloc'!$K$67:$K$120,$K84)</f>
        <v>0</v>
      </c>
      <c r="AF84" s="93">
        <f>SUMIFS('5.9 Bus_Sup_Alloc'!$AE$67:$AE$120,'5.9 Bus_Sup_Alloc'!$D$67:$D$120,$D84,'5.9 Bus_Sup_Alloc'!$K$67:$K$120,$K84)</f>
        <v>0</v>
      </c>
      <c r="AG84" s="93">
        <f>SUMIFS('5.9 Bus_Sup_Alloc'!$AE$67:$AE$120,'5.9 Bus_Sup_Alloc'!$D$67:$D$120,$D84,'5.9 Bus_Sup_Alloc'!$K$67:$K$120,$K84)</f>
        <v>0</v>
      </c>
      <c r="AH84" s="93">
        <f>SUMIFS('5.9 Bus_Sup_Alloc'!$AE$67:$AE$120,'5.9 Bus_Sup_Alloc'!$D$67:$D$120,$D84,'5.9 Bus_Sup_Alloc'!$K$67:$K$120,$K84)</f>
        <v>0</v>
      </c>
      <c r="AI84" s="93">
        <f>SUMIFS('5.9 Bus_Sup_Alloc'!$AE$67:$AE$120,'5.9 Bus_Sup_Alloc'!$D$67:$D$120,$D84,'5.9 Bus_Sup_Alloc'!$K$67:$K$120,$K84)</f>
        <v>0</v>
      </c>
    </row>
    <row r="85" spans="1:35">
      <c r="B85" s="435"/>
      <c r="D85" t="s">
        <v>185</v>
      </c>
      <c r="E85" t="s">
        <v>68</v>
      </c>
      <c r="F85" s="435" t="s">
        <v>274</v>
      </c>
      <c r="G85" s="435" t="s">
        <v>12</v>
      </c>
      <c r="H85" t="s">
        <v>77</v>
      </c>
      <c r="I85" t="s">
        <v>1</v>
      </c>
      <c r="J85" t="s">
        <v>121</v>
      </c>
      <c r="K85" t="s">
        <v>128</v>
      </c>
      <c r="O85" t="s">
        <v>77</v>
      </c>
      <c r="AC85" t="s">
        <v>2</v>
      </c>
      <c r="AD85" s="80"/>
      <c r="AE85" s="93">
        <f>SUMIFS('5.9 Bus_Sup_Alloc'!$AE$67:$AE$120,'5.9 Bus_Sup_Alloc'!$D$67:$D$120,$D85,'5.9 Bus_Sup_Alloc'!$K$67:$K$120,$K85)</f>
        <v>0</v>
      </c>
      <c r="AF85" s="93">
        <f>SUMIFS('5.9 Bus_Sup_Alloc'!$AE$67:$AE$120,'5.9 Bus_Sup_Alloc'!$D$67:$D$120,$D85,'5.9 Bus_Sup_Alloc'!$K$67:$K$120,$K85)</f>
        <v>0</v>
      </c>
      <c r="AG85" s="93">
        <f>SUMIFS('5.9 Bus_Sup_Alloc'!$AE$67:$AE$120,'5.9 Bus_Sup_Alloc'!$D$67:$D$120,$D85,'5.9 Bus_Sup_Alloc'!$K$67:$K$120,$K85)</f>
        <v>0</v>
      </c>
      <c r="AH85" s="93">
        <f>SUMIFS('5.9 Bus_Sup_Alloc'!$AE$67:$AE$120,'5.9 Bus_Sup_Alloc'!$D$67:$D$120,$D85,'5.9 Bus_Sup_Alloc'!$K$67:$K$120,$K85)</f>
        <v>0</v>
      </c>
      <c r="AI85" s="93">
        <f>SUMIFS('5.9 Bus_Sup_Alloc'!$AE$67:$AE$120,'5.9 Bus_Sup_Alloc'!$D$67:$D$120,$D85,'5.9 Bus_Sup_Alloc'!$K$67:$K$120,$K85)</f>
        <v>0</v>
      </c>
    </row>
    <row r="86" spans="1:35">
      <c r="B86" s="435"/>
      <c r="D86" t="s">
        <v>185</v>
      </c>
      <c r="E86" t="s">
        <v>68</v>
      </c>
      <c r="F86" s="435" t="s">
        <v>274</v>
      </c>
      <c r="G86" s="435" t="s">
        <v>12</v>
      </c>
      <c r="H86" t="s">
        <v>77</v>
      </c>
      <c r="I86" t="s">
        <v>1</v>
      </c>
      <c r="J86" t="s">
        <v>121</v>
      </c>
      <c r="O86" t="s">
        <v>77</v>
      </c>
      <c r="AC86" t="s">
        <v>2</v>
      </c>
      <c r="AD86" s="80"/>
      <c r="AE86" s="79"/>
      <c r="AF86" s="79"/>
      <c r="AG86" s="79"/>
      <c r="AH86" s="79"/>
      <c r="AI86" s="79"/>
    </row>
    <row r="87" spans="1:35">
      <c r="B87" s="435"/>
      <c r="D87" t="s">
        <v>185</v>
      </c>
      <c r="E87" t="s">
        <v>68</v>
      </c>
      <c r="F87" s="435" t="s">
        <v>274</v>
      </c>
      <c r="G87" s="435" t="s">
        <v>12</v>
      </c>
      <c r="H87" t="s">
        <v>77</v>
      </c>
      <c r="I87" t="s">
        <v>1</v>
      </c>
      <c r="J87" t="s">
        <v>121</v>
      </c>
      <c r="O87" t="s">
        <v>77</v>
      </c>
      <c r="AC87" t="s">
        <v>2</v>
      </c>
      <c r="AD87" s="80"/>
      <c r="AE87" s="79"/>
      <c r="AF87" s="79"/>
      <c r="AG87" s="79"/>
      <c r="AH87" s="79"/>
      <c r="AI87" s="79"/>
    </row>
    <row r="88" spans="1:35">
      <c r="B88" s="435"/>
    </row>
    <row r="89" spans="1:35" s="1" customFormat="1" ht="13.9">
      <c r="A89" s="66"/>
      <c r="B89" s="78" t="s">
        <v>2698</v>
      </c>
    </row>
    <row r="91" spans="1:35">
      <c r="D91" t="s">
        <v>185</v>
      </c>
      <c r="E91" t="s">
        <v>68</v>
      </c>
      <c r="F91" s="435" t="s">
        <v>274</v>
      </c>
      <c r="G91" s="435" t="s">
        <v>12</v>
      </c>
      <c r="H91" t="s">
        <v>77</v>
      </c>
      <c r="I91" t="s">
        <v>1</v>
      </c>
      <c r="J91" t="s">
        <v>129</v>
      </c>
      <c r="K91" t="s">
        <v>130</v>
      </c>
      <c r="L91" t="s">
        <v>131</v>
      </c>
      <c r="O91" t="s">
        <v>77</v>
      </c>
      <c r="AC91" t="s">
        <v>2</v>
      </c>
      <c r="AD91" s="80"/>
      <c r="AE91" s="81"/>
      <c r="AF91" s="81"/>
      <c r="AG91" s="81"/>
      <c r="AH91" s="81"/>
      <c r="AI91" s="81"/>
    </row>
    <row r="92" spans="1:35">
      <c r="D92" t="s">
        <v>185</v>
      </c>
      <c r="E92" t="s">
        <v>68</v>
      </c>
      <c r="F92" s="435" t="s">
        <v>274</v>
      </c>
      <c r="G92" s="435" t="s">
        <v>12</v>
      </c>
      <c r="H92" t="s">
        <v>77</v>
      </c>
      <c r="I92" t="s">
        <v>1</v>
      </c>
      <c r="J92" t="s">
        <v>129</v>
      </c>
      <c r="K92" t="s">
        <v>130</v>
      </c>
      <c r="L92" t="s">
        <v>132</v>
      </c>
      <c r="O92" t="s">
        <v>77</v>
      </c>
      <c r="AC92" t="s">
        <v>2</v>
      </c>
      <c r="AD92" s="80"/>
      <c r="AE92" s="81"/>
      <c r="AF92" s="81"/>
      <c r="AG92" s="81"/>
      <c r="AH92" s="81"/>
      <c r="AI92" s="81"/>
    </row>
    <row r="93" spans="1:35">
      <c r="D93" t="s">
        <v>185</v>
      </c>
      <c r="E93" t="s">
        <v>68</v>
      </c>
      <c r="F93" s="435" t="s">
        <v>274</v>
      </c>
      <c r="G93" s="435" t="s">
        <v>12</v>
      </c>
      <c r="H93" t="s">
        <v>77</v>
      </c>
      <c r="I93" t="s">
        <v>1</v>
      </c>
      <c r="J93" t="s">
        <v>129</v>
      </c>
      <c r="K93" t="s">
        <v>130</v>
      </c>
      <c r="L93" t="s">
        <v>133</v>
      </c>
      <c r="O93" t="s">
        <v>77</v>
      </c>
      <c r="AC93" t="s">
        <v>2</v>
      </c>
      <c r="AD93" s="80"/>
      <c r="AE93" s="81"/>
      <c r="AF93" s="81"/>
      <c r="AG93" s="81"/>
      <c r="AH93" s="81"/>
      <c r="AI93" s="81"/>
    </row>
    <row r="94" spans="1:35">
      <c r="D94" t="s">
        <v>185</v>
      </c>
      <c r="E94" t="s">
        <v>68</v>
      </c>
      <c r="F94" s="435" t="s">
        <v>274</v>
      </c>
      <c r="G94" s="435" t="s">
        <v>12</v>
      </c>
      <c r="H94" t="s">
        <v>77</v>
      </c>
      <c r="I94" t="s">
        <v>1</v>
      </c>
      <c r="J94" t="s">
        <v>129</v>
      </c>
      <c r="K94" t="s">
        <v>134</v>
      </c>
      <c r="L94" t="s">
        <v>135</v>
      </c>
      <c r="O94" t="s">
        <v>77</v>
      </c>
      <c r="AC94" t="s">
        <v>2</v>
      </c>
      <c r="AD94" s="80"/>
      <c r="AE94" s="81"/>
      <c r="AF94" s="81"/>
      <c r="AG94" s="81"/>
      <c r="AH94" s="81"/>
      <c r="AI94" s="81"/>
    </row>
    <row r="95" spans="1:35">
      <c r="D95" t="s">
        <v>185</v>
      </c>
      <c r="E95" t="s">
        <v>68</v>
      </c>
      <c r="F95" s="435" t="s">
        <v>274</v>
      </c>
      <c r="G95" s="435" t="s">
        <v>12</v>
      </c>
      <c r="H95" t="s">
        <v>77</v>
      </c>
      <c r="I95" t="s">
        <v>1</v>
      </c>
      <c r="J95" t="s">
        <v>129</v>
      </c>
      <c r="K95" t="s">
        <v>134</v>
      </c>
      <c r="L95" t="s">
        <v>136</v>
      </c>
      <c r="O95" t="s">
        <v>77</v>
      </c>
      <c r="AC95" t="s">
        <v>2</v>
      </c>
      <c r="AD95" s="80"/>
      <c r="AE95" s="81"/>
      <c r="AF95" s="81"/>
      <c r="AG95" s="81"/>
      <c r="AH95" s="81"/>
      <c r="AI95" s="81"/>
    </row>
    <row r="96" spans="1:35">
      <c r="D96" t="s">
        <v>185</v>
      </c>
      <c r="E96" t="s">
        <v>68</v>
      </c>
      <c r="F96" s="435" t="s">
        <v>274</v>
      </c>
      <c r="G96" s="435" t="s">
        <v>12</v>
      </c>
      <c r="H96" t="s">
        <v>77</v>
      </c>
      <c r="I96" t="s">
        <v>1</v>
      </c>
      <c r="J96" t="s">
        <v>129</v>
      </c>
      <c r="K96" t="s">
        <v>134</v>
      </c>
      <c r="L96" t="s">
        <v>137</v>
      </c>
      <c r="O96" t="s">
        <v>77</v>
      </c>
      <c r="AC96" t="s">
        <v>2</v>
      </c>
      <c r="AD96" s="80"/>
      <c r="AE96" s="81"/>
      <c r="AF96" s="81"/>
      <c r="AG96" s="81"/>
      <c r="AH96" s="81"/>
      <c r="AI96" s="81"/>
    </row>
    <row r="97" spans="1:35">
      <c r="D97" t="s">
        <v>185</v>
      </c>
      <c r="E97" t="s">
        <v>68</v>
      </c>
      <c r="F97" s="435" t="s">
        <v>274</v>
      </c>
      <c r="G97" s="435" t="s">
        <v>12</v>
      </c>
      <c r="H97" t="s">
        <v>77</v>
      </c>
      <c r="I97" t="s">
        <v>1</v>
      </c>
      <c r="J97" t="s">
        <v>129</v>
      </c>
      <c r="K97" t="s">
        <v>134</v>
      </c>
      <c r="L97" t="s">
        <v>138</v>
      </c>
      <c r="O97" t="s">
        <v>77</v>
      </c>
      <c r="AC97" t="s">
        <v>2</v>
      </c>
      <c r="AD97" s="80"/>
      <c r="AE97" s="81"/>
      <c r="AF97" s="81"/>
      <c r="AG97" s="81"/>
      <c r="AH97" s="81"/>
      <c r="AI97" s="81"/>
    </row>
    <row r="98" spans="1:35">
      <c r="D98" t="s">
        <v>185</v>
      </c>
      <c r="E98" t="s">
        <v>68</v>
      </c>
      <c r="F98" s="435" t="s">
        <v>274</v>
      </c>
      <c r="G98" s="435" t="s">
        <v>12</v>
      </c>
      <c r="H98" t="s">
        <v>77</v>
      </c>
      <c r="I98" t="s">
        <v>1</v>
      </c>
      <c r="J98" t="s">
        <v>129</v>
      </c>
      <c r="K98" t="s">
        <v>134</v>
      </c>
      <c r="L98" t="s">
        <v>139</v>
      </c>
      <c r="O98" t="s">
        <v>77</v>
      </c>
      <c r="AC98" t="s">
        <v>2</v>
      </c>
      <c r="AD98" s="80"/>
      <c r="AE98" s="81"/>
      <c r="AF98" s="81"/>
      <c r="AG98" s="81"/>
      <c r="AH98" s="81"/>
      <c r="AI98" s="81"/>
    </row>
    <row r="99" spans="1:35">
      <c r="D99" t="s">
        <v>185</v>
      </c>
      <c r="E99" t="s">
        <v>68</v>
      </c>
      <c r="F99" s="435" t="s">
        <v>274</v>
      </c>
      <c r="G99" s="435" t="s">
        <v>12</v>
      </c>
      <c r="H99" t="s">
        <v>77</v>
      </c>
      <c r="I99" t="s">
        <v>1</v>
      </c>
      <c r="J99" t="s">
        <v>129</v>
      </c>
      <c r="K99" t="s">
        <v>134</v>
      </c>
      <c r="L99" t="s">
        <v>140</v>
      </c>
      <c r="O99" t="s">
        <v>77</v>
      </c>
      <c r="AC99" t="s">
        <v>2</v>
      </c>
      <c r="AD99" s="80"/>
      <c r="AE99" s="81"/>
      <c r="AF99" s="81"/>
      <c r="AG99" s="81"/>
      <c r="AH99" s="81"/>
      <c r="AI99" s="81"/>
    </row>
    <row r="100" spans="1:35">
      <c r="D100" t="s">
        <v>185</v>
      </c>
      <c r="E100" t="s">
        <v>68</v>
      </c>
      <c r="F100" s="435" t="s">
        <v>274</v>
      </c>
      <c r="G100" s="435" t="s">
        <v>12</v>
      </c>
      <c r="H100" t="s">
        <v>77</v>
      </c>
      <c r="I100" t="s">
        <v>1</v>
      </c>
      <c r="J100" t="s">
        <v>129</v>
      </c>
      <c r="K100" t="s">
        <v>134</v>
      </c>
      <c r="L100" t="s">
        <v>141</v>
      </c>
      <c r="O100" t="s">
        <v>77</v>
      </c>
      <c r="AC100" t="s">
        <v>2</v>
      </c>
      <c r="AD100" s="80"/>
      <c r="AE100" s="81"/>
      <c r="AF100" s="81"/>
      <c r="AG100" s="81"/>
      <c r="AH100" s="81"/>
      <c r="AI100" s="81"/>
    </row>
    <row r="101" spans="1:35">
      <c r="D101" t="s">
        <v>185</v>
      </c>
      <c r="E101" t="s">
        <v>68</v>
      </c>
      <c r="F101" s="435" t="s">
        <v>274</v>
      </c>
      <c r="G101" s="435" t="s">
        <v>12</v>
      </c>
      <c r="H101" t="s">
        <v>77</v>
      </c>
      <c r="I101" t="s">
        <v>1</v>
      </c>
      <c r="J101" t="s">
        <v>129</v>
      </c>
      <c r="K101" t="s">
        <v>134</v>
      </c>
      <c r="L101" t="s">
        <v>142</v>
      </c>
      <c r="O101" t="s">
        <v>77</v>
      </c>
      <c r="AC101" t="s">
        <v>2</v>
      </c>
      <c r="AD101" s="80"/>
      <c r="AE101" s="81"/>
      <c r="AF101" s="81"/>
      <c r="AG101" s="81"/>
      <c r="AH101" s="81"/>
      <c r="AI101" s="81"/>
    </row>
    <row r="102" spans="1:35">
      <c r="D102" t="s">
        <v>185</v>
      </c>
      <c r="E102" t="s">
        <v>68</v>
      </c>
      <c r="F102" s="435" t="s">
        <v>274</v>
      </c>
      <c r="G102" s="435" t="s">
        <v>12</v>
      </c>
      <c r="H102" t="s">
        <v>77</v>
      </c>
      <c r="I102" t="s">
        <v>1</v>
      </c>
      <c r="J102" t="s">
        <v>129</v>
      </c>
      <c r="K102" t="s">
        <v>134</v>
      </c>
      <c r="L102" t="s">
        <v>143</v>
      </c>
      <c r="O102" t="s">
        <v>77</v>
      </c>
      <c r="AC102" t="s">
        <v>2</v>
      </c>
      <c r="AD102" s="80"/>
      <c r="AE102" s="81"/>
      <c r="AF102" s="81"/>
      <c r="AG102" s="81"/>
      <c r="AH102" s="81"/>
      <c r="AI102" s="81"/>
    </row>
    <row r="103" spans="1:35">
      <c r="D103" t="s">
        <v>185</v>
      </c>
      <c r="E103" t="s">
        <v>68</v>
      </c>
      <c r="F103" s="435" t="s">
        <v>274</v>
      </c>
      <c r="G103" s="435" t="s">
        <v>12</v>
      </c>
      <c r="H103" t="s">
        <v>77</v>
      </c>
      <c r="I103" t="s">
        <v>1</v>
      </c>
      <c r="J103" t="s">
        <v>129</v>
      </c>
      <c r="O103" t="s">
        <v>77</v>
      </c>
      <c r="AC103" t="s">
        <v>2</v>
      </c>
      <c r="AD103" s="80"/>
      <c r="AE103" s="79"/>
      <c r="AF103" s="79"/>
      <c r="AG103" s="79"/>
      <c r="AH103" s="79"/>
      <c r="AI103" s="79"/>
    </row>
    <row r="104" spans="1:35">
      <c r="D104" t="s">
        <v>185</v>
      </c>
      <c r="E104" t="s">
        <v>68</v>
      </c>
      <c r="F104" s="435" t="s">
        <v>274</v>
      </c>
      <c r="G104" s="435" t="s">
        <v>12</v>
      </c>
      <c r="H104" t="s">
        <v>77</v>
      </c>
      <c r="I104" t="s">
        <v>1</v>
      </c>
      <c r="J104" t="s">
        <v>129</v>
      </c>
      <c r="O104" t="s">
        <v>77</v>
      </c>
      <c r="AC104" t="s">
        <v>2</v>
      </c>
      <c r="AD104" s="80"/>
      <c r="AE104" s="79"/>
      <c r="AF104" s="79"/>
      <c r="AG104" s="79"/>
      <c r="AH104" s="79"/>
      <c r="AI104" s="79"/>
    </row>
    <row r="105" spans="1:35">
      <c r="D105" t="s">
        <v>185</v>
      </c>
      <c r="E105" t="s">
        <v>68</v>
      </c>
      <c r="F105" s="435" t="s">
        <v>274</v>
      </c>
      <c r="G105" s="435" t="s">
        <v>12</v>
      </c>
      <c r="H105" t="s">
        <v>77</v>
      </c>
      <c r="I105" t="s">
        <v>1</v>
      </c>
      <c r="J105" t="s">
        <v>129</v>
      </c>
      <c r="O105" t="s">
        <v>77</v>
      </c>
      <c r="AC105" t="s">
        <v>2</v>
      </c>
      <c r="AD105" s="80"/>
      <c r="AE105" s="79"/>
      <c r="AF105" s="79"/>
      <c r="AG105" s="79"/>
      <c r="AH105" s="79"/>
      <c r="AI105" s="79"/>
    </row>
    <row r="107" spans="1:35" s="1" customFormat="1" ht="13.9">
      <c r="A107" s="66"/>
      <c r="B107" s="78" t="s">
        <v>146</v>
      </c>
    </row>
    <row r="109" spans="1:35">
      <c r="D109" t="s">
        <v>185</v>
      </c>
      <c r="E109" t="s">
        <v>68</v>
      </c>
      <c r="F109" s="435" t="s">
        <v>274</v>
      </c>
      <c r="G109" s="435" t="s">
        <v>12</v>
      </c>
      <c r="H109" t="s">
        <v>77</v>
      </c>
      <c r="I109" t="s">
        <v>1</v>
      </c>
      <c r="J109" t="s">
        <v>147</v>
      </c>
      <c r="K109" t="s">
        <v>178</v>
      </c>
      <c r="O109" t="s">
        <v>77</v>
      </c>
      <c r="AC109" t="s">
        <v>2</v>
      </c>
      <c r="AD109" s="80"/>
      <c r="AE109" s="81"/>
      <c r="AF109" s="81"/>
      <c r="AG109" s="81"/>
      <c r="AH109" s="81"/>
      <c r="AI109" s="81"/>
    </row>
    <row r="110" spans="1:35">
      <c r="D110" t="s">
        <v>185</v>
      </c>
      <c r="E110" t="s">
        <v>68</v>
      </c>
      <c r="F110" s="435" t="s">
        <v>274</v>
      </c>
      <c r="G110" s="435" t="s">
        <v>12</v>
      </c>
      <c r="H110" t="s">
        <v>77</v>
      </c>
      <c r="I110" t="s">
        <v>1</v>
      </c>
      <c r="O110" t="s">
        <v>77</v>
      </c>
      <c r="AC110" t="s">
        <v>2</v>
      </c>
      <c r="AD110" s="80"/>
      <c r="AE110" s="79"/>
      <c r="AF110" s="79"/>
      <c r="AG110" s="79"/>
      <c r="AH110" s="79"/>
      <c r="AI110" s="79"/>
    </row>
    <row r="111" spans="1:35">
      <c r="AE111" s="76"/>
      <c r="AF111" s="76"/>
      <c r="AG111" s="76"/>
      <c r="AH111" s="76"/>
      <c r="AI111" s="76"/>
    </row>
    <row r="112" spans="1:35" s="1" customFormat="1" ht="13.9">
      <c r="A112" s="66"/>
      <c r="B112" s="78" t="s">
        <v>154</v>
      </c>
    </row>
    <row r="114" spans="1:36">
      <c r="D114" t="s">
        <v>185</v>
      </c>
      <c r="E114" t="s">
        <v>68</v>
      </c>
      <c r="F114" s="435" t="s">
        <v>274</v>
      </c>
      <c r="G114" s="435" t="s">
        <v>12</v>
      </c>
      <c r="H114" t="s">
        <v>77</v>
      </c>
      <c r="I114" t="s">
        <v>1</v>
      </c>
      <c r="J114" t="s">
        <v>188</v>
      </c>
      <c r="K114" t="s">
        <v>154</v>
      </c>
      <c r="O114" t="s">
        <v>77</v>
      </c>
      <c r="AC114" t="s">
        <v>2</v>
      </c>
      <c r="AD114" s="80"/>
      <c r="AE114" s="81"/>
      <c r="AF114" s="81"/>
      <c r="AG114" s="81"/>
      <c r="AH114" s="81"/>
      <c r="AI114" s="81"/>
      <c r="AJ114" s="436" t="s">
        <v>2738</v>
      </c>
    </row>
    <row r="115" spans="1:36">
      <c r="AD115" s="80"/>
      <c r="AE115" s="95"/>
      <c r="AF115" s="95"/>
      <c r="AG115" s="95"/>
      <c r="AH115" s="95"/>
      <c r="AI115" s="95"/>
    </row>
    <row r="116" spans="1:36" s="73" customFormat="1" ht="18">
      <c r="A116" s="74" t="s">
        <v>76</v>
      </c>
    </row>
  </sheetData>
  <mergeCells count="1">
    <mergeCell ref="AE6:AI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K107"/>
  <sheetViews>
    <sheetView zoomScale="80" zoomScaleNormal="80" workbookViewId="0">
      <pane ySplit="8" topLeftCell="A9" activePane="bottomLeft" state="frozen"/>
      <selection activeCell="F13" sqref="F13"/>
      <selection pane="bottomLeft"/>
    </sheetView>
  </sheetViews>
  <sheetFormatPr defaultRowHeight="14.25"/>
  <cols>
    <col min="1" max="3" width="1.73046875" customWidth="1"/>
    <col min="4" max="4" width="8.1328125" bestFit="1" customWidth="1"/>
    <col min="5" max="5" width="5" bestFit="1" customWidth="1"/>
    <col min="6" max="6" width="12.1328125" style="435" bestFit="1" customWidth="1"/>
    <col min="7" max="7" width="11.265625" style="435" bestFit="1" customWidth="1"/>
    <col min="8" max="8" width="13.73046875" bestFit="1" customWidth="1"/>
    <col min="9" max="9" width="9.73046875" bestFit="1" customWidth="1"/>
    <col min="10" max="10" width="33.3984375" bestFit="1" customWidth="1"/>
    <col min="11" max="11" width="17.86328125" bestFit="1" customWidth="1"/>
    <col min="12" max="12" width="51.86328125" bestFit="1" customWidth="1"/>
    <col min="13" max="14" width="1.73046875" customWidth="1"/>
    <col min="15" max="15" width="25.73046875" bestFit="1" customWidth="1"/>
    <col min="16" max="17" width="1.73046875" customWidth="1"/>
    <col min="18"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208</v>
      </c>
    </row>
    <row r="6" spans="1:35">
      <c r="AD6" s="435"/>
      <c r="AE6" s="1347" t="s">
        <v>112</v>
      </c>
      <c r="AF6" s="1348"/>
      <c r="AG6" s="1348"/>
      <c r="AH6" s="1348"/>
      <c r="AI6" s="1349"/>
    </row>
    <row r="7" spans="1:35" s="67" customFormat="1">
      <c r="D7" s="87" t="s">
        <v>111</v>
      </c>
      <c r="E7" s="87" t="s">
        <v>68</v>
      </c>
      <c r="F7" s="87" t="s">
        <v>2692</v>
      </c>
      <c r="G7" s="87" t="s">
        <v>2681</v>
      </c>
      <c r="H7" s="87" t="s">
        <v>110</v>
      </c>
      <c r="I7" s="87" t="s">
        <v>109</v>
      </c>
      <c r="J7" s="87" t="s">
        <v>108</v>
      </c>
      <c r="K7" s="87" t="s">
        <v>107</v>
      </c>
      <c r="L7" s="87" t="s">
        <v>106</v>
      </c>
      <c r="M7" s="87" t="s">
        <v>105</v>
      </c>
      <c r="N7" s="87"/>
      <c r="O7" s="87" t="s">
        <v>103</v>
      </c>
      <c r="P7" s="87"/>
      <c r="Q7" s="87"/>
      <c r="R7" s="86" t="s">
        <v>101</v>
      </c>
      <c r="S7" s="86" t="s">
        <v>100</v>
      </c>
      <c r="T7" s="86" t="s">
        <v>99</v>
      </c>
      <c r="U7" s="86" t="s">
        <v>98</v>
      </c>
      <c r="V7" s="86" t="s">
        <v>97</v>
      </c>
      <c r="W7" s="86" t="s">
        <v>96</v>
      </c>
      <c r="X7" s="86" t="s">
        <v>95</v>
      </c>
      <c r="Y7" s="86" t="s">
        <v>94</v>
      </c>
      <c r="Z7" s="86" t="s">
        <v>93</v>
      </c>
      <c r="AA7" s="86" t="s">
        <v>92</v>
      </c>
      <c r="AB7" s="86" t="s">
        <v>91</v>
      </c>
      <c r="AC7" s="67" t="s">
        <v>5</v>
      </c>
      <c r="AE7" s="84">
        <v>2022</v>
      </c>
      <c r="AF7" s="83">
        <v>2023</v>
      </c>
      <c r="AG7" s="83">
        <v>2024</v>
      </c>
      <c r="AH7" s="83">
        <v>2025</v>
      </c>
      <c r="AI7" s="82">
        <v>2026</v>
      </c>
    </row>
    <row r="8" spans="1:35">
      <c r="R8" s="67"/>
      <c r="S8" s="67"/>
      <c r="T8" s="67"/>
      <c r="U8" s="67"/>
      <c r="AD8" s="67"/>
    </row>
    <row r="9" spans="1:35" s="1" customFormat="1" ht="17.649999999999999">
      <c r="A9" s="2" t="s">
        <v>87</v>
      </c>
      <c r="B9" s="2"/>
    </row>
    <row r="11" spans="1:35" s="1" customFormat="1" ht="13.9">
      <c r="A11" s="66"/>
      <c r="B11" s="78" t="s">
        <v>2700</v>
      </c>
    </row>
    <row r="13" spans="1:35" s="435" customFormat="1">
      <c r="D13" s="435" t="s">
        <v>79</v>
      </c>
      <c r="E13" s="435" t="s">
        <v>68</v>
      </c>
      <c r="F13" s="435" t="s">
        <v>274</v>
      </c>
      <c r="G13" s="435" t="s">
        <v>12</v>
      </c>
      <c r="H13" s="435" t="s">
        <v>209</v>
      </c>
      <c r="I13" s="435" t="s">
        <v>1</v>
      </c>
      <c r="J13" s="435" t="s">
        <v>145</v>
      </c>
      <c r="K13" s="831" t="s">
        <v>300</v>
      </c>
      <c r="L13" s="831" t="s">
        <v>301</v>
      </c>
      <c r="O13" s="435" t="s">
        <v>209</v>
      </c>
      <c r="AC13" s="435" t="s">
        <v>2</v>
      </c>
      <c r="AE13" s="81"/>
      <c r="AF13" s="81"/>
      <c r="AG13" s="81"/>
      <c r="AH13" s="81"/>
      <c r="AI13" s="81"/>
    </row>
    <row r="14" spans="1:35" s="435" customFormat="1">
      <c r="D14" s="435" t="s">
        <v>79</v>
      </c>
      <c r="E14" s="435" t="s">
        <v>68</v>
      </c>
      <c r="F14" s="435" t="s">
        <v>274</v>
      </c>
      <c r="G14" s="435" t="s">
        <v>12</v>
      </c>
      <c r="H14" s="435" t="s">
        <v>209</v>
      </c>
      <c r="I14" s="435" t="s">
        <v>1</v>
      </c>
      <c r="J14" s="435" t="s">
        <v>145</v>
      </c>
      <c r="K14" s="831" t="s">
        <v>300</v>
      </c>
      <c r="L14" s="831" t="s">
        <v>302</v>
      </c>
      <c r="O14" s="435" t="s">
        <v>209</v>
      </c>
      <c r="AC14" s="435" t="s">
        <v>2</v>
      </c>
      <c r="AE14" s="81"/>
      <c r="AF14" s="81"/>
      <c r="AG14" s="81"/>
      <c r="AH14" s="81"/>
      <c r="AI14" s="81"/>
    </row>
    <row r="15" spans="1:35" s="435" customFormat="1">
      <c r="D15" s="435" t="s">
        <v>79</v>
      </c>
      <c r="E15" s="435" t="s">
        <v>68</v>
      </c>
      <c r="F15" s="435" t="s">
        <v>274</v>
      </c>
      <c r="G15" s="435" t="s">
        <v>12</v>
      </c>
      <c r="H15" s="435" t="s">
        <v>209</v>
      </c>
      <c r="I15" s="435" t="s">
        <v>1</v>
      </c>
      <c r="J15" s="435" t="s">
        <v>145</v>
      </c>
      <c r="K15" s="831" t="s">
        <v>300</v>
      </c>
      <c r="L15" s="831" t="s">
        <v>1690</v>
      </c>
      <c r="O15" s="435" t="s">
        <v>209</v>
      </c>
      <c r="AC15" s="435" t="s">
        <v>2</v>
      </c>
      <c r="AE15" s="81"/>
      <c r="AF15" s="81"/>
      <c r="AG15" s="81"/>
      <c r="AH15" s="81"/>
      <c r="AI15" s="81"/>
    </row>
    <row r="16" spans="1:35" s="435" customFormat="1">
      <c r="D16" s="435" t="s">
        <v>79</v>
      </c>
      <c r="E16" s="435" t="s">
        <v>68</v>
      </c>
      <c r="F16" s="435" t="s">
        <v>274</v>
      </c>
      <c r="G16" s="435" t="s">
        <v>12</v>
      </c>
      <c r="H16" s="435" t="s">
        <v>209</v>
      </c>
      <c r="I16" s="435" t="s">
        <v>1</v>
      </c>
      <c r="J16" s="435" t="s">
        <v>145</v>
      </c>
      <c r="K16" s="831" t="s">
        <v>303</v>
      </c>
      <c r="L16" s="831" t="s">
        <v>304</v>
      </c>
      <c r="O16" s="435" t="s">
        <v>209</v>
      </c>
      <c r="AC16" s="435" t="s">
        <v>2</v>
      </c>
      <c r="AE16" s="81"/>
      <c r="AF16" s="81"/>
      <c r="AG16" s="81"/>
      <c r="AH16" s="81"/>
      <c r="AI16" s="81"/>
    </row>
    <row r="17" spans="4:35" s="435" customFormat="1">
      <c r="D17" s="435" t="s">
        <v>79</v>
      </c>
      <c r="E17" s="435" t="s">
        <v>68</v>
      </c>
      <c r="F17" s="435" t="s">
        <v>274</v>
      </c>
      <c r="G17" s="435" t="s">
        <v>12</v>
      </c>
      <c r="H17" s="435" t="s">
        <v>209</v>
      </c>
      <c r="I17" s="435" t="s">
        <v>1</v>
      </c>
      <c r="J17" s="435" t="s">
        <v>145</v>
      </c>
      <c r="K17" s="831" t="s">
        <v>303</v>
      </c>
      <c r="L17" s="831" t="s">
        <v>305</v>
      </c>
      <c r="O17" s="435" t="s">
        <v>209</v>
      </c>
      <c r="AC17" s="435" t="s">
        <v>2</v>
      </c>
      <c r="AE17" s="81"/>
      <c r="AF17" s="81"/>
      <c r="AG17" s="81"/>
      <c r="AH17" s="81"/>
      <c r="AI17" s="81"/>
    </row>
    <row r="18" spans="4:35" s="435" customFormat="1">
      <c r="D18" s="435" t="s">
        <v>79</v>
      </c>
      <c r="E18" s="435" t="s">
        <v>68</v>
      </c>
      <c r="F18" s="435" t="s">
        <v>274</v>
      </c>
      <c r="G18" s="435" t="s">
        <v>12</v>
      </c>
      <c r="H18" s="435" t="s">
        <v>209</v>
      </c>
      <c r="I18" s="435" t="s">
        <v>1</v>
      </c>
      <c r="J18" s="435" t="s">
        <v>145</v>
      </c>
      <c r="K18" s="831" t="s">
        <v>303</v>
      </c>
      <c r="L18" s="831" t="s">
        <v>306</v>
      </c>
      <c r="O18" s="435" t="s">
        <v>209</v>
      </c>
      <c r="AC18" s="435" t="s">
        <v>2</v>
      </c>
      <c r="AE18" s="81"/>
      <c r="AF18" s="81"/>
      <c r="AG18" s="81"/>
      <c r="AH18" s="81"/>
      <c r="AI18" s="81"/>
    </row>
    <row r="19" spans="4:35" s="435" customFormat="1">
      <c r="D19" s="435" t="s">
        <v>79</v>
      </c>
      <c r="E19" s="435" t="s">
        <v>68</v>
      </c>
      <c r="F19" s="435" t="s">
        <v>274</v>
      </c>
      <c r="G19" s="435" t="s">
        <v>12</v>
      </c>
      <c r="H19" s="435" t="s">
        <v>209</v>
      </c>
      <c r="I19" s="435" t="s">
        <v>1</v>
      </c>
      <c r="J19" s="435" t="s">
        <v>145</v>
      </c>
      <c r="K19" s="831" t="s">
        <v>303</v>
      </c>
      <c r="L19" s="831" t="s">
        <v>1690</v>
      </c>
      <c r="O19" s="435" t="s">
        <v>209</v>
      </c>
      <c r="AC19" s="435" t="s">
        <v>2</v>
      </c>
      <c r="AE19" s="81"/>
      <c r="AF19" s="81"/>
      <c r="AG19" s="81"/>
      <c r="AH19" s="81"/>
      <c r="AI19" s="81"/>
    </row>
    <row r="20" spans="4:35" s="435" customFormat="1">
      <c r="D20" s="435" t="s">
        <v>79</v>
      </c>
      <c r="E20" s="435" t="s">
        <v>68</v>
      </c>
      <c r="F20" s="435" t="s">
        <v>274</v>
      </c>
      <c r="G20" s="435" t="s">
        <v>12</v>
      </c>
      <c r="H20" s="435" t="s">
        <v>209</v>
      </c>
      <c r="I20" s="435" t="s">
        <v>1</v>
      </c>
      <c r="J20" s="435" t="s">
        <v>145</v>
      </c>
      <c r="K20" s="831" t="s">
        <v>255</v>
      </c>
      <c r="L20" s="831" t="s">
        <v>255</v>
      </c>
      <c r="O20" s="435" t="s">
        <v>209</v>
      </c>
      <c r="AC20" s="435" t="s">
        <v>2</v>
      </c>
      <c r="AE20" s="81"/>
      <c r="AF20" s="81"/>
      <c r="AG20" s="81"/>
      <c r="AH20" s="81"/>
      <c r="AI20" s="81"/>
    </row>
    <row r="21" spans="4:35" s="435" customFormat="1">
      <c r="D21" s="435" t="s">
        <v>79</v>
      </c>
      <c r="E21" s="435" t="s">
        <v>68</v>
      </c>
      <c r="F21" s="435" t="s">
        <v>274</v>
      </c>
      <c r="G21" s="435" t="s">
        <v>12</v>
      </c>
      <c r="H21" s="435" t="s">
        <v>209</v>
      </c>
      <c r="I21" s="435" t="s">
        <v>1</v>
      </c>
      <c r="J21" s="435" t="s">
        <v>145</v>
      </c>
      <c r="K21" s="831" t="s">
        <v>255</v>
      </c>
      <c r="L21" s="831" t="s">
        <v>1691</v>
      </c>
      <c r="O21" s="435" t="s">
        <v>209</v>
      </c>
      <c r="AC21" s="435" t="s">
        <v>2</v>
      </c>
      <c r="AE21" s="81"/>
      <c r="AF21" s="81"/>
      <c r="AG21" s="81"/>
      <c r="AH21" s="81"/>
      <c r="AI21" s="81"/>
    </row>
    <row r="22" spans="4:35" s="435" customFormat="1">
      <c r="D22" s="435" t="s">
        <v>79</v>
      </c>
      <c r="E22" s="435" t="s">
        <v>68</v>
      </c>
      <c r="F22" s="435" t="s">
        <v>274</v>
      </c>
      <c r="G22" s="435" t="s">
        <v>12</v>
      </c>
      <c r="H22" s="435" t="s">
        <v>209</v>
      </c>
      <c r="I22" s="435" t="s">
        <v>1</v>
      </c>
      <c r="J22" s="435" t="s">
        <v>145</v>
      </c>
      <c r="K22" s="831" t="s">
        <v>255</v>
      </c>
      <c r="L22" s="831" t="s">
        <v>308</v>
      </c>
      <c r="O22" s="435" t="s">
        <v>209</v>
      </c>
      <c r="AC22" s="435" t="s">
        <v>2</v>
      </c>
      <c r="AE22" s="81"/>
      <c r="AF22" s="81"/>
      <c r="AG22" s="81"/>
      <c r="AH22" s="81"/>
      <c r="AI22" s="81"/>
    </row>
    <row r="23" spans="4:35" s="435" customFormat="1">
      <c r="D23" s="435" t="s">
        <v>79</v>
      </c>
      <c r="E23" s="435" t="s">
        <v>68</v>
      </c>
      <c r="F23" s="435" t="s">
        <v>274</v>
      </c>
      <c r="G23" s="435" t="s">
        <v>12</v>
      </c>
      <c r="H23" s="435" t="s">
        <v>209</v>
      </c>
      <c r="I23" s="435" t="s">
        <v>1</v>
      </c>
      <c r="J23" s="435" t="s">
        <v>145</v>
      </c>
      <c r="K23" s="831" t="s">
        <v>255</v>
      </c>
      <c r="L23" s="831" t="s">
        <v>309</v>
      </c>
      <c r="O23" s="435" t="s">
        <v>209</v>
      </c>
      <c r="AC23" s="435" t="s">
        <v>2</v>
      </c>
      <c r="AE23" s="81"/>
      <c r="AF23" s="81"/>
      <c r="AG23" s="81"/>
      <c r="AH23" s="81"/>
      <c r="AI23" s="81"/>
    </row>
    <row r="24" spans="4:35" s="435" customFormat="1">
      <c r="D24" s="435" t="s">
        <v>79</v>
      </c>
      <c r="E24" s="435" t="s">
        <v>68</v>
      </c>
      <c r="F24" s="435" t="s">
        <v>274</v>
      </c>
      <c r="G24" s="435" t="s">
        <v>12</v>
      </c>
      <c r="H24" s="435" t="s">
        <v>209</v>
      </c>
      <c r="I24" s="435" t="s">
        <v>1</v>
      </c>
      <c r="J24" s="435" t="s">
        <v>145</v>
      </c>
      <c r="K24" s="831" t="s">
        <v>255</v>
      </c>
      <c r="L24" s="831" t="s">
        <v>1690</v>
      </c>
      <c r="O24" s="435" t="s">
        <v>209</v>
      </c>
      <c r="AC24" s="435" t="s">
        <v>2</v>
      </c>
      <c r="AE24" s="81"/>
      <c r="AF24" s="81"/>
      <c r="AG24" s="81"/>
      <c r="AH24" s="81"/>
      <c r="AI24" s="81"/>
    </row>
    <row r="25" spans="4:35" s="435" customFormat="1">
      <c r="D25" s="435" t="s">
        <v>79</v>
      </c>
      <c r="E25" s="435" t="s">
        <v>68</v>
      </c>
      <c r="F25" s="435" t="s">
        <v>274</v>
      </c>
      <c r="G25" s="435" t="s">
        <v>12</v>
      </c>
      <c r="H25" s="435" t="s">
        <v>209</v>
      </c>
      <c r="I25" s="435" t="s">
        <v>1</v>
      </c>
      <c r="J25" s="435" t="s">
        <v>145</v>
      </c>
      <c r="K25" s="831" t="s">
        <v>310</v>
      </c>
      <c r="L25" s="831" t="s">
        <v>311</v>
      </c>
      <c r="O25" s="435" t="s">
        <v>209</v>
      </c>
      <c r="AC25" s="435" t="s">
        <v>2</v>
      </c>
      <c r="AE25" s="81"/>
      <c r="AF25" s="81"/>
      <c r="AG25" s="81"/>
      <c r="AH25" s="81"/>
      <c r="AI25" s="81"/>
    </row>
    <row r="26" spans="4:35" s="435" customFormat="1">
      <c r="D26" s="435" t="s">
        <v>79</v>
      </c>
      <c r="E26" s="435" t="s">
        <v>68</v>
      </c>
      <c r="F26" s="435" t="s">
        <v>274</v>
      </c>
      <c r="G26" s="435" t="s">
        <v>12</v>
      </c>
      <c r="H26" s="435" t="s">
        <v>209</v>
      </c>
      <c r="I26" s="435" t="s">
        <v>1</v>
      </c>
      <c r="J26" s="435" t="s">
        <v>145</v>
      </c>
      <c r="K26" s="831" t="s">
        <v>310</v>
      </c>
      <c r="L26" s="831" t="s">
        <v>312</v>
      </c>
      <c r="O26" s="435" t="s">
        <v>209</v>
      </c>
      <c r="AC26" s="435" t="s">
        <v>2</v>
      </c>
      <c r="AE26" s="81"/>
      <c r="AF26" s="81"/>
      <c r="AG26" s="81"/>
      <c r="AH26" s="81"/>
      <c r="AI26" s="81"/>
    </row>
    <row r="27" spans="4:35" s="435" customFormat="1">
      <c r="D27" s="435" t="s">
        <v>79</v>
      </c>
      <c r="E27" s="435" t="s">
        <v>68</v>
      </c>
      <c r="F27" s="435" t="s">
        <v>274</v>
      </c>
      <c r="G27" s="435" t="s">
        <v>12</v>
      </c>
      <c r="H27" s="435" t="s">
        <v>209</v>
      </c>
      <c r="I27" s="435" t="s">
        <v>1</v>
      </c>
      <c r="J27" s="435" t="s">
        <v>145</v>
      </c>
      <c r="K27" s="831" t="s">
        <v>310</v>
      </c>
      <c r="L27" s="831" t="s">
        <v>1690</v>
      </c>
      <c r="O27" s="435" t="s">
        <v>209</v>
      </c>
      <c r="AC27" s="435" t="s">
        <v>2</v>
      </c>
      <c r="AE27" s="81"/>
      <c r="AF27" s="81"/>
      <c r="AG27" s="81"/>
      <c r="AH27" s="81"/>
      <c r="AI27" s="81"/>
    </row>
    <row r="28" spans="4:35" s="435" customFormat="1">
      <c r="D28" s="435" t="s">
        <v>79</v>
      </c>
      <c r="E28" s="435" t="s">
        <v>68</v>
      </c>
      <c r="F28" s="435" t="s">
        <v>274</v>
      </c>
      <c r="G28" s="435" t="s">
        <v>12</v>
      </c>
      <c r="H28" s="435" t="s">
        <v>209</v>
      </c>
      <c r="I28" s="435" t="s">
        <v>1</v>
      </c>
      <c r="J28" s="435" t="s">
        <v>145</v>
      </c>
      <c r="K28" s="831" t="s">
        <v>313</v>
      </c>
      <c r="L28" s="831" t="s">
        <v>1692</v>
      </c>
      <c r="O28" s="435" t="s">
        <v>209</v>
      </c>
      <c r="AC28" s="435" t="s">
        <v>2</v>
      </c>
      <c r="AE28" s="81"/>
      <c r="AF28" s="81"/>
      <c r="AG28" s="81"/>
      <c r="AH28" s="81"/>
      <c r="AI28" s="81"/>
    </row>
    <row r="29" spans="4:35" s="435" customFormat="1">
      <c r="D29" s="435" t="s">
        <v>79</v>
      </c>
      <c r="E29" s="435" t="s">
        <v>68</v>
      </c>
      <c r="F29" s="435" t="s">
        <v>274</v>
      </c>
      <c r="G29" s="435" t="s">
        <v>12</v>
      </c>
      <c r="H29" s="435" t="s">
        <v>209</v>
      </c>
      <c r="I29" s="435" t="s">
        <v>1</v>
      </c>
      <c r="J29" s="435" t="s">
        <v>145</v>
      </c>
      <c r="K29" s="831" t="s">
        <v>313</v>
      </c>
      <c r="L29" s="831" t="s">
        <v>1693</v>
      </c>
      <c r="O29" s="435" t="s">
        <v>209</v>
      </c>
      <c r="AC29" s="435" t="s">
        <v>2</v>
      </c>
      <c r="AE29" s="81"/>
      <c r="AF29" s="81"/>
      <c r="AG29" s="81"/>
      <c r="AH29" s="81"/>
      <c r="AI29" s="81"/>
    </row>
    <row r="30" spans="4:35" s="435" customFormat="1">
      <c r="D30" s="435" t="s">
        <v>79</v>
      </c>
      <c r="E30" s="435" t="s">
        <v>68</v>
      </c>
      <c r="F30" s="435" t="s">
        <v>274</v>
      </c>
      <c r="G30" s="435" t="s">
        <v>12</v>
      </c>
      <c r="H30" s="435" t="s">
        <v>209</v>
      </c>
      <c r="I30" s="435" t="s">
        <v>1</v>
      </c>
      <c r="J30" s="435" t="s">
        <v>145</v>
      </c>
      <c r="K30" s="831" t="s">
        <v>313</v>
      </c>
      <c r="L30" s="831" t="s">
        <v>316</v>
      </c>
      <c r="O30" s="435" t="s">
        <v>209</v>
      </c>
      <c r="AC30" s="435" t="s">
        <v>2</v>
      </c>
      <c r="AE30" s="81"/>
      <c r="AF30" s="81"/>
      <c r="AG30" s="81"/>
      <c r="AH30" s="81"/>
      <c r="AI30" s="81"/>
    </row>
    <row r="31" spans="4:35" s="435" customFormat="1">
      <c r="D31" s="435" t="s">
        <v>79</v>
      </c>
      <c r="E31" s="435" t="s">
        <v>68</v>
      </c>
      <c r="F31" s="435" t="s">
        <v>274</v>
      </c>
      <c r="G31" s="435" t="s">
        <v>12</v>
      </c>
      <c r="H31" s="435" t="s">
        <v>209</v>
      </c>
      <c r="I31" s="435" t="s">
        <v>1</v>
      </c>
      <c r="J31" s="435" t="s">
        <v>145</v>
      </c>
      <c r="K31" s="831" t="s">
        <v>313</v>
      </c>
      <c r="L31" s="831" t="s">
        <v>317</v>
      </c>
      <c r="O31" s="435" t="s">
        <v>209</v>
      </c>
      <c r="AC31" s="435" t="s">
        <v>2</v>
      </c>
      <c r="AE31" s="81"/>
      <c r="AF31" s="81"/>
      <c r="AG31" s="81"/>
      <c r="AH31" s="81"/>
      <c r="AI31" s="81"/>
    </row>
    <row r="32" spans="4:35" s="435" customFormat="1">
      <c r="D32" s="435" t="s">
        <v>79</v>
      </c>
      <c r="E32" s="435" t="s">
        <v>68</v>
      </c>
      <c r="F32" s="435" t="s">
        <v>274</v>
      </c>
      <c r="G32" s="435" t="s">
        <v>12</v>
      </c>
      <c r="H32" s="435" t="s">
        <v>209</v>
      </c>
      <c r="I32" s="435" t="s">
        <v>1</v>
      </c>
      <c r="J32" s="435" t="s">
        <v>145</v>
      </c>
      <c r="K32" s="831" t="s">
        <v>313</v>
      </c>
      <c r="L32" s="831" t="s">
        <v>1694</v>
      </c>
      <c r="O32" s="435" t="s">
        <v>209</v>
      </c>
      <c r="AC32" s="435" t="s">
        <v>2</v>
      </c>
      <c r="AE32" s="81"/>
      <c r="AF32" s="81"/>
      <c r="AG32" s="81"/>
      <c r="AH32" s="81"/>
      <c r="AI32" s="81"/>
    </row>
    <row r="33" spans="1:37" s="435" customFormat="1">
      <c r="D33" s="435" t="s">
        <v>79</v>
      </c>
      <c r="E33" s="435" t="s">
        <v>68</v>
      </c>
      <c r="F33" s="435" t="s">
        <v>274</v>
      </c>
      <c r="G33" s="435" t="s">
        <v>12</v>
      </c>
      <c r="H33" s="435" t="s">
        <v>209</v>
      </c>
      <c r="I33" s="435" t="s">
        <v>1</v>
      </c>
      <c r="J33" s="435" t="s">
        <v>145</v>
      </c>
      <c r="K33" s="831" t="s">
        <v>313</v>
      </c>
      <c r="L33" s="831" t="s">
        <v>1690</v>
      </c>
      <c r="O33" s="435" t="s">
        <v>209</v>
      </c>
      <c r="AC33" s="435" t="s">
        <v>2</v>
      </c>
      <c r="AE33" s="81"/>
      <c r="AF33" s="81"/>
      <c r="AG33" s="81"/>
      <c r="AH33" s="81"/>
      <c r="AI33" s="81"/>
    </row>
    <row r="34" spans="1:37" s="435" customFormat="1">
      <c r="D34" s="435" t="s">
        <v>79</v>
      </c>
      <c r="E34" s="435" t="s">
        <v>68</v>
      </c>
      <c r="F34" s="435" t="s">
        <v>274</v>
      </c>
      <c r="G34" s="435" t="s">
        <v>12</v>
      </c>
      <c r="H34" s="435" t="s">
        <v>209</v>
      </c>
      <c r="I34" s="435" t="s">
        <v>1</v>
      </c>
      <c r="J34" s="435" t="s">
        <v>145</v>
      </c>
      <c r="K34" s="831" t="s">
        <v>319</v>
      </c>
      <c r="L34" s="831" t="s">
        <v>320</v>
      </c>
      <c r="O34" s="435" t="s">
        <v>209</v>
      </c>
      <c r="AC34" s="435" t="s">
        <v>2</v>
      </c>
      <c r="AE34" s="81"/>
      <c r="AF34" s="81"/>
      <c r="AG34" s="81"/>
      <c r="AH34" s="81"/>
      <c r="AI34" s="81"/>
    </row>
    <row r="35" spans="1:37" s="435" customFormat="1">
      <c r="D35" s="435" t="s">
        <v>79</v>
      </c>
      <c r="E35" s="435" t="s">
        <v>68</v>
      </c>
      <c r="F35" s="435" t="s">
        <v>274</v>
      </c>
      <c r="G35" s="435" t="s">
        <v>12</v>
      </c>
      <c r="H35" s="435" t="s">
        <v>209</v>
      </c>
      <c r="I35" s="435" t="s">
        <v>1</v>
      </c>
      <c r="J35" s="435" t="s">
        <v>145</v>
      </c>
      <c r="K35" s="831" t="s">
        <v>319</v>
      </c>
      <c r="L35" s="831" t="s">
        <v>321</v>
      </c>
      <c r="O35" s="435" t="s">
        <v>209</v>
      </c>
      <c r="AC35" s="435" t="s">
        <v>2</v>
      </c>
      <c r="AE35" s="81"/>
      <c r="AF35" s="81"/>
      <c r="AG35" s="81"/>
      <c r="AH35" s="81"/>
      <c r="AI35" s="81"/>
    </row>
    <row r="36" spans="1:37" s="435" customFormat="1">
      <c r="D36" s="435" t="s">
        <v>79</v>
      </c>
      <c r="E36" s="435" t="s">
        <v>68</v>
      </c>
      <c r="F36" s="435" t="s">
        <v>274</v>
      </c>
      <c r="G36" s="435" t="s">
        <v>12</v>
      </c>
      <c r="H36" s="435" t="s">
        <v>209</v>
      </c>
      <c r="I36" s="435" t="s">
        <v>1</v>
      </c>
      <c r="J36" s="435" t="s">
        <v>145</v>
      </c>
      <c r="K36" s="831" t="s">
        <v>319</v>
      </c>
      <c r="L36" s="831" t="s">
        <v>322</v>
      </c>
      <c r="O36" s="435" t="s">
        <v>209</v>
      </c>
      <c r="AC36" s="435" t="s">
        <v>2</v>
      </c>
      <c r="AE36" s="81"/>
      <c r="AF36" s="81"/>
      <c r="AG36" s="81"/>
      <c r="AH36" s="81"/>
      <c r="AI36" s="81"/>
    </row>
    <row r="37" spans="1:37" s="435" customFormat="1">
      <c r="D37" s="435" t="s">
        <v>79</v>
      </c>
      <c r="E37" s="435" t="s">
        <v>68</v>
      </c>
      <c r="F37" s="435" t="s">
        <v>274</v>
      </c>
      <c r="G37" s="435" t="s">
        <v>12</v>
      </c>
      <c r="H37" s="435" t="s">
        <v>209</v>
      </c>
      <c r="I37" s="435" t="s">
        <v>1</v>
      </c>
      <c r="J37" s="435" t="s">
        <v>145</v>
      </c>
      <c r="K37" s="831" t="s">
        <v>319</v>
      </c>
      <c r="L37" s="831" t="s">
        <v>1690</v>
      </c>
      <c r="O37" s="435" t="s">
        <v>209</v>
      </c>
      <c r="AC37" s="435" t="s">
        <v>2</v>
      </c>
      <c r="AE37" s="81"/>
      <c r="AF37" s="81"/>
      <c r="AG37" s="81"/>
      <c r="AH37" s="81"/>
      <c r="AI37" s="81"/>
    </row>
    <row r="38" spans="1:37" s="435" customFormat="1">
      <c r="D38" s="435" t="s">
        <v>79</v>
      </c>
      <c r="E38" s="435" t="s">
        <v>68</v>
      </c>
      <c r="F38" s="435" t="s">
        <v>274</v>
      </c>
      <c r="G38" s="435" t="s">
        <v>12</v>
      </c>
      <c r="H38" s="435" t="s">
        <v>209</v>
      </c>
      <c r="I38" s="435" t="s">
        <v>1</v>
      </c>
      <c r="J38" s="435" t="s">
        <v>145</v>
      </c>
      <c r="K38" s="831" t="s">
        <v>323</v>
      </c>
      <c r="L38" s="831" t="s">
        <v>1695</v>
      </c>
      <c r="O38" s="435" t="s">
        <v>209</v>
      </c>
      <c r="AC38" s="435" t="s">
        <v>2</v>
      </c>
      <c r="AE38" s="81"/>
      <c r="AF38" s="81"/>
      <c r="AG38" s="81"/>
      <c r="AH38" s="81"/>
      <c r="AI38" s="81"/>
    </row>
    <row r="39" spans="1:37" s="435" customFormat="1">
      <c r="D39" s="435" t="s">
        <v>79</v>
      </c>
      <c r="E39" s="435" t="s">
        <v>68</v>
      </c>
      <c r="F39" s="435" t="s">
        <v>274</v>
      </c>
      <c r="G39" s="435" t="s">
        <v>12</v>
      </c>
      <c r="H39" s="435" t="s">
        <v>209</v>
      </c>
      <c r="I39" s="435" t="s">
        <v>1</v>
      </c>
      <c r="J39" s="435" t="s">
        <v>145</v>
      </c>
      <c r="K39" s="831" t="s">
        <v>323</v>
      </c>
      <c r="L39" s="831" t="s">
        <v>1690</v>
      </c>
      <c r="O39" s="435" t="s">
        <v>209</v>
      </c>
      <c r="AC39" s="435" t="s">
        <v>2</v>
      </c>
      <c r="AE39" s="81"/>
      <c r="AF39" s="81"/>
      <c r="AG39" s="81"/>
      <c r="AH39" s="81"/>
      <c r="AI39" s="81"/>
    </row>
    <row r="40" spans="1:37">
      <c r="D40" t="s">
        <v>79</v>
      </c>
      <c r="E40" t="s">
        <v>68</v>
      </c>
      <c r="F40" s="435" t="s">
        <v>274</v>
      </c>
      <c r="G40" s="435" t="s">
        <v>12</v>
      </c>
      <c r="H40" t="s">
        <v>209</v>
      </c>
      <c r="I40" t="s">
        <v>1</v>
      </c>
      <c r="J40" t="s">
        <v>145</v>
      </c>
      <c r="K40" s="831" t="s">
        <v>1690</v>
      </c>
      <c r="L40" s="831" t="s">
        <v>1690</v>
      </c>
      <c r="O40" t="s">
        <v>209</v>
      </c>
      <c r="P40" s="76"/>
      <c r="Q40" s="76"/>
      <c r="R40" s="76"/>
      <c r="S40" s="76"/>
      <c r="T40" s="76"/>
      <c r="U40" s="76"/>
      <c r="AC40" t="s">
        <v>2</v>
      </c>
      <c r="AD40" s="80"/>
      <c r="AE40" s="81"/>
      <c r="AF40" s="81"/>
      <c r="AG40" s="81"/>
      <c r="AH40" s="81"/>
      <c r="AI40" s="81"/>
    </row>
    <row r="41" spans="1:37">
      <c r="K41" s="831"/>
      <c r="L41" s="831"/>
    </row>
    <row r="42" spans="1:37" s="1" customFormat="1" ht="13.9">
      <c r="A42" s="66"/>
      <c r="B42" s="78" t="s">
        <v>144</v>
      </c>
    </row>
    <row r="43" spans="1:37">
      <c r="K43" s="831"/>
      <c r="L43" s="831"/>
    </row>
    <row r="44" spans="1:37">
      <c r="D44" t="s">
        <v>79</v>
      </c>
      <c r="E44" t="s">
        <v>68</v>
      </c>
      <c r="F44" s="435" t="s">
        <v>274</v>
      </c>
      <c r="G44" s="435" t="s">
        <v>12</v>
      </c>
      <c r="H44" t="s">
        <v>209</v>
      </c>
      <c r="I44" t="s">
        <v>1</v>
      </c>
      <c r="J44" t="s">
        <v>144</v>
      </c>
      <c r="K44" s="831" t="s">
        <v>300</v>
      </c>
      <c r="L44" s="831" t="s">
        <v>210</v>
      </c>
      <c r="O44" t="s">
        <v>209</v>
      </c>
      <c r="P44" s="76"/>
      <c r="Q44" s="76"/>
      <c r="R44" s="76"/>
      <c r="S44" s="76"/>
      <c r="T44" s="76"/>
      <c r="U44" s="76"/>
      <c r="AC44" t="s">
        <v>2</v>
      </c>
      <c r="AD44" s="80"/>
      <c r="AE44" s="81"/>
      <c r="AF44" s="81"/>
      <c r="AG44" s="81"/>
      <c r="AH44" s="81"/>
      <c r="AI44" s="81"/>
      <c r="AK44" s="435"/>
    </row>
    <row r="45" spans="1:37">
      <c r="D45" t="s">
        <v>79</v>
      </c>
      <c r="E45" t="s">
        <v>68</v>
      </c>
      <c r="F45" s="435" t="s">
        <v>274</v>
      </c>
      <c r="G45" s="435" t="s">
        <v>12</v>
      </c>
      <c r="H45" t="s">
        <v>209</v>
      </c>
      <c r="I45" t="s">
        <v>1</v>
      </c>
      <c r="J45" t="s">
        <v>144</v>
      </c>
      <c r="K45" s="831" t="s">
        <v>303</v>
      </c>
      <c r="L45" s="831" t="s">
        <v>210</v>
      </c>
      <c r="O45" t="s">
        <v>209</v>
      </c>
      <c r="P45" s="76"/>
      <c r="Q45" s="76"/>
      <c r="R45" s="76"/>
      <c r="S45" s="76"/>
      <c r="T45" s="76"/>
      <c r="U45" s="76"/>
      <c r="AC45" t="s">
        <v>2</v>
      </c>
      <c r="AD45" s="80"/>
      <c r="AE45" s="81"/>
      <c r="AF45" s="81"/>
      <c r="AG45" s="81"/>
      <c r="AH45" s="81"/>
      <c r="AI45" s="81"/>
    </row>
    <row r="46" spans="1:37">
      <c r="D46" t="s">
        <v>79</v>
      </c>
      <c r="E46" t="s">
        <v>68</v>
      </c>
      <c r="F46" s="435" t="s">
        <v>274</v>
      </c>
      <c r="G46" s="435" t="s">
        <v>12</v>
      </c>
      <c r="H46" t="s">
        <v>209</v>
      </c>
      <c r="I46" t="s">
        <v>1</v>
      </c>
      <c r="J46" t="s">
        <v>144</v>
      </c>
      <c r="K46" s="831" t="s">
        <v>255</v>
      </c>
      <c r="L46" s="831" t="s">
        <v>210</v>
      </c>
      <c r="O46" t="s">
        <v>209</v>
      </c>
      <c r="P46" s="76"/>
      <c r="Q46" s="76"/>
      <c r="R46" s="76"/>
      <c r="S46" s="76"/>
      <c r="T46" s="76"/>
      <c r="U46" s="76"/>
      <c r="AC46" t="s">
        <v>2</v>
      </c>
      <c r="AD46" s="80"/>
      <c r="AE46" s="81"/>
      <c r="AF46" s="81"/>
      <c r="AG46" s="81"/>
      <c r="AH46" s="81"/>
      <c r="AI46" s="81"/>
    </row>
    <row r="47" spans="1:37">
      <c r="D47" t="s">
        <v>79</v>
      </c>
      <c r="E47" t="s">
        <v>68</v>
      </c>
      <c r="F47" s="435" t="s">
        <v>274</v>
      </c>
      <c r="G47" s="435" t="s">
        <v>12</v>
      </c>
      <c r="H47" t="s">
        <v>209</v>
      </c>
      <c r="I47" t="s">
        <v>1</v>
      </c>
      <c r="J47" t="s">
        <v>144</v>
      </c>
      <c r="K47" s="831" t="s">
        <v>310</v>
      </c>
      <c r="L47" s="831" t="s">
        <v>210</v>
      </c>
      <c r="O47" t="s">
        <v>209</v>
      </c>
      <c r="P47" s="76"/>
      <c r="Q47" s="76"/>
      <c r="R47" s="76"/>
      <c r="S47" s="76"/>
      <c r="T47" s="76"/>
      <c r="U47" s="76"/>
      <c r="AC47" t="s">
        <v>2</v>
      </c>
      <c r="AD47" s="80"/>
      <c r="AE47" s="81"/>
      <c r="AF47" s="81"/>
      <c r="AG47" s="81"/>
      <c r="AH47" s="81"/>
      <c r="AI47" s="81"/>
    </row>
    <row r="48" spans="1:37">
      <c r="D48" t="s">
        <v>79</v>
      </c>
      <c r="E48" t="s">
        <v>68</v>
      </c>
      <c r="F48" s="435" t="s">
        <v>274</v>
      </c>
      <c r="G48" s="435" t="s">
        <v>12</v>
      </c>
      <c r="H48" t="s">
        <v>209</v>
      </c>
      <c r="I48" t="s">
        <v>1</v>
      </c>
      <c r="J48" t="s">
        <v>144</v>
      </c>
      <c r="K48" s="831" t="s">
        <v>313</v>
      </c>
      <c r="L48" s="831" t="s">
        <v>210</v>
      </c>
      <c r="O48" t="s">
        <v>209</v>
      </c>
      <c r="P48" s="76"/>
      <c r="Q48" s="76"/>
      <c r="R48" s="76"/>
      <c r="S48" s="76"/>
      <c r="T48" s="76"/>
      <c r="U48" s="76"/>
      <c r="AC48" t="s">
        <v>2</v>
      </c>
      <c r="AD48" s="80"/>
      <c r="AE48" s="81"/>
      <c r="AF48" s="81"/>
      <c r="AG48" s="81"/>
      <c r="AH48" s="81"/>
      <c r="AI48" s="81"/>
    </row>
    <row r="49" spans="1:37">
      <c r="D49" t="s">
        <v>79</v>
      </c>
      <c r="E49" t="s">
        <v>68</v>
      </c>
      <c r="F49" s="435" t="s">
        <v>274</v>
      </c>
      <c r="G49" s="435" t="s">
        <v>12</v>
      </c>
      <c r="H49" t="s">
        <v>209</v>
      </c>
      <c r="I49" t="s">
        <v>1</v>
      </c>
      <c r="J49" t="s">
        <v>144</v>
      </c>
      <c r="K49" s="831" t="s">
        <v>319</v>
      </c>
      <c r="L49" s="831" t="s">
        <v>210</v>
      </c>
      <c r="O49" t="s">
        <v>209</v>
      </c>
      <c r="P49" s="76"/>
      <c r="Q49" s="76"/>
      <c r="R49" s="76"/>
      <c r="S49" s="76"/>
      <c r="T49" s="76"/>
      <c r="U49" s="76"/>
      <c r="AC49" t="s">
        <v>2</v>
      </c>
      <c r="AD49" s="80"/>
      <c r="AE49" s="81"/>
      <c r="AF49" s="81"/>
      <c r="AG49" s="81"/>
      <c r="AH49" s="81"/>
      <c r="AI49" s="81"/>
    </row>
    <row r="50" spans="1:37">
      <c r="D50" t="s">
        <v>79</v>
      </c>
      <c r="E50" t="s">
        <v>68</v>
      </c>
      <c r="F50" s="435" t="s">
        <v>274</v>
      </c>
      <c r="G50" s="435" t="s">
        <v>12</v>
      </c>
      <c r="H50" t="s">
        <v>209</v>
      </c>
      <c r="I50" t="s">
        <v>1</v>
      </c>
      <c r="J50" t="s">
        <v>144</v>
      </c>
      <c r="K50" s="831" t="s">
        <v>323</v>
      </c>
      <c r="L50" s="831" t="s">
        <v>210</v>
      </c>
      <c r="O50" t="s">
        <v>209</v>
      </c>
      <c r="P50" s="76"/>
      <c r="Q50" s="76"/>
      <c r="R50" s="76"/>
      <c r="S50" s="76"/>
      <c r="T50" s="76"/>
      <c r="U50" s="76"/>
      <c r="AC50" t="s">
        <v>2</v>
      </c>
      <c r="AD50" s="80"/>
      <c r="AE50" s="79"/>
      <c r="AF50" s="79"/>
      <c r="AG50" s="79"/>
      <c r="AH50" s="79"/>
      <c r="AI50" s="79"/>
    </row>
    <row r="51" spans="1:37">
      <c r="D51" t="s">
        <v>79</v>
      </c>
      <c r="E51" t="s">
        <v>68</v>
      </c>
      <c r="F51" s="435" t="s">
        <v>274</v>
      </c>
      <c r="G51" s="435" t="s">
        <v>12</v>
      </c>
      <c r="H51" t="s">
        <v>209</v>
      </c>
      <c r="I51" t="s">
        <v>1</v>
      </c>
      <c r="J51" t="s">
        <v>144</v>
      </c>
      <c r="K51" s="831" t="s">
        <v>1690</v>
      </c>
      <c r="L51" s="831" t="s">
        <v>210</v>
      </c>
      <c r="O51" t="s">
        <v>209</v>
      </c>
      <c r="P51" s="76"/>
      <c r="Q51" s="76"/>
      <c r="R51" s="76"/>
      <c r="S51" s="76"/>
      <c r="T51" s="76"/>
      <c r="U51" s="76"/>
      <c r="AC51" t="s">
        <v>2</v>
      </c>
      <c r="AD51" s="80"/>
      <c r="AE51" s="79"/>
      <c r="AF51" s="79"/>
      <c r="AG51" s="79"/>
      <c r="AH51" s="79"/>
      <c r="AI51" s="79"/>
    </row>
    <row r="52" spans="1:37" s="67" customFormat="1">
      <c r="D52"/>
      <c r="E52"/>
      <c r="F52" s="435"/>
      <c r="G52" s="435"/>
      <c r="H52"/>
      <c r="I52"/>
      <c r="J52"/>
      <c r="K52" s="831"/>
      <c r="L52" s="831"/>
      <c r="M52"/>
      <c r="N52"/>
      <c r="O52"/>
      <c r="P52" s="76"/>
      <c r="Q52" s="76"/>
      <c r="R52" s="76"/>
      <c r="S52" s="76"/>
      <c r="T52" s="76"/>
      <c r="U52" s="76"/>
      <c r="V52"/>
      <c r="W52"/>
      <c r="X52"/>
      <c r="Y52"/>
      <c r="Z52"/>
      <c r="AA52"/>
      <c r="AB52"/>
      <c r="AC52"/>
      <c r="AD52" s="80"/>
      <c r="AE52" s="95"/>
      <c r="AF52" s="95"/>
      <c r="AG52" s="95"/>
      <c r="AH52" s="95"/>
      <c r="AI52" s="95"/>
    </row>
    <row r="53" spans="1:37" s="1" customFormat="1" ht="13.9">
      <c r="A53" s="66"/>
      <c r="B53" s="78" t="s">
        <v>2701</v>
      </c>
    </row>
    <row r="54" spans="1:37">
      <c r="K54" s="831"/>
      <c r="L54" s="831"/>
    </row>
    <row r="55" spans="1:37">
      <c r="D55" t="s">
        <v>79</v>
      </c>
      <c r="E55" t="s">
        <v>68</v>
      </c>
      <c r="F55" s="435" t="s">
        <v>274</v>
      </c>
      <c r="G55" s="435" t="s">
        <v>12</v>
      </c>
      <c r="H55" t="s">
        <v>209</v>
      </c>
      <c r="I55" t="s">
        <v>1</v>
      </c>
      <c r="J55" t="s">
        <v>211</v>
      </c>
      <c r="K55" s="831"/>
      <c r="L55" s="831"/>
      <c r="O55" t="s">
        <v>209</v>
      </c>
      <c r="P55" s="76"/>
      <c r="Q55" s="76"/>
      <c r="R55" s="76"/>
      <c r="S55" s="76"/>
      <c r="T55" s="76"/>
      <c r="U55" s="76"/>
      <c r="AC55" t="s">
        <v>2</v>
      </c>
      <c r="AE55" s="81"/>
      <c r="AF55" s="81"/>
      <c r="AG55" s="81"/>
      <c r="AH55" s="81"/>
      <c r="AI55" s="81"/>
      <c r="AK55" s="435"/>
    </row>
    <row r="56" spans="1:37" s="67" customFormat="1">
      <c r="D56"/>
      <c r="E56"/>
      <c r="F56" s="435"/>
      <c r="G56" s="435"/>
      <c r="H56"/>
      <c r="I56"/>
      <c r="J56"/>
      <c r="K56" s="831"/>
      <c r="L56" s="831"/>
      <c r="M56"/>
      <c r="N56"/>
      <c r="O56"/>
      <c r="P56" s="76"/>
      <c r="Q56" s="76"/>
      <c r="R56" s="76"/>
      <c r="S56" s="76"/>
      <c r="T56" s="76"/>
      <c r="U56" s="76"/>
      <c r="V56"/>
      <c r="W56"/>
      <c r="X56"/>
      <c r="Y56"/>
      <c r="Z56"/>
      <c r="AA56"/>
      <c r="AB56"/>
      <c r="AC56"/>
      <c r="AD56"/>
      <c r="AE56" s="75"/>
      <c r="AF56" s="75"/>
      <c r="AG56" s="75"/>
      <c r="AH56" s="75"/>
      <c r="AI56" s="75"/>
    </row>
    <row r="57" spans="1:37">
      <c r="K57" s="831"/>
      <c r="L57" s="831"/>
    </row>
    <row r="58" spans="1:37" s="1" customFormat="1" ht="17.649999999999999">
      <c r="A58" s="2" t="s">
        <v>86</v>
      </c>
      <c r="B58" s="2"/>
    </row>
    <row r="59" spans="1:37">
      <c r="K59" s="831"/>
      <c r="L59" s="831"/>
    </row>
    <row r="60" spans="1:37" s="1" customFormat="1" ht="13.9">
      <c r="A60" s="66"/>
      <c r="B60" s="78" t="s">
        <v>2700</v>
      </c>
    </row>
    <row r="61" spans="1:37" s="435" customFormat="1">
      <c r="K61" s="831"/>
      <c r="L61" s="831"/>
    </row>
    <row r="62" spans="1:37" s="435" customFormat="1">
      <c r="D62" s="435" t="s">
        <v>79</v>
      </c>
      <c r="E62" s="435" t="s">
        <v>68</v>
      </c>
      <c r="F62" s="435" t="s">
        <v>274</v>
      </c>
      <c r="G62" s="435" t="s">
        <v>86</v>
      </c>
      <c r="H62" s="435" t="s">
        <v>209</v>
      </c>
      <c r="I62" s="435" t="s">
        <v>1</v>
      </c>
      <c r="J62" s="435" t="s">
        <v>145</v>
      </c>
      <c r="K62" s="831" t="s">
        <v>300</v>
      </c>
      <c r="L62" s="831" t="s">
        <v>301</v>
      </c>
      <c r="O62" s="435" t="s">
        <v>209</v>
      </c>
      <c r="AC62" s="435" t="s">
        <v>965</v>
      </c>
      <c r="AE62" s="81"/>
      <c r="AF62" s="81"/>
      <c r="AG62" s="81"/>
      <c r="AH62" s="81"/>
      <c r="AI62" s="81"/>
    </row>
    <row r="63" spans="1:37" s="435" customFormat="1">
      <c r="D63" s="435" t="s">
        <v>79</v>
      </c>
      <c r="E63" s="435" t="s">
        <v>68</v>
      </c>
      <c r="F63" s="435" t="s">
        <v>274</v>
      </c>
      <c r="G63" s="435" t="s">
        <v>86</v>
      </c>
      <c r="H63" s="435" t="s">
        <v>209</v>
      </c>
      <c r="I63" s="435" t="s">
        <v>1</v>
      </c>
      <c r="J63" s="435" t="s">
        <v>145</v>
      </c>
      <c r="K63" s="831" t="s">
        <v>300</v>
      </c>
      <c r="L63" s="831" t="s">
        <v>302</v>
      </c>
      <c r="O63" s="435" t="s">
        <v>209</v>
      </c>
      <c r="AC63" s="435" t="s">
        <v>965</v>
      </c>
      <c r="AE63" s="81"/>
      <c r="AF63" s="81"/>
      <c r="AG63" s="81"/>
      <c r="AH63" s="81"/>
      <c r="AI63" s="81"/>
    </row>
    <row r="64" spans="1:37" s="435" customFormat="1">
      <c r="D64" s="435" t="s">
        <v>79</v>
      </c>
      <c r="E64" s="435" t="s">
        <v>68</v>
      </c>
      <c r="F64" s="435" t="s">
        <v>274</v>
      </c>
      <c r="G64" s="435" t="s">
        <v>86</v>
      </c>
      <c r="H64" s="435" t="s">
        <v>209</v>
      </c>
      <c r="I64" s="435" t="s">
        <v>1</v>
      </c>
      <c r="J64" s="435" t="s">
        <v>145</v>
      </c>
      <c r="K64" s="831" t="s">
        <v>300</v>
      </c>
      <c r="L64" s="831" t="s">
        <v>1690</v>
      </c>
      <c r="O64" s="435" t="s">
        <v>209</v>
      </c>
      <c r="AC64" s="435" t="s">
        <v>965</v>
      </c>
      <c r="AE64" s="81"/>
      <c r="AF64" s="81"/>
      <c r="AG64" s="81"/>
      <c r="AH64" s="81"/>
      <c r="AI64" s="81"/>
    </row>
    <row r="65" spans="4:35" s="435" customFormat="1">
      <c r="D65" s="435" t="s">
        <v>79</v>
      </c>
      <c r="E65" s="435" t="s">
        <v>68</v>
      </c>
      <c r="F65" s="435" t="s">
        <v>274</v>
      </c>
      <c r="G65" s="435" t="s">
        <v>86</v>
      </c>
      <c r="H65" s="435" t="s">
        <v>209</v>
      </c>
      <c r="I65" s="435" t="s">
        <v>1</v>
      </c>
      <c r="J65" s="435" t="s">
        <v>145</v>
      </c>
      <c r="K65" s="831" t="s">
        <v>303</v>
      </c>
      <c r="L65" s="831" t="s">
        <v>304</v>
      </c>
      <c r="O65" s="435" t="s">
        <v>209</v>
      </c>
      <c r="AC65" s="435" t="s">
        <v>965</v>
      </c>
      <c r="AE65" s="81"/>
      <c r="AF65" s="81"/>
      <c r="AG65" s="81"/>
      <c r="AH65" s="81"/>
      <c r="AI65" s="81"/>
    </row>
    <row r="66" spans="4:35" s="435" customFormat="1">
      <c r="D66" s="435" t="s">
        <v>79</v>
      </c>
      <c r="E66" s="435" t="s">
        <v>68</v>
      </c>
      <c r="F66" s="435" t="s">
        <v>274</v>
      </c>
      <c r="G66" s="435" t="s">
        <v>86</v>
      </c>
      <c r="H66" s="435" t="s">
        <v>209</v>
      </c>
      <c r="I66" s="435" t="s">
        <v>1</v>
      </c>
      <c r="J66" s="435" t="s">
        <v>145</v>
      </c>
      <c r="K66" s="831" t="s">
        <v>303</v>
      </c>
      <c r="L66" s="831" t="s">
        <v>305</v>
      </c>
      <c r="O66" s="435" t="s">
        <v>209</v>
      </c>
      <c r="AC66" s="435" t="s">
        <v>965</v>
      </c>
      <c r="AE66" s="81"/>
      <c r="AF66" s="81"/>
      <c r="AG66" s="81"/>
      <c r="AH66" s="81"/>
      <c r="AI66" s="81"/>
    </row>
    <row r="67" spans="4:35" s="435" customFormat="1">
      <c r="D67" s="435" t="s">
        <v>79</v>
      </c>
      <c r="E67" s="435" t="s">
        <v>68</v>
      </c>
      <c r="F67" s="435" t="s">
        <v>274</v>
      </c>
      <c r="G67" s="435" t="s">
        <v>86</v>
      </c>
      <c r="H67" s="435" t="s">
        <v>209</v>
      </c>
      <c r="I67" s="435" t="s">
        <v>1</v>
      </c>
      <c r="J67" s="435" t="s">
        <v>145</v>
      </c>
      <c r="K67" s="831" t="s">
        <v>303</v>
      </c>
      <c r="L67" s="831" t="s">
        <v>306</v>
      </c>
      <c r="O67" s="435" t="s">
        <v>209</v>
      </c>
      <c r="AC67" s="435" t="s">
        <v>965</v>
      </c>
      <c r="AE67" s="81"/>
      <c r="AF67" s="81"/>
      <c r="AG67" s="81"/>
      <c r="AH67" s="81"/>
      <c r="AI67" s="81"/>
    </row>
    <row r="68" spans="4:35" s="435" customFormat="1">
      <c r="D68" s="435" t="s">
        <v>79</v>
      </c>
      <c r="E68" s="435" t="s">
        <v>68</v>
      </c>
      <c r="F68" s="435" t="s">
        <v>274</v>
      </c>
      <c r="G68" s="435" t="s">
        <v>86</v>
      </c>
      <c r="H68" s="435" t="s">
        <v>209</v>
      </c>
      <c r="I68" s="435" t="s">
        <v>1</v>
      </c>
      <c r="J68" s="435" t="s">
        <v>145</v>
      </c>
      <c r="K68" s="831" t="s">
        <v>303</v>
      </c>
      <c r="L68" s="831" t="s">
        <v>1690</v>
      </c>
      <c r="O68" s="435" t="s">
        <v>209</v>
      </c>
      <c r="AC68" s="435" t="s">
        <v>965</v>
      </c>
      <c r="AE68" s="81"/>
      <c r="AF68" s="81"/>
      <c r="AG68" s="81"/>
      <c r="AH68" s="81"/>
      <c r="AI68" s="81"/>
    </row>
    <row r="69" spans="4:35" s="435" customFormat="1">
      <c r="D69" s="435" t="s">
        <v>79</v>
      </c>
      <c r="E69" s="435" t="s">
        <v>68</v>
      </c>
      <c r="F69" s="435" t="s">
        <v>274</v>
      </c>
      <c r="G69" s="435" t="s">
        <v>86</v>
      </c>
      <c r="H69" s="435" t="s">
        <v>209</v>
      </c>
      <c r="I69" s="435" t="s">
        <v>1</v>
      </c>
      <c r="J69" s="435" t="s">
        <v>145</v>
      </c>
      <c r="K69" s="831" t="s">
        <v>255</v>
      </c>
      <c r="L69" s="831" t="s">
        <v>255</v>
      </c>
      <c r="O69" s="435" t="s">
        <v>209</v>
      </c>
      <c r="AC69" s="435" t="s">
        <v>965</v>
      </c>
      <c r="AE69" s="81"/>
      <c r="AF69" s="81"/>
      <c r="AG69" s="81"/>
      <c r="AH69" s="81"/>
      <c r="AI69" s="81"/>
    </row>
    <row r="70" spans="4:35" s="435" customFormat="1">
      <c r="D70" s="435" t="s">
        <v>79</v>
      </c>
      <c r="E70" s="435" t="s">
        <v>68</v>
      </c>
      <c r="F70" s="435" t="s">
        <v>274</v>
      </c>
      <c r="G70" s="435" t="s">
        <v>86</v>
      </c>
      <c r="H70" s="435" t="s">
        <v>209</v>
      </c>
      <c r="I70" s="435" t="s">
        <v>1</v>
      </c>
      <c r="J70" s="435" t="s">
        <v>145</v>
      </c>
      <c r="K70" s="831" t="s">
        <v>255</v>
      </c>
      <c r="L70" s="831" t="s">
        <v>1691</v>
      </c>
      <c r="O70" s="435" t="s">
        <v>209</v>
      </c>
      <c r="AC70" s="435" t="s">
        <v>965</v>
      </c>
      <c r="AE70" s="81"/>
      <c r="AF70" s="81"/>
      <c r="AG70" s="81"/>
      <c r="AH70" s="81"/>
      <c r="AI70" s="81"/>
    </row>
    <row r="71" spans="4:35" s="435" customFormat="1">
      <c r="D71" s="435" t="s">
        <v>79</v>
      </c>
      <c r="E71" s="435" t="s">
        <v>68</v>
      </c>
      <c r="F71" s="435" t="s">
        <v>274</v>
      </c>
      <c r="G71" s="435" t="s">
        <v>86</v>
      </c>
      <c r="H71" s="435" t="s">
        <v>209</v>
      </c>
      <c r="I71" s="435" t="s">
        <v>1</v>
      </c>
      <c r="J71" s="435" t="s">
        <v>145</v>
      </c>
      <c r="K71" s="831" t="s">
        <v>255</v>
      </c>
      <c r="L71" s="831" t="s">
        <v>308</v>
      </c>
      <c r="O71" s="435" t="s">
        <v>209</v>
      </c>
      <c r="AC71" s="435" t="s">
        <v>965</v>
      </c>
      <c r="AE71" s="81"/>
      <c r="AF71" s="81"/>
      <c r="AG71" s="81"/>
      <c r="AH71" s="81"/>
      <c r="AI71" s="81"/>
    </row>
    <row r="72" spans="4:35" s="435" customFormat="1">
      <c r="D72" s="435" t="s">
        <v>79</v>
      </c>
      <c r="E72" s="435" t="s">
        <v>68</v>
      </c>
      <c r="F72" s="435" t="s">
        <v>274</v>
      </c>
      <c r="G72" s="435" t="s">
        <v>86</v>
      </c>
      <c r="H72" s="435" t="s">
        <v>209</v>
      </c>
      <c r="I72" s="435" t="s">
        <v>1</v>
      </c>
      <c r="J72" s="435" t="s">
        <v>145</v>
      </c>
      <c r="K72" s="831" t="s">
        <v>255</v>
      </c>
      <c r="L72" s="831" t="s">
        <v>309</v>
      </c>
      <c r="O72" s="435" t="s">
        <v>209</v>
      </c>
      <c r="AC72" s="435" t="s">
        <v>965</v>
      </c>
      <c r="AE72" s="81"/>
      <c r="AF72" s="81"/>
      <c r="AG72" s="81"/>
      <c r="AH72" s="81"/>
      <c r="AI72" s="81"/>
    </row>
    <row r="73" spans="4:35" s="435" customFormat="1">
      <c r="D73" s="435" t="s">
        <v>79</v>
      </c>
      <c r="E73" s="435" t="s">
        <v>68</v>
      </c>
      <c r="F73" s="435" t="s">
        <v>274</v>
      </c>
      <c r="G73" s="435" t="s">
        <v>86</v>
      </c>
      <c r="H73" s="435" t="s">
        <v>209</v>
      </c>
      <c r="I73" s="435" t="s">
        <v>1</v>
      </c>
      <c r="J73" s="435" t="s">
        <v>145</v>
      </c>
      <c r="K73" s="831" t="s">
        <v>255</v>
      </c>
      <c r="L73" s="831" t="s">
        <v>1690</v>
      </c>
      <c r="O73" s="435" t="s">
        <v>209</v>
      </c>
      <c r="AC73" s="435" t="s">
        <v>965</v>
      </c>
      <c r="AE73" s="81"/>
      <c r="AF73" s="81"/>
      <c r="AG73" s="81"/>
      <c r="AH73" s="81"/>
      <c r="AI73" s="81"/>
    </row>
    <row r="74" spans="4:35" s="435" customFormat="1">
      <c r="D74" s="435" t="s">
        <v>79</v>
      </c>
      <c r="E74" s="435" t="s">
        <v>68</v>
      </c>
      <c r="F74" s="435" t="s">
        <v>274</v>
      </c>
      <c r="G74" s="435" t="s">
        <v>86</v>
      </c>
      <c r="H74" s="435" t="s">
        <v>209</v>
      </c>
      <c r="I74" s="435" t="s">
        <v>1</v>
      </c>
      <c r="J74" s="435" t="s">
        <v>145</v>
      </c>
      <c r="K74" s="831" t="s">
        <v>310</v>
      </c>
      <c r="L74" s="831" t="s">
        <v>311</v>
      </c>
      <c r="O74" s="435" t="s">
        <v>209</v>
      </c>
      <c r="AC74" s="435" t="s">
        <v>965</v>
      </c>
      <c r="AE74" s="81"/>
      <c r="AF74" s="81"/>
      <c r="AG74" s="81"/>
      <c r="AH74" s="81"/>
      <c r="AI74" s="81"/>
    </row>
    <row r="75" spans="4:35" s="435" customFormat="1">
      <c r="D75" s="435" t="s">
        <v>79</v>
      </c>
      <c r="E75" s="435" t="s">
        <v>68</v>
      </c>
      <c r="F75" s="435" t="s">
        <v>274</v>
      </c>
      <c r="G75" s="435" t="s">
        <v>86</v>
      </c>
      <c r="H75" s="435" t="s">
        <v>209</v>
      </c>
      <c r="I75" s="435" t="s">
        <v>1</v>
      </c>
      <c r="J75" s="435" t="s">
        <v>145</v>
      </c>
      <c r="K75" s="831" t="s">
        <v>310</v>
      </c>
      <c r="L75" s="831" t="s">
        <v>312</v>
      </c>
      <c r="O75" s="435" t="s">
        <v>209</v>
      </c>
      <c r="AC75" s="435" t="s">
        <v>965</v>
      </c>
      <c r="AE75" s="81"/>
      <c r="AF75" s="81"/>
      <c r="AG75" s="81"/>
      <c r="AH75" s="81"/>
      <c r="AI75" s="81"/>
    </row>
    <row r="76" spans="4:35" s="435" customFormat="1">
      <c r="D76" s="435" t="s">
        <v>79</v>
      </c>
      <c r="E76" s="435" t="s">
        <v>68</v>
      </c>
      <c r="F76" s="435" t="s">
        <v>274</v>
      </c>
      <c r="G76" s="435" t="s">
        <v>86</v>
      </c>
      <c r="H76" s="435" t="s">
        <v>209</v>
      </c>
      <c r="I76" s="435" t="s">
        <v>1</v>
      </c>
      <c r="J76" s="435" t="s">
        <v>145</v>
      </c>
      <c r="K76" s="831" t="s">
        <v>310</v>
      </c>
      <c r="L76" s="831" t="s">
        <v>1690</v>
      </c>
      <c r="O76" s="435" t="s">
        <v>209</v>
      </c>
      <c r="AC76" s="435" t="s">
        <v>965</v>
      </c>
      <c r="AE76" s="81"/>
      <c r="AF76" s="81"/>
      <c r="AG76" s="81"/>
      <c r="AH76" s="81"/>
      <c r="AI76" s="81"/>
    </row>
    <row r="77" spans="4:35" s="435" customFormat="1">
      <c r="D77" s="435" t="s">
        <v>79</v>
      </c>
      <c r="E77" s="435" t="s">
        <v>68</v>
      </c>
      <c r="F77" s="435" t="s">
        <v>274</v>
      </c>
      <c r="G77" s="435" t="s">
        <v>86</v>
      </c>
      <c r="H77" s="435" t="s">
        <v>209</v>
      </c>
      <c r="I77" s="435" t="s">
        <v>1</v>
      </c>
      <c r="J77" s="435" t="s">
        <v>145</v>
      </c>
      <c r="K77" s="831" t="s">
        <v>313</v>
      </c>
      <c r="L77" s="831" t="s">
        <v>1692</v>
      </c>
      <c r="O77" s="435" t="s">
        <v>209</v>
      </c>
      <c r="AC77" s="435" t="s">
        <v>965</v>
      </c>
      <c r="AE77" s="81"/>
      <c r="AF77" s="81"/>
      <c r="AG77" s="81"/>
      <c r="AH77" s="81"/>
      <c r="AI77" s="81"/>
    </row>
    <row r="78" spans="4:35" s="435" customFormat="1">
      <c r="D78" s="435" t="s">
        <v>79</v>
      </c>
      <c r="E78" s="435" t="s">
        <v>68</v>
      </c>
      <c r="F78" s="435" t="s">
        <v>274</v>
      </c>
      <c r="G78" s="435" t="s">
        <v>86</v>
      </c>
      <c r="H78" s="435" t="s">
        <v>209</v>
      </c>
      <c r="I78" s="435" t="s">
        <v>1</v>
      </c>
      <c r="J78" s="435" t="s">
        <v>145</v>
      </c>
      <c r="K78" s="831" t="s">
        <v>313</v>
      </c>
      <c r="L78" s="831" t="s">
        <v>1693</v>
      </c>
      <c r="O78" s="435" t="s">
        <v>209</v>
      </c>
      <c r="AC78" s="435" t="s">
        <v>965</v>
      </c>
      <c r="AE78" s="81"/>
      <c r="AF78" s="81"/>
      <c r="AG78" s="81"/>
      <c r="AH78" s="81"/>
      <c r="AI78" s="81"/>
    </row>
    <row r="79" spans="4:35" s="435" customFormat="1">
      <c r="D79" s="435" t="s">
        <v>79</v>
      </c>
      <c r="E79" s="435" t="s">
        <v>68</v>
      </c>
      <c r="F79" s="435" t="s">
        <v>274</v>
      </c>
      <c r="G79" s="435" t="s">
        <v>86</v>
      </c>
      <c r="H79" s="435" t="s">
        <v>209</v>
      </c>
      <c r="I79" s="435" t="s">
        <v>1</v>
      </c>
      <c r="J79" s="435" t="s">
        <v>145</v>
      </c>
      <c r="K79" s="831" t="s">
        <v>313</v>
      </c>
      <c r="L79" s="831" t="s">
        <v>316</v>
      </c>
      <c r="O79" s="435" t="s">
        <v>209</v>
      </c>
      <c r="AC79" s="435" t="s">
        <v>965</v>
      </c>
      <c r="AE79" s="81"/>
      <c r="AF79" s="81"/>
      <c r="AG79" s="81"/>
      <c r="AH79" s="81"/>
      <c r="AI79" s="81"/>
    </row>
    <row r="80" spans="4:35" s="435" customFormat="1">
      <c r="D80" s="435" t="s">
        <v>79</v>
      </c>
      <c r="E80" s="435" t="s">
        <v>68</v>
      </c>
      <c r="F80" s="435" t="s">
        <v>274</v>
      </c>
      <c r="G80" s="435" t="s">
        <v>86</v>
      </c>
      <c r="H80" s="435" t="s">
        <v>209</v>
      </c>
      <c r="I80" s="435" t="s">
        <v>1</v>
      </c>
      <c r="J80" s="435" t="s">
        <v>145</v>
      </c>
      <c r="K80" s="831" t="s">
        <v>313</v>
      </c>
      <c r="L80" s="831" t="s">
        <v>317</v>
      </c>
      <c r="O80" s="435" t="s">
        <v>209</v>
      </c>
      <c r="AC80" s="435" t="s">
        <v>965</v>
      </c>
      <c r="AE80" s="81"/>
      <c r="AF80" s="81"/>
      <c r="AG80" s="81"/>
      <c r="AH80" s="81"/>
      <c r="AI80" s="81"/>
    </row>
    <row r="81" spans="1:35" s="435" customFormat="1">
      <c r="D81" s="435" t="s">
        <v>79</v>
      </c>
      <c r="E81" s="435" t="s">
        <v>68</v>
      </c>
      <c r="F81" s="435" t="s">
        <v>274</v>
      </c>
      <c r="G81" s="435" t="s">
        <v>86</v>
      </c>
      <c r="H81" s="435" t="s">
        <v>209</v>
      </c>
      <c r="I81" s="435" t="s">
        <v>1</v>
      </c>
      <c r="J81" s="435" t="s">
        <v>145</v>
      </c>
      <c r="K81" s="831" t="s">
        <v>313</v>
      </c>
      <c r="L81" s="831" t="s">
        <v>1694</v>
      </c>
      <c r="O81" s="435" t="s">
        <v>209</v>
      </c>
      <c r="AC81" s="435" t="s">
        <v>965</v>
      </c>
      <c r="AE81" s="81"/>
      <c r="AF81" s="81"/>
      <c r="AG81" s="81"/>
      <c r="AH81" s="81"/>
      <c r="AI81" s="81"/>
    </row>
    <row r="82" spans="1:35" s="435" customFormat="1">
      <c r="D82" s="435" t="s">
        <v>79</v>
      </c>
      <c r="E82" s="435" t="s">
        <v>68</v>
      </c>
      <c r="F82" s="435" t="s">
        <v>274</v>
      </c>
      <c r="G82" s="435" t="s">
        <v>86</v>
      </c>
      <c r="H82" s="435" t="s">
        <v>209</v>
      </c>
      <c r="I82" s="435" t="s">
        <v>1</v>
      </c>
      <c r="J82" s="435" t="s">
        <v>145</v>
      </c>
      <c r="K82" s="831" t="s">
        <v>313</v>
      </c>
      <c r="L82" s="831" t="s">
        <v>1690</v>
      </c>
      <c r="O82" s="435" t="s">
        <v>209</v>
      </c>
      <c r="AC82" s="435" t="s">
        <v>965</v>
      </c>
      <c r="AE82" s="81"/>
      <c r="AF82" s="81"/>
      <c r="AG82" s="81"/>
      <c r="AH82" s="81"/>
      <c r="AI82" s="81"/>
    </row>
    <row r="83" spans="1:35" s="435" customFormat="1">
      <c r="D83" s="435" t="s">
        <v>79</v>
      </c>
      <c r="E83" s="435" t="s">
        <v>68</v>
      </c>
      <c r="F83" s="435" t="s">
        <v>274</v>
      </c>
      <c r="G83" s="435" t="s">
        <v>86</v>
      </c>
      <c r="H83" s="435" t="s">
        <v>209</v>
      </c>
      <c r="I83" s="435" t="s">
        <v>1</v>
      </c>
      <c r="J83" s="435" t="s">
        <v>145</v>
      </c>
      <c r="K83" s="831" t="s">
        <v>319</v>
      </c>
      <c r="L83" s="831" t="s">
        <v>320</v>
      </c>
      <c r="O83" s="435" t="s">
        <v>209</v>
      </c>
      <c r="AC83" s="435" t="s">
        <v>965</v>
      </c>
      <c r="AE83" s="81"/>
      <c r="AF83" s="81"/>
      <c r="AG83" s="81"/>
      <c r="AH83" s="81"/>
      <c r="AI83" s="81"/>
    </row>
    <row r="84" spans="1:35" s="435" customFormat="1">
      <c r="D84" s="435" t="s">
        <v>79</v>
      </c>
      <c r="E84" s="435" t="s">
        <v>68</v>
      </c>
      <c r="F84" s="435" t="s">
        <v>274</v>
      </c>
      <c r="G84" s="435" t="s">
        <v>86</v>
      </c>
      <c r="H84" s="435" t="s">
        <v>209</v>
      </c>
      <c r="I84" s="435" t="s">
        <v>1</v>
      </c>
      <c r="J84" s="435" t="s">
        <v>145</v>
      </c>
      <c r="K84" s="831" t="s">
        <v>319</v>
      </c>
      <c r="L84" s="831" t="s">
        <v>321</v>
      </c>
      <c r="O84" s="435" t="s">
        <v>209</v>
      </c>
      <c r="AC84" s="435" t="s">
        <v>965</v>
      </c>
      <c r="AE84" s="81"/>
      <c r="AF84" s="81"/>
      <c r="AG84" s="81"/>
      <c r="AH84" s="81"/>
      <c r="AI84" s="81"/>
    </row>
    <row r="85" spans="1:35" s="435" customFormat="1">
      <c r="D85" s="435" t="s">
        <v>79</v>
      </c>
      <c r="E85" s="435" t="s">
        <v>68</v>
      </c>
      <c r="F85" s="435" t="s">
        <v>274</v>
      </c>
      <c r="G85" s="435" t="s">
        <v>86</v>
      </c>
      <c r="H85" s="435" t="s">
        <v>209</v>
      </c>
      <c r="I85" s="435" t="s">
        <v>1</v>
      </c>
      <c r="J85" s="435" t="s">
        <v>145</v>
      </c>
      <c r="K85" s="831" t="s">
        <v>319</v>
      </c>
      <c r="L85" s="831" t="s">
        <v>322</v>
      </c>
      <c r="O85" s="435" t="s">
        <v>209</v>
      </c>
      <c r="AC85" s="435" t="s">
        <v>965</v>
      </c>
      <c r="AE85" s="81"/>
      <c r="AF85" s="81"/>
      <c r="AG85" s="81"/>
      <c r="AH85" s="81"/>
      <c r="AI85" s="81"/>
    </row>
    <row r="86" spans="1:35" s="435" customFormat="1">
      <c r="D86" s="435" t="s">
        <v>79</v>
      </c>
      <c r="E86" s="435" t="s">
        <v>68</v>
      </c>
      <c r="F86" s="435" t="s">
        <v>274</v>
      </c>
      <c r="G86" s="435" t="s">
        <v>86</v>
      </c>
      <c r="H86" s="435" t="s">
        <v>209</v>
      </c>
      <c r="I86" s="435" t="s">
        <v>1</v>
      </c>
      <c r="J86" s="435" t="s">
        <v>145</v>
      </c>
      <c r="K86" s="831" t="s">
        <v>319</v>
      </c>
      <c r="L86" s="831" t="s">
        <v>1690</v>
      </c>
      <c r="O86" s="435" t="s">
        <v>209</v>
      </c>
      <c r="AC86" s="435" t="s">
        <v>965</v>
      </c>
      <c r="AE86" s="81"/>
      <c r="AF86" s="81"/>
      <c r="AG86" s="81"/>
      <c r="AH86" s="81"/>
      <c r="AI86" s="81"/>
    </row>
    <row r="87" spans="1:35" s="435" customFormat="1">
      <c r="D87" s="435" t="s">
        <v>79</v>
      </c>
      <c r="E87" s="435" t="s">
        <v>68</v>
      </c>
      <c r="F87" s="435" t="s">
        <v>274</v>
      </c>
      <c r="G87" s="435" t="s">
        <v>86</v>
      </c>
      <c r="H87" s="435" t="s">
        <v>209</v>
      </c>
      <c r="I87" s="435" t="s">
        <v>1</v>
      </c>
      <c r="J87" s="435" t="s">
        <v>145</v>
      </c>
      <c r="K87" s="831" t="s">
        <v>323</v>
      </c>
      <c r="L87" s="831" t="s">
        <v>1695</v>
      </c>
      <c r="O87" s="435" t="s">
        <v>209</v>
      </c>
      <c r="AC87" s="435" t="s">
        <v>965</v>
      </c>
      <c r="AE87" s="81"/>
      <c r="AF87" s="81"/>
      <c r="AG87" s="81"/>
      <c r="AH87" s="81"/>
      <c r="AI87" s="81"/>
    </row>
    <row r="88" spans="1:35" s="435" customFormat="1">
      <c r="D88" s="435" t="s">
        <v>79</v>
      </c>
      <c r="E88" s="435" t="s">
        <v>68</v>
      </c>
      <c r="F88" s="435" t="s">
        <v>274</v>
      </c>
      <c r="G88" s="435" t="s">
        <v>86</v>
      </c>
      <c r="H88" s="435" t="s">
        <v>209</v>
      </c>
      <c r="I88" s="435" t="s">
        <v>1</v>
      </c>
      <c r="J88" s="435" t="s">
        <v>145</v>
      </c>
      <c r="K88" s="831" t="s">
        <v>323</v>
      </c>
      <c r="L88" s="831" t="s">
        <v>1690</v>
      </c>
      <c r="O88" s="435" t="s">
        <v>209</v>
      </c>
      <c r="AC88" s="435" t="s">
        <v>965</v>
      </c>
      <c r="AE88" s="81"/>
      <c r="AF88" s="81"/>
      <c r="AG88" s="81"/>
      <c r="AH88" s="81"/>
      <c r="AI88" s="81"/>
    </row>
    <row r="89" spans="1:35" s="435" customFormat="1">
      <c r="D89" s="435" t="s">
        <v>79</v>
      </c>
      <c r="E89" s="435" t="s">
        <v>68</v>
      </c>
      <c r="F89" s="435" t="s">
        <v>274</v>
      </c>
      <c r="G89" s="435" t="s">
        <v>86</v>
      </c>
      <c r="H89" s="435" t="s">
        <v>209</v>
      </c>
      <c r="I89" s="435" t="s">
        <v>1</v>
      </c>
      <c r="J89" s="435" t="s">
        <v>145</v>
      </c>
      <c r="K89" s="831" t="s">
        <v>1690</v>
      </c>
      <c r="L89" s="831" t="s">
        <v>1690</v>
      </c>
      <c r="O89" s="435" t="s">
        <v>209</v>
      </c>
      <c r="P89" s="76"/>
      <c r="Q89" s="76"/>
      <c r="R89" s="76"/>
      <c r="S89" s="76"/>
      <c r="T89" s="76"/>
      <c r="U89" s="76"/>
      <c r="AC89" s="435" t="s">
        <v>965</v>
      </c>
      <c r="AD89" s="80"/>
      <c r="AE89" s="81"/>
      <c r="AF89" s="81"/>
      <c r="AG89" s="81"/>
      <c r="AH89" s="81"/>
      <c r="AI89" s="81"/>
    </row>
    <row r="90" spans="1:35" s="435" customFormat="1">
      <c r="K90" s="831"/>
      <c r="L90" s="831"/>
    </row>
    <row r="91" spans="1:35" s="1" customFormat="1" ht="13.9">
      <c r="A91" s="66"/>
      <c r="B91" s="78" t="s">
        <v>144</v>
      </c>
    </row>
    <row r="92" spans="1:35" s="435" customFormat="1">
      <c r="K92" s="831"/>
      <c r="L92" s="831"/>
    </row>
    <row r="93" spans="1:35" s="435" customFormat="1">
      <c r="D93" s="435" t="s">
        <v>79</v>
      </c>
      <c r="E93" s="435" t="s">
        <v>68</v>
      </c>
      <c r="F93" s="435" t="s">
        <v>274</v>
      </c>
      <c r="G93" s="435" t="s">
        <v>86</v>
      </c>
      <c r="H93" s="435" t="s">
        <v>209</v>
      </c>
      <c r="I93" s="435" t="s">
        <v>1</v>
      </c>
      <c r="J93" s="435" t="s">
        <v>144</v>
      </c>
      <c r="K93" s="831" t="s">
        <v>300</v>
      </c>
      <c r="L93" s="831"/>
      <c r="O93" s="435" t="s">
        <v>209</v>
      </c>
      <c r="P93" s="76"/>
      <c r="Q93" s="76"/>
      <c r="R93" s="76"/>
      <c r="S93" s="76"/>
      <c r="T93" s="76"/>
      <c r="U93" s="76"/>
      <c r="AC93" s="435" t="s">
        <v>965</v>
      </c>
      <c r="AD93" s="80"/>
      <c r="AE93" s="81"/>
      <c r="AF93" s="81"/>
      <c r="AG93" s="81"/>
      <c r="AH93" s="81"/>
      <c r="AI93" s="81"/>
    </row>
    <row r="94" spans="1:35" s="435" customFormat="1">
      <c r="D94" s="435" t="s">
        <v>79</v>
      </c>
      <c r="E94" s="435" t="s">
        <v>68</v>
      </c>
      <c r="F94" s="435" t="s">
        <v>274</v>
      </c>
      <c r="G94" s="435" t="s">
        <v>86</v>
      </c>
      <c r="H94" s="435" t="s">
        <v>209</v>
      </c>
      <c r="I94" s="435" t="s">
        <v>1</v>
      </c>
      <c r="J94" s="435" t="s">
        <v>144</v>
      </c>
      <c r="K94" s="831" t="s">
        <v>303</v>
      </c>
      <c r="L94" s="831"/>
      <c r="O94" s="435" t="s">
        <v>209</v>
      </c>
      <c r="P94" s="76"/>
      <c r="Q94" s="76"/>
      <c r="R94" s="76"/>
      <c r="S94" s="76"/>
      <c r="T94" s="76"/>
      <c r="U94" s="76"/>
      <c r="AC94" s="435" t="s">
        <v>965</v>
      </c>
      <c r="AD94" s="80"/>
      <c r="AE94" s="81"/>
      <c r="AF94" s="81"/>
      <c r="AG94" s="81"/>
      <c r="AH94" s="81"/>
      <c r="AI94" s="81"/>
    </row>
    <row r="95" spans="1:35" s="435" customFormat="1">
      <c r="D95" s="435" t="s">
        <v>79</v>
      </c>
      <c r="E95" s="435" t="s">
        <v>68</v>
      </c>
      <c r="F95" s="435" t="s">
        <v>274</v>
      </c>
      <c r="G95" s="435" t="s">
        <v>86</v>
      </c>
      <c r="H95" s="435" t="s">
        <v>209</v>
      </c>
      <c r="I95" s="435" t="s">
        <v>1</v>
      </c>
      <c r="J95" s="435" t="s">
        <v>144</v>
      </c>
      <c r="K95" s="831" t="s">
        <v>255</v>
      </c>
      <c r="L95" s="831"/>
      <c r="O95" s="435" t="s">
        <v>209</v>
      </c>
      <c r="P95" s="76"/>
      <c r="Q95" s="76"/>
      <c r="R95" s="76"/>
      <c r="S95" s="76"/>
      <c r="T95" s="76"/>
      <c r="U95" s="76"/>
      <c r="AC95" s="435" t="s">
        <v>965</v>
      </c>
      <c r="AD95" s="80"/>
      <c r="AE95" s="81"/>
      <c r="AF95" s="81"/>
      <c r="AG95" s="81"/>
      <c r="AH95" s="81"/>
      <c r="AI95" s="81"/>
    </row>
    <row r="96" spans="1:35" s="435" customFormat="1">
      <c r="D96" s="435" t="s">
        <v>79</v>
      </c>
      <c r="E96" s="435" t="s">
        <v>68</v>
      </c>
      <c r="F96" s="435" t="s">
        <v>274</v>
      </c>
      <c r="G96" s="435" t="s">
        <v>86</v>
      </c>
      <c r="H96" s="435" t="s">
        <v>209</v>
      </c>
      <c r="I96" s="435" t="s">
        <v>1</v>
      </c>
      <c r="J96" s="435" t="s">
        <v>144</v>
      </c>
      <c r="K96" s="831" t="s">
        <v>310</v>
      </c>
      <c r="L96" s="831"/>
      <c r="O96" s="435" t="s">
        <v>209</v>
      </c>
      <c r="P96" s="76"/>
      <c r="Q96" s="76"/>
      <c r="R96" s="76"/>
      <c r="S96" s="76"/>
      <c r="T96" s="76"/>
      <c r="U96" s="76"/>
      <c r="AC96" s="435" t="s">
        <v>965</v>
      </c>
      <c r="AD96" s="80"/>
      <c r="AE96" s="81"/>
      <c r="AF96" s="81"/>
      <c r="AG96" s="81"/>
      <c r="AH96" s="81"/>
      <c r="AI96" s="81"/>
    </row>
    <row r="97" spans="1:35" s="435" customFormat="1">
      <c r="D97" s="435" t="s">
        <v>79</v>
      </c>
      <c r="E97" s="435" t="s">
        <v>68</v>
      </c>
      <c r="F97" s="435" t="s">
        <v>274</v>
      </c>
      <c r="G97" s="435" t="s">
        <v>86</v>
      </c>
      <c r="H97" s="435" t="s">
        <v>209</v>
      </c>
      <c r="I97" s="435" t="s">
        <v>1</v>
      </c>
      <c r="J97" s="435" t="s">
        <v>144</v>
      </c>
      <c r="K97" s="831" t="s">
        <v>313</v>
      </c>
      <c r="L97" s="831"/>
      <c r="O97" s="435" t="s">
        <v>209</v>
      </c>
      <c r="P97" s="76"/>
      <c r="Q97" s="76"/>
      <c r="R97" s="76"/>
      <c r="S97" s="76"/>
      <c r="T97" s="76"/>
      <c r="U97" s="76"/>
      <c r="AC97" s="435" t="s">
        <v>965</v>
      </c>
      <c r="AD97" s="80"/>
      <c r="AE97" s="81"/>
      <c r="AF97" s="81"/>
      <c r="AG97" s="81"/>
      <c r="AH97" s="81"/>
      <c r="AI97" s="81"/>
    </row>
    <row r="98" spans="1:35" s="435" customFormat="1">
      <c r="D98" s="435" t="s">
        <v>79</v>
      </c>
      <c r="E98" s="435" t="s">
        <v>68</v>
      </c>
      <c r="F98" s="435" t="s">
        <v>274</v>
      </c>
      <c r="G98" s="435" t="s">
        <v>86</v>
      </c>
      <c r="H98" s="435" t="s">
        <v>209</v>
      </c>
      <c r="I98" s="435" t="s">
        <v>1</v>
      </c>
      <c r="J98" s="435" t="s">
        <v>144</v>
      </c>
      <c r="K98" s="831" t="s">
        <v>319</v>
      </c>
      <c r="L98" s="831"/>
      <c r="O98" s="435" t="s">
        <v>209</v>
      </c>
      <c r="P98" s="76"/>
      <c r="Q98" s="76"/>
      <c r="R98" s="76"/>
      <c r="S98" s="76"/>
      <c r="T98" s="76"/>
      <c r="U98" s="76"/>
      <c r="AC98" s="435" t="s">
        <v>965</v>
      </c>
      <c r="AD98" s="80"/>
      <c r="AE98" s="81"/>
      <c r="AF98" s="81"/>
      <c r="AG98" s="81"/>
      <c r="AH98" s="81"/>
      <c r="AI98" s="81"/>
    </row>
    <row r="99" spans="1:35" s="435" customFormat="1">
      <c r="D99" s="435" t="s">
        <v>79</v>
      </c>
      <c r="E99" s="435" t="s">
        <v>68</v>
      </c>
      <c r="F99" s="435" t="s">
        <v>274</v>
      </c>
      <c r="G99" s="435" t="s">
        <v>86</v>
      </c>
      <c r="H99" s="435" t="s">
        <v>209</v>
      </c>
      <c r="I99" s="435" t="s">
        <v>1</v>
      </c>
      <c r="J99" s="435" t="s">
        <v>144</v>
      </c>
      <c r="K99" s="831" t="s">
        <v>323</v>
      </c>
      <c r="L99" s="831"/>
      <c r="O99" s="435" t="s">
        <v>209</v>
      </c>
      <c r="P99" s="76"/>
      <c r="Q99" s="76"/>
      <c r="R99" s="76"/>
      <c r="S99" s="76"/>
      <c r="T99" s="76"/>
      <c r="U99" s="76"/>
      <c r="AC99" s="435" t="s">
        <v>965</v>
      </c>
      <c r="AD99" s="80"/>
      <c r="AE99" s="79"/>
      <c r="AF99" s="79"/>
      <c r="AG99" s="79"/>
      <c r="AH99" s="79"/>
      <c r="AI99" s="79"/>
    </row>
    <row r="100" spans="1:35" s="435" customFormat="1">
      <c r="D100" s="435" t="s">
        <v>79</v>
      </c>
      <c r="E100" s="435" t="s">
        <v>68</v>
      </c>
      <c r="F100" s="435" t="s">
        <v>274</v>
      </c>
      <c r="G100" s="435" t="s">
        <v>86</v>
      </c>
      <c r="H100" s="435" t="s">
        <v>209</v>
      </c>
      <c r="I100" s="435" t="s">
        <v>1</v>
      </c>
      <c r="J100" s="435" t="s">
        <v>144</v>
      </c>
      <c r="K100" s="831" t="s">
        <v>1690</v>
      </c>
      <c r="L100" s="831"/>
      <c r="O100" s="435" t="s">
        <v>209</v>
      </c>
      <c r="P100" s="76"/>
      <c r="Q100" s="76"/>
      <c r="R100" s="76"/>
      <c r="S100" s="76"/>
      <c r="T100" s="76"/>
      <c r="U100" s="76"/>
      <c r="AC100" s="435" t="s">
        <v>965</v>
      </c>
      <c r="AD100" s="80"/>
      <c r="AE100" s="79"/>
      <c r="AF100" s="79"/>
      <c r="AG100" s="79"/>
      <c r="AH100" s="79"/>
      <c r="AI100" s="79"/>
    </row>
    <row r="101" spans="1:35" s="67" customFormat="1">
      <c r="D101" s="435"/>
      <c r="E101" s="435"/>
      <c r="F101" s="435"/>
      <c r="G101" s="435"/>
      <c r="H101" s="435"/>
      <c r="I101" s="435"/>
      <c r="J101" s="435"/>
      <c r="K101" s="435"/>
      <c r="L101" s="435"/>
      <c r="M101" s="435"/>
      <c r="N101" s="435"/>
      <c r="O101" s="435"/>
      <c r="P101" s="76"/>
      <c r="Q101" s="76"/>
      <c r="R101" s="76"/>
      <c r="S101" s="76"/>
      <c r="T101" s="76"/>
      <c r="U101" s="76"/>
      <c r="V101" s="435"/>
      <c r="W101" s="435"/>
      <c r="X101" s="435"/>
      <c r="Y101" s="435"/>
      <c r="Z101" s="435"/>
      <c r="AA101" s="435"/>
      <c r="AB101" s="435"/>
      <c r="AC101" s="435"/>
      <c r="AD101" s="80"/>
      <c r="AE101" s="95"/>
      <c r="AF101" s="95"/>
      <c r="AG101" s="95"/>
      <c r="AH101" s="95"/>
      <c r="AI101" s="95"/>
    </row>
    <row r="102" spans="1:35" s="1" customFormat="1" ht="13.9">
      <c r="A102" s="66"/>
      <c r="B102" s="78" t="s">
        <v>2701</v>
      </c>
    </row>
    <row r="103" spans="1:35" s="435" customFormat="1"/>
    <row r="104" spans="1:35" s="435" customFormat="1">
      <c r="D104" s="435" t="s">
        <v>79</v>
      </c>
      <c r="E104" s="435" t="s">
        <v>68</v>
      </c>
      <c r="F104" s="435" t="s">
        <v>274</v>
      </c>
      <c r="G104" s="435" t="s">
        <v>86</v>
      </c>
      <c r="H104" s="435" t="s">
        <v>209</v>
      </c>
      <c r="I104" s="435" t="s">
        <v>1</v>
      </c>
      <c r="J104" s="435" t="s">
        <v>211</v>
      </c>
      <c r="K104" s="96"/>
      <c r="L104" s="96"/>
      <c r="O104" s="435" t="s">
        <v>209</v>
      </c>
      <c r="P104" s="76"/>
      <c r="Q104" s="76"/>
      <c r="R104" s="76"/>
      <c r="S104" s="76"/>
      <c r="T104" s="76"/>
      <c r="U104" s="76"/>
      <c r="AC104" s="435" t="s">
        <v>2693</v>
      </c>
      <c r="AE104" s="77"/>
      <c r="AF104" s="77"/>
      <c r="AG104" s="77"/>
      <c r="AH104" s="77"/>
      <c r="AI104" s="77"/>
    </row>
    <row r="105" spans="1:35" s="67" customFormat="1">
      <c r="D105" s="435"/>
      <c r="E105" s="435"/>
      <c r="F105" s="435"/>
      <c r="G105" s="435"/>
      <c r="H105" s="435"/>
      <c r="I105" s="435"/>
      <c r="J105" s="435"/>
      <c r="K105" s="435"/>
      <c r="L105" s="435"/>
      <c r="M105" s="435"/>
      <c r="N105" s="435"/>
      <c r="O105" s="435"/>
      <c r="P105" s="76"/>
      <c r="Q105" s="76"/>
      <c r="R105" s="76"/>
      <c r="S105" s="76"/>
      <c r="T105" s="76"/>
      <c r="U105" s="76"/>
      <c r="V105" s="435"/>
      <c r="W105" s="435"/>
      <c r="X105" s="435"/>
      <c r="Y105" s="435"/>
      <c r="Z105" s="435"/>
      <c r="AA105" s="435"/>
      <c r="AB105" s="435"/>
      <c r="AC105" s="435"/>
      <c r="AD105" s="435"/>
      <c r="AE105" s="75"/>
      <c r="AF105" s="75"/>
      <c r="AG105" s="75"/>
      <c r="AH105" s="75"/>
      <c r="AI105" s="75"/>
    </row>
    <row r="106" spans="1:35" s="67" customFormat="1">
      <c r="D106"/>
      <c r="E106"/>
      <c r="F106" s="435"/>
      <c r="G106" s="435"/>
      <c r="H106"/>
      <c r="I106"/>
      <c r="J106"/>
      <c r="K106"/>
      <c r="L106"/>
      <c r="M106"/>
      <c r="N106"/>
      <c r="O106"/>
      <c r="P106" s="76"/>
      <c r="Q106" s="76"/>
      <c r="R106" s="76"/>
      <c r="S106" s="76"/>
      <c r="T106" s="76"/>
      <c r="U106" s="76"/>
      <c r="V106"/>
      <c r="W106"/>
      <c r="X106"/>
      <c r="Y106"/>
      <c r="Z106"/>
      <c r="AA106"/>
      <c r="AB106"/>
      <c r="AC106"/>
      <c r="AD106"/>
      <c r="AE106" s="94"/>
      <c r="AF106" s="94"/>
      <c r="AG106" s="94"/>
      <c r="AH106" s="94"/>
      <c r="AI106" s="94"/>
    </row>
    <row r="107" spans="1:35" s="73" customFormat="1" ht="18">
      <c r="A107" s="74" t="s">
        <v>76</v>
      </c>
    </row>
  </sheetData>
  <mergeCells count="1">
    <mergeCell ref="AE6:AI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activeCell="F13" sqref="F13"/>
      <selection pane="bottomLeft"/>
    </sheetView>
  </sheetViews>
  <sheetFormatPr defaultRowHeight="14.25"/>
  <cols>
    <col min="1" max="3" width="1.73046875" customWidth="1"/>
    <col min="4" max="4" width="8.1328125" bestFit="1" customWidth="1"/>
    <col min="5" max="5" width="5" bestFit="1" customWidth="1"/>
    <col min="6" max="6" width="12.1328125" style="435" bestFit="1" customWidth="1"/>
    <col min="7" max="7" width="11.265625" style="435" bestFit="1" customWidth="1"/>
    <col min="8" max="8" width="25.73046875" bestFit="1" customWidth="1"/>
    <col min="9" max="9" width="9.3984375" bestFit="1" customWidth="1"/>
    <col min="10" max="10" width="11.3984375" bestFit="1" customWidth="1"/>
    <col min="11" max="11" width="25.265625" bestFit="1" customWidth="1"/>
    <col min="12" max="12" width="24.265625" bestFit="1" customWidth="1"/>
    <col min="13" max="14" width="1.73046875" customWidth="1"/>
    <col min="15" max="15" width="25.73046875" bestFit="1" customWidth="1"/>
    <col min="16" max="17" width="1.73046875" customWidth="1"/>
    <col min="18"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270</v>
      </c>
    </row>
    <row r="6" spans="1:35">
      <c r="AD6" s="435"/>
      <c r="AE6" s="1347" t="s">
        <v>112</v>
      </c>
      <c r="AF6" s="1348"/>
      <c r="AG6" s="1348"/>
      <c r="AH6" s="1348"/>
      <c r="AI6" s="1349"/>
    </row>
    <row r="7" spans="1:35" s="67" customFormat="1">
      <c r="D7" s="87" t="s">
        <v>111</v>
      </c>
      <c r="E7" s="87" t="s">
        <v>68</v>
      </c>
      <c r="F7" s="87" t="s">
        <v>2692</v>
      </c>
      <c r="G7" s="87" t="s">
        <v>2681</v>
      </c>
      <c r="H7" s="87" t="s">
        <v>110</v>
      </c>
      <c r="I7" s="87" t="s">
        <v>109</v>
      </c>
      <c r="J7" s="87" t="s">
        <v>108</v>
      </c>
      <c r="K7" s="87" t="s">
        <v>107</v>
      </c>
      <c r="L7" s="87" t="s">
        <v>106</v>
      </c>
      <c r="M7" s="87" t="s">
        <v>105</v>
      </c>
      <c r="N7" s="87"/>
      <c r="O7" s="87" t="s">
        <v>103</v>
      </c>
      <c r="P7" s="87"/>
      <c r="Q7" s="87"/>
      <c r="R7" s="86" t="s">
        <v>101</v>
      </c>
      <c r="S7" s="86" t="s">
        <v>100</v>
      </c>
      <c r="T7" s="86" t="s">
        <v>99</v>
      </c>
      <c r="U7" s="86" t="s">
        <v>98</v>
      </c>
      <c r="V7" s="86" t="s">
        <v>97</v>
      </c>
      <c r="W7" s="86" t="s">
        <v>96</v>
      </c>
      <c r="X7" s="86" t="s">
        <v>95</v>
      </c>
      <c r="Y7" s="86" t="s">
        <v>94</v>
      </c>
      <c r="Z7" s="86" t="s">
        <v>93</v>
      </c>
      <c r="AA7" s="86" t="s">
        <v>92</v>
      </c>
      <c r="AB7" s="86" t="s">
        <v>91</v>
      </c>
      <c r="AC7" s="67" t="s">
        <v>5</v>
      </c>
      <c r="AE7" s="84">
        <v>2022</v>
      </c>
      <c r="AF7" s="83">
        <v>2023</v>
      </c>
      <c r="AG7" s="83">
        <v>2024</v>
      </c>
      <c r="AH7" s="83">
        <v>2025</v>
      </c>
      <c r="AI7" s="82">
        <v>2026</v>
      </c>
    </row>
    <row r="8" spans="1:35">
      <c r="R8" s="67"/>
      <c r="S8" s="67"/>
      <c r="T8" s="67"/>
      <c r="U8" s="67"/>
    </row>
    <row r="9" spans="1:35" s="1" customFormat="1" ht="17.649999999999999">
      <c r="A9" s="2" t="s">
        <v>87</v>
      </c>
      <c r="B9" s="2"/>
    </row>
    <row r="11" spans="1:35" s="1" customFormat="1" ht="13.9">
      <c r="A11" s="66"/>
      <c r="B11" s="78" t="s">
        <v>11</v>
      </c>
    </row>
    <row r="13" spans="1:35">
      <c r="D13" t="s">
        <v>185</v>
      </c>
      <c r="E13" t="s">
        <v>68</v>
      </c>
      <c r="F13" s="435" t="s">
        <v>274</v>
      </c>
      <c r="G13" s="435" t="s">
        <v>12</v>
      </c>
      <c r="H13" t="s">
        <v>209</v>
      </c>
      <c r="I13" t="s">
        <v>1</v>
      </c>
      <c r="J13" t="s">
        <v>11</v>
      </c>
      <c r="K13" t="s">
        <v>3059</v>
      </c>
      <c r="L13" s="96"/>
      <c r="O13" t="s">
        <v>209</v>
      </c>
      <c r="P13" s="76"/>
      <c r="Q13" s="76"/>
      <c r="R13" s="76"/>
      <c r="S13" s="76"/>
      <c r="T13" s="76"/>
      <c r="U13" s="76"/>
      <c r="AC13" t="s">
        <v>2</v>
      </c>
      <c r="AD13" s="80"/>
      <c r="AE13" s="81"/>
      <c r="AF13" s="81"/>
      <c r="AG13" s="81"/>
      <c r="AH13" s="81"/>
      <c r="AI13" s="81"/>
    </row>
    <row r="14" spans="1:35">
      <c r="D14" s="435" t="s">
        <v>185</v>
      </c>
      <c r="E14" t="s">
        <v>68</v>
      </c>
      <c r="F14" s="435" t="s">
        <v>274</v>
      </c>
      <c r="G14" s="435" t="s">
        <v>12</v>
      </c>
      <c r="H14" t="s">
        <v>209</v>
      </c>
      <c r="I14" t="s">
        <v>1</v>
      </c>
      <c r="J14" s="435" t="s">
        <v>11</v>
      </c>
      <c r="K14" t="s">
        <v>3060</v>
      </c>
      <c r="L14" s="96"/>
      <c r="O14" t="s">
        <v>209</v>
      </c>
      <c r="P14" s="76"/>
      <c r="Q14" s="76"/>
      <c r="R14" s="76"/>
      <c r="S14" s="76"/>
      <c r="T14" s="76"/>
      <c r="U14" s="76"/>
      <c r="AC14" t="s">
        <v>2</v>
      </c>
      <c r="AD14" s="80"/>
      <c r="AE14" s="81"/>
      <c r="AF14" s="81"/>
      <c r="AG14" s="81"/>
      <c r="AH14" s="81"/>
      <c r="AI14" s="81"/>
    </row>
    <row r="15" spans="1:35">
      <c r="D15" s="435" t="s">
        <v>185</v>
      </c>
      <c r="E15" t="s">
        <v>68</v>
      </c>
      <c r="F15" s="435" t="s">
        <v>274</v>
      </c>
      <c r="G15" s="435" t="s">
        <v>12</v>
      </c>
      <c r="H15" t="s">
        <v>209</v>
      </c>
      <c r="I15" t="s">
        <v>1</v>
      </c>
      <c r="J15" s="435" t="s">
        <v>11</v>
      </c>
      <c r="K15" t="s">
        <v>3063</v>
      </c>
      <c r="L15" s="96"/>
      <c r="O15" t="s">
        <v>209</v>
      </c>
      <c r="P15" s="76"/>
      <c r="Q15" s="76"/>
      <c r="R15" s="76"/>
      <c r="S15" s="76"/>
      <c r="T15" s="76"/>
      <c r="U15" s="76"/>
      <c r="AC15" t="s">
        <v>2</v>
      </c>
      <c r="AD15" s="80"/>
      <c r="AE15" s="81"/>
      <c r="AF15" s="81"/>
      <c r="AG15" s="81"/>
      <c r="AH15" s="81"/>
      <c r="AI15" s="81"/>
    </row>
    <row r="16" spans="1:35">
      <c r="D16" s="435" t="s">
        <v>185</v>
      </c>
      <c r="E16" t="s">
        <v>68</v>
      </c>
      <c r="F16" s="435" t="s">
        <v>274</v>
      </c>
      <c r="G16" s="435" t="s">
        <v>12</v>
      </c>
      <c r="H16" t="s">
        <v>209</v>
      </c>
      <c r="I16" t="s">
        <v>1</v>
      </c>
      <c r="J16" s="435" t="s">
        <v>11</v>
      </c>
      <c r="K16" t="s">
        <v>3061</v>
      </c>
      <c r="L16" s="96"/>
      <c r="O16" t="s">
        <v>209</v>
      </c>
      <c r="P16" s="76"/>
      <c r="Q16" s="76"/>
      <c r="R16" s="76"/>
      <c r="S16" s="76"/>
      <c r="T16" s="76"/>
      <c r="U16" s="76"/>
      <c r="AC16" t="s">
        <v>2</v>
      </c>
      <c r="AD16" s="80"/>
      <c r="AE16" s="81"/>
      <c r="AF16" s="81"/>
      <c r="AG16" s="81"/>
      <c r="AH16" s="81"/>
      <c r="AI16" s="81"/>
    </row>
    <row r="17" spans="1:35">
      <c r="D17" s="435" t="s">
        <v>185</v>
      </c>
      <c r="E17" t="s">
        <v>68</v>
      </c>
      <c r="F17" s="435" t="s">
        <v>274</v>
      </c>
      <c r="G17" s="435" t="s">
        <v>12</v>
      </c>
      <c r="H17" t="s">
        <v>209</v>
      </c>
      <c r="I17" t="s">
        <v>1</v>
      </c>
      <c r="J17" s="435" t="s">
        <v>11</v>
      </c>
      <c r="K17" t="s">
        <v>3062</v>
      </c>
      <c r="L17" s="96"/>
      <c r="O17" t="s">
        <v>209</v>
      </c>
      <c r="P17" s="76"/>
      <c r="Q17" s="76"/>
      <c r="R17" s="76"/>
      <c r="S17" s="76"/>
      <c r="T17" s="76"/>
      <c r="U17" s="76"/>
      <c r="AC17" t="s">
        <v>2</v>
      </c>
      <c r="AD17" s="80"/>
      <c r="AE17" s="81"/>
      <c r="AF17" s="81"/>
      <c r="AG17" s="81"/>
      <c r="AH17" s="81"/>
      <c r="AI17" s="81"/>
    </row>
    <row r="18" spans="1:35">
      <c r="D18" s="435" t="s">
        <v>185</v>
      </c>
      <c r="E18" t="s">
        <v>68</v>
      </c>
      <c r="F18" s="435" t="s">
        <v>274</v>
      </c>
      <c r="G18" s="435" t="s">
        <v>12</v>
      </c>
      <c r="H18" t="s">
        <v>209</v>
      </c>
      <c r="I18" t="s">
        <v>1</v>
      </c>
      <c r="J18" s="435" t="s">
        <v>11</v>
      </c>
      <c r="K18" t="s">
        <v>157</v>
      </c>
      <c r="L18" s="96"/>
      <c r="O18" t="s">
        <v>209</v>
      </c>
      <c r="P18" s="76"/>
      <c r="Q18" s="76"/>
      <c r="R18" s="76"/>
      <c r="S18" s="76"/>
      <c r="T18" s="76"/>
      <c r="U18" s="76"/>
      <c r="AC18" t="s">
        <v>2</v>
      </c>
      <c r="AD18" s="80"/>
      <c r="AE18" s="81"/>
      <c r="AF18" s="81"/>
      <c r="AG18" s="81"/>
      <c r="AH18" s="81"/>
      <c r="AI18" s="81"/>
    </row>
    <row r="19" spans="1:35">
      <c r="D19" s="435" t="s">
        <v>185</v>
      </c>
      <c r="E19" t="s">
        <v>68</v>
      </c>
      <c r="F19" s="435" t="s">
        <v>274</v>
      </c>
      <c r="G19" s="435" t="s">
        <v>12</v>
      </c>
      <c r="H19" t="s">
        <v>209</v>
      </c>
      <c r="I19" t="s">
        <v>1</v>
      </c>
      <c r="J19" s="435" t="s">
        <v>11</v>
      </c>
      <c r="L19" s="96"/>
      <c r="O19" t="s">
        <v>209</v>
      </c>
      <c r="P19" s="76"/>
      <c r="Q19" s="76"/>
      <c r="R19" s="76"/>
      <c r="S19" s="76"/>
      <c r="T19" s="76"/>
      <c r="U19" s="76"/>
      <c r="AC19" t="s">
        <v>2</v>
      </c>
      <c r="AD19" s="80"/>
      <c r="AE19" s="79"/>
      <c r="AF19" s="79"/>
      <c r="AG19" s="79"/>
      <c r="AH19" s="79"/>
      <c r="AI19" s="79"/>
    </row>
    <row r="20" spans="1:35" s="67" customFormat="1">
      <c r="D20" s="435" t="s">
        <v>185</v>
      </c>
      <c r="E20" t="s">
        <v>68</v>
      </c>
      <c r="F20" s="435" t="s">
        <v>274</v>
      </c>
      <c r="G20" s="435" t="s">
        <v>12</v>
      </c>
      <c r="H20" t="s">
        <v>209</v>
      </c>
      <c r="I20" t="s">
        <v>1</v>
      </c>
      <c r="J20" s="435" t="s">
        <v>11</v>
      </c>
      <c r="K20"/>
      <c r="L20" s="96"/>
      <c r="M20"/>
      <c r="N20"/>
      <c r="O20" t="s">
        <v>209</v>
      </c>
      <c r="P20" s="76"/>
      <c r="Q20" s="76"/>
      <c r="R20" s="76"/>
      <c r="S20" s="76"/>
      <c r="T20" s="76"/>
      <c r="U20" s="76"/>
      <c r="V20"/>
      <c r="W20"/>
      <c r="X20"/>
      <c r="Y20"/>
      <c r="Z20"/>
      <c r="AA20"/>
      <c r="AB20"/>
      <c r="AC20" t="s">
        <v>2</v>
      </c>
      <c r="AD20" s="80"/>
      <c r="AE20" s="79"/>
      <c r="AF20" s="79"/>
      <c r="AG20" s="79"/>
      <c r="AH20" s="79"/>
      <c r="AI20" s="79"/>
    </row>
    <row r="22" spans="1:35" s="1" customFormat="1" ht="17.649999999999999">
      <c r="A22" s="2" t="s">
        <v>86</v>
      </c>
      <c r="B22" s="2"/>
    </row>
    <row r="24" spans="1:35" s="1" customFormat="1" ht="13.9">
      <c r="A24" s="66"/>
      <c r="B24" s="78" t="s">
        <v>11</v>
      </c>
    </row>
    <row r="25" spans="1:35" s="67" customFormat="1">
      <c r="D25"/>
      <c r="E25"/>
      <c r="F25" s="435"/>
      <c r="G25" s="435"/>
      <c r="H25"/>
      <c r="I25"/>
      <c r="J25"/>
      <c r="K25"/>
      <c r="L25"/>
      <c r="M25"/>
      <c r="N25"/>
      <c r="O25"/>
      <c r="P25" s="76"/>
      <c r="Q25" s="76"/>
      <c r="R25" s="76"/>
      <c r="S25" s="76"/>
      <c r="T25" s="76"/>
      <c r="U25" s="76"/>
      <c r="V25"/>
      <c r="W25"/>
      <c r="X25"/>
      <c r="Y25"/>
      <c r="Z25"/>
      <c r="AA25"/>
      <c r="AB25"/>
      <c r="AC25"/>
      <c r="AD25"/>
      <c r="AE25" s="94"/>
      <c r="AF25" s="94"/>
      <c r="AG25" s="94"/>
      <c r="AH25" s="94"/>
      <c r="AI25" s="94"/>
    </row>
    <row r="26" spans="1:35" s="73" customFormat="1" ht="18">
      <c r="A26" s="74" t="s">
        <v>76</v>
      </c>
    </row>
  </sheetData>
  <mergeCells count="1">
    <mergeCell ref="AE6:AI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activeCell="F13" sqref="F13"/>
      <selection pane="bottomLeft"/>
    </sheetView>
  </sheetViews>
  <sheetFormatPr defaultRowHeight="14.25"/>
  <cols>
    <col min="1" max="3" width="1.73046875" customWidth="1"/>
    <col min="4" max="4" width="8.1328125" bestFit="1" customWidth="1"/>
    <col min="5" max="5" width="5" bestFit="1" customWidth="1"/>
    <col min="6" max="6" width="12.1328125" style="435" bestFit="1" customWidth="1"/>
    <col min="7" max="7" width="11.265625" style="435" bestFit="1" customWidth="1"/>
    <col min="8" max="8" width="13.59765625" bestFit="1" customWidth="1"/>
    <col min="9" max="9" width="9.3984375" bestFit="1" customWidth="1"/>
    <col min="10" max="10" width="10.73046875" bestFit="1" customWidth="1"/>
    <col min="11" max="14" width="1.73046875" customWidth="1"/>
    <col min="15" max="15" width="14.86328125" bestFit="1" customWidth="1"/>
    <col min="16" max="17" width="1.73046875" customWidth="1"/>
    <col min="18" max="27" width="1.73046875" hidden="1" customWidth="1"/>
    <col min="28" max="28" width="20.265625" bestFit="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184</v>
      </c>
    </row>
    <row r="6" spans="1:35">
      <c r="AD6" s="435"/>
      <c r="AE6" s="1362" t="s">
        <v>112</v>
      </c>
      <c r="AF6" s="1363"/>
      <c r="AG6" s="1363"/>
      <c r="AH6" s="1363"/>
      <c r="AI6" s="1364"/>
    </row>
    <row r="7" spans="1:35" s="67" customFormat="1">
      <c r="D7" s="87" t="s">
        <v>111</v>
      </c>
      <c r="E7" s="87" t="s">
        <v>68</v>
      </c>
      <c r="F7" s="87" t="s">
        <v>2692</v>
      </c>
      <c r="G7" s="87" t="s">
        <v>2681</v>
      </c>
      <c r="H7" s="87" t="s">
        <v>110</v>
      </c>
      <c r="I7" s="87" t="s">
        <v>109</v>
      </c>
      <c r="J7" s="87" t="s">
        <v>108</v>
      </c>
      <c r="K7" s="87" t="s">
        <v>107</v>
      </c>
      <c r="L7" s="87" t="s">
        <v>106</v>
      </c>
      <c r="M7" s="87" t="s">
        <v>105</v>
      </c>
      <c r="N7" s="87"/>
      <c r="O7" s="87" t="s">
        <v>103</v>
      </c>
      <c r="P7" s="87"/>
      <c r="Q7" s="87"/>
      <c r="R7" s="86" t="s">
        <v>101</v>
      </c>
      <c r="S7" s="86" t="s">
        <v>100</v>
      </c>
      <c r="T7" s="86" t="s">
        <v>99</v>
      </c>
      <c r="U7" s="86" t="s">
        <v>98</v>
      </c>
      <c r="V7" s="86" t="s">
        <v>97</v>
      </c>
      <c r="W7" s="86" t="s">
        <v>96</v>
      </c>
      <c r="X7" s="86" t="s">
        <v>95</v>
      </c>
      <c r="Y7" s="86" t="s">
        <v>94</v>
      </c>
      <c r="Z7" s="86" t="s">
        <v>93</v>
      </c>
      <c r="AA7" s="86" t="s">
        <v>92</v>
      </c>
      <c r="AB7" s="86" t="s">
        <v>2695</v>
      </c>
      <c r="AC7" s="67" t="s">
        <v>5</v>
      </c>
      <c r="AE7" s="90">
        <v>2022</v>
      </c>
      <c r="AF7" s="91">
        <v>2023</v>
      </c>
      <c r="AG7" s="91">
        <v>2024</v>
      </c>
      <c r="AH7" s="91">
        <v>2025</v>
      </c>
      <c r="AI7" s="92">
        <v>2026</v>
      </c>
    </row>
    <row r="8" spans="1:35">
      <c r="R8" s="67"/>
      <c r="S8" s="67"/>
      <c r="T8" s="67"/>
      <c r="U8" s="67"/>
    </row>
    <row r="9" spans="1:35" s="1" customFormat="1" ht="17.649999999999999">
      <c r="A9" s="78" t="s">
        <v>2630</v>
      </c>
      <c r="B9" s="2"/>
    </row>
    <row r="11" spans="1:35" s="1" customFormat="1" ht="13.9">
      <c r="A11" s="66"/>
      <c r="B11" s="78" t="s">
        <v>2697</v>
      </c>
    </row>
    <row r="13" spans="1:35">
      <c r="D13" t="s">
        <v>79</v>
      </c>
      <c r="E13" t="s">
        <v>1869</v>
      </c>
      <c r="F13" s="435" t="s">
        <v>274</v>
      </c>
      <c r="G13" s="435" t="s">
        <v>87</v>
      </c>
      <c r="H13" t="s">
        <v>77</v>
      </c>
      <c r="I13" t="s">
        <v>1</v>
      </c>
      <c r="J13" t="s">
        <v>121</v>
      </c>
      <c r="O13" t="s">
        <v>77</v>
      </c>
      <c r="AB13" s="81"/>
      <c r="AC13" t="s">
        <v>2</v>
      </c>
      <c r="AD13" s="80"/>
      <c r="AE13" s="81"/>
      <c r="AF13" s="81"/>
      <c r="AG13" s="81"/>
      <c r="AH13" s="81"/>
      <c r="AI13" s="81"/>
    </row>
    <row r="14" spans="1:35">
      <c r="D14" t="s">
        <v>79</v>
      </c>
      <c r="E14" s="435" t="s">
        <v>1869</v>
      </c>
      <c r="F14" s="435" t="s">
        <v>274</v>
      </c>
      <c r="G14" s="435" t="s">
        <v>87</v>
      </c>
      <c r="H14" t="s">
        <v>77</v>
      </c>
      <c r="I14" t="s">
        <v>1</v>
      </c>
      <c r="J14" t="s">
        <v>121</v>
      </c>
      <c r="O14" t="s">
        <v>77</v>
      </c>
      <c r="AB14" s="81"/>
      <c r="AC14" t="s">
        <v>2</v>
      </c>
      <c r="AD14" s="80"/>
      <c r="AE14" s="81"/>
      <c r="AF14" s="81"/>
      <c r="AG14" s="81"/>
      <c r="AH14" s="81"/>
      <c r="AI14" s="81"/>
    </row>
    <row r="15" spans="1:35">
      <c r="D15" t="s">
        <v>79</v>
      </c>
      <c r="E15" s="435" t="s">
        <v>1869</v>
      </c>
      <c r="F15" s="435" t="s">
        <v>274</v>
      </c>
      <c r="G15" s="435" t="s">
        <v>87</v>
      </c>
      <c r="H15" t="s">
        <v>77</v>
      </c>
      <c r="I15" t="s">
        <v>1</v>
      </c>
      <c r="J15" t="s">
        <v>121</v>
      </c>
      <c r="O15" t="s">
        <v>77</v>
      </c>
      <c r="AB15" s="81"/>
      <c r="AC15" t="s">
        <v>2</v>
      </c>
      <c r="AD15" s="80"/>
      <c r="AE15" s="81"/>
      <c r="AF15" s="81"/>
      <c r="AG15" s="81"/>
      <c r="AH15" s="81"/>
      <c r="AI15" s="81"/>
    </row>
    <row r="16" spans="1:35">
      <c r="D16" t="s">
        <v>79</v>
      </c>
      <c r="E16" s="435" t="s">
        <v>1869</v>
      </c>
      <c r="F16" s="435" t="s">
        <v>274</v>
      </c>
      <c r="G16" s="435" t="s">
        <v>87</v>
      </c>
      <c r="H16" t="s">
        <v>77</v>
      </c>
      <c r="I16" t="s">
        <v>1</v>
      </c>
      <c r="J16" t="s">
        <v>121</v>
      </c>
      <c r="O16" t="s">
        <v>77</v>
      </c>
      <c r="AB16" s="81"/>
      <c r="AC16" t="s">
        <v>2</v>
      </c>
      <c r="AD16" s="80"/>
      <c r="AE16" s="81"/>
      <c r="AF16" s="81"/>
      <c r="AG16" s="81"/>
      <c r="AH16" s="81"/>
      <c r="AI16" s="81"/>
    </row>
    <row r="17" spans="4:35">
      <c r="D17" t="s">
        <v>79</v>
      </c>
      <c r="E17" s="435" t="s">
        <v>1869</v>
      </c>
      <c r="F17" s="435" t="s">
        <v>274</v>
      </c>
      <c r="G17" s="435" t="s">
        <v>87</v>
      </c>
      <c r="H17" t="s">
        <v>77</v>
      </c>
      <c r="I17" t="s">
        <v>1</v>
      </c>
      <c r="J17" t="s">
        <v>121</v>
      </c>
      <c r="O17" t="s">
        <v>77</v>
      </c>
      <c r="AB17" s="81"/>
      <c r="AC17" t="s">
        <v>2</v>
      </c>
      <c r="AD17" s="80"/>
      <c r="AE17" s="81"/>
      <c r="AF17" s="81"/>
      <c r="AG17" s="81"/>
      <c r="AH17" s="81"/>
      <c r="AI17" s="81"/>
    </row>
    <row r="18" spans="4:35">
      <c r="D18" t="s">
        <v>79</v>
      </c>
      <c r="E18" s="435" t="s">
        <v>1869</v>
      </c>
      <c r="F18" s="435" t="s">
        <v>274</v>
      </c>
      <c r="G18" s="435" t="s">
        <v>87</v>
      </c>
      <c r="H18" t="s">
        <v>77</v>
      </c>
      <c r="I18" t="s">
        <v>1</v>
      </c>
      <c r="J18" t="s">
        <v>121</v>
      </c>
      <c r="O18" t="s">
        <v>77</v>
      </c>
      <c r="AB18" s="81"/>
      <c r="AC18" t="s">
        <v>2</v>
      </c>
      <c r="AD18" s="80"/>
      <c r="AE18" s="81"/>
      <c r="AF18" s="81"/>
      <c r="AG18" s="81"/>
      <c r="AH18" s="81"/>
      <c r="AI18" s="81"/>
    </row>
    <row r="19" spans="4:35">
      <c r="D19" t="s">
        <v>79</v>
      </c>
      <c r="E19" s="435" t="s">
        <v>1869</v>
      </c>
      <c r="F19" s="435" t="s">
        <v>274</v>
      </c>
      <c r="G19" s="435" t="s">
        <v>87</v>
      </c>
      <c r="H19" t="s">
        <v>77</v>
      </c>
      <c r="I19" t="s">
        <v>1</v>
      </c>
      <c r="J19" t="s">
        <v>121</v>
      </c>
      <c r="O19" t="s">
        <v>77</v>
      </c>
      <c r="AB19" s="81"/>
      <c r="AC19" t="s">
        <v>2</v>
      </c>
      <c r="AD19" s="80"/>
      <c r="AE19" s="81"/>
      <c r="AF19" s="81"/>
      <c r="AG19" s="81"/>
      <c r="AH19" s="81"/>
      <c r="AI19" s="81"/>
    </row>
    <row r="20" spans="4:35">
      <c r="D20" t="s">
        <v>79</v>
      </c>
      <c r="E20" s="435" t="s">
        <v>1869</v>
      </c>
      <c r="F20" s="435" t="s">
        <v>274</v>
      </c>
      <c r="G20" s="435" t="s">
        <v>87</v>
      </c>
      <c r="H20" t="s">
        <v>77</v>
      </c>
      <c r="I20" t="s">
        <v>1</v>
      </c>
      <c r="J20" t="s">
        <v>121</v>
      </c>
      <c r="O20" t="s">
        <v>77</v>
      </c>
      <c r="AB20" s="81"/>
      <c r="AC20" t="s">
        <v>2</v>
      </c>
      <c r="AD20" s="80"/>
      <c r="AE20" s="81"/>
      <c r="AF20" s="81"/>
      <c r="AG20" s="81"/>
      <c r="AH20" s="81"/>
      <c r="AI20" s="81"/>
    </row>
    <row r="21" spans="4:35">
      <c r="D21" t="s">
        <v>79</v>
      </c>
      <c r="E21" s="435" t="s">
        <v>1869</v>
      </c>
      <c r="F21" s="435" t="s">
        <v>274</v>
      </c>
      <c r="G21" s="435" t="s">
        <v>87</v>
      </c>
      <c r="H21" t="s">
        <v>77</v>
      </c>
      <c r="I21" t="s">
        <v>1</v>
      </c>
      <c r="J21" t="s">
        <v>121</v>
      </c>
      <c r="O21" t="s">
        <v>77</v>
      </c>
      <c r="AB21" s="81"/>
      <c r="AC21" t="s">
        <v>2</v>
      </c>
      <c r="AD21" s="80"/>
      <c r="AE21" s="81"/>
      <c r="AF21" s="81"/>
      <c r="AG21" s="81"/>
      <c r="AH21" s="81"/>
      <c r="AI21" s="81"/>
    </row>
    <row r="22" spans="4:35">
      <c r="D22" t="s">
        <v>79</v>
      </c>
      <c r="E22" s="435" t="s">
        <v>1869</v>
      </c>
      <c r="F22" s="435" t="s">
        <v>274</v>
      </c>
      <c r="G22" s="435" t="s">
        <v>87</v>
      </c>
      <c r="H22" t="s">
        <v>77</v>
      </c>
      <c r="I22" t="s">
        <v>1</v>
      </c>
      <c r="J22" t="s">
        <v>121</v>
      </c>
      <c r="O22" t="s">
        <v>77</v>
      </c>
      <c r="AB22" s="81"/>
      <c r="AC22" t="s">
        <v>2</v>
      </c>
      <c r="AD22" s="80"/>
      <c r="AE22" s="81"/>
      <c r="AF22" s="81"/>
      <c r="AG22" s="81"/>
      <c r="AH22" s="81"/>
      <c r="AI22" s="81"/>
    </row>
    <row r="23" spans="4:35">
      <c r="D23" t="s">
        <v>79</v>
      </c>
      <c r="E23" s="435" t="s">
        <v>1869</v>
      </c>
      <c r="F23" s="435" t="s">
        <v>274</v>
      </c>
      <c r="G23" s="435" t="s">
        <v>87</v>
      </c>
      <c r="H23" t="s">
        <v>77</v>
      </c>
      <c r="I23" t="s">
        <v>1</v>
      </c>
      <c r="J23" t="s">
        <v>121</v>
      </c>
      <c r="O23" t="s">
        <v>77</v>
      </c>
      <c r="AB23" s="81"/>
      <c r="AC23" t="s">
        <v>2</v>
      </c>
      <c r="AD23" s="80"/>
      <c r="AE23" s="81"/>
      <c r="AF23" s="81"/>
      <c r="AG23" s="81"/>
      <c r="AH23" s="81"/>
      <c r="AI23" s="81"/>
    </row>
    <row r="24" spans="4:35">
      <c r="D24" t="s">
        <v>79</v>
      </c>
      <c r="E24" s="435" t="s">
        <v>1869</v>
      </c>
      <c r="F24" s="435" t="s">
        <v>274</v>
      </c>
      <c r="G24" s="435" t="s">
        <v>87</v>
      </c>
      <c r="H24" t="s">
        <v>77</v>
      </c>
      <c r="I24" t="s">
        <v>1</v>
      </c>
      <c r="J24" t="s">
        <v>121</v>
      </c>
      <c r="O24" t="s">
        <v>77</v>
      </c>
      <c r="AB24" s="81"/>
      <c r="AC24" t="s">
        <v>2</v>
      </c>
      <c r="AD24" s="80"/>
      <c r="AE24" s="81"/>
      <c r="AF24" s="81"/>
      <c r="AG24" s="81"/>
      <c r="AH24" s="81"/>
      <c r="AI24" s="81"/>
    </row>
    <row r="25" spans="4:35">
      <c r="D25" t="s">
        <v>79</v>
      </c>
      <c r="E25" s="435" t="s">
        <v>1869</v>
      </c>
      <c r="F25" s="435" t="s">
        <v>274</v>
      </c>
      <c r="G25" s="435" t="s">
        <v>87</v>
      </c>
      <c r="H25" t="s">
        <v>77</v>
      </c>
      <c r="I25" t="s">
        <v>1</v>
      </c>
      <c r="J25" t="s">
        <v>121</v>
      </c>
      <c r="O25" t="s">
        <v>77</v>
      </c>
      <c r="AB25" s="81"/>
      <c r="AC25" t="s">
        <v>2</v>
      </c>
      <c r="AD25" s="80"/>
      <c r="AE25" s="81"/>
      <c r="AF25" s="81"/>
      <c r="AG25" s="81"/>
      <c r="AH25" s="81"/>
      <c r="AI25" s="81"/>
    </row>
    <row r="26" spans="4:35">
      <c r="D26" t="s">
        <v>79</v>
      </c>
      <c r="E26" s="435" t="s">
        <v>1869</v>
      </c>
      <c r="F26" s="435" t="s">
        <v>274</v>
      </c>
      <c r="G26" s="435" t="s">
        <v>87</v>
      </c>
      <c r="H26" t="s">
        <v>77</v>
      </c>
      <c r="I26" t="s">
        <v>1</v>
      </c>
      <c r="J26" t="s">
        <v>121</v>
      </c>
      <c r="O26" t="s">
        <v>77</v>
      </c>
      <c r="AB26" s="81"/>
      <c r="AC26" t="s">
        <v>2</v>
      </c>
      <c r="AD26" s="80"/>
      <c r="AE26" s="81"/>
      <c r="AF26" s="81"/>
      <c r="AG26" s="81"/>
      <c r="AH26" s="81"/>
      <c r="AI26" s="81"/>
    </row>
    <row r="27" spans="4:35">
      <c r="D27" t="s">
        <v>79</v>
      </c>
      <c r="E27" s="435" t="s">
        <v>1869</v>
      </c>
      <c r="F27" s="435" t="s">
        <v>274</v>
      </c>
      <c r="G27" s="435" t="s">
        <v>87</v>
      </c>
      <c r="H27" t="s">
        <v>77</v>
      </c>
      <c r="I27" t="s">
        <v>1</v>
      </c>
      <c r="J27" t="s">
        <v>121</v>
      </c>
      <c r="O27" t="s">
        <v>77</v>
      </c>
      <c r="AB27" s="81"/>
      <c r="AC27" t="s">
        <v>2</v>
      </c>
      <c r="AD27" s="80"/>
      <c r="AE27" s="81"/>
      <c r="AF27" s="81"/>
      <c r="AG27" s="81"/>
      <c r="AH27" s="81"/>
      <c r="AI27" s="81"/>
    </row>
    <row r="28" spans="4:35">
      <c r="D28" t="s">
        <v>79</v>
      </c>
      <c r="E28" s="435" t="s">
        <v>1869</v>
      </c>
      <c r="F28" s="435" t="s">
        <v>274</v>
      </c>
      <c r="G28" s="435" t="s">
        <v>87</v>
      </c>
      <c r="H28" t="s">
        <v>77</v>
      </c>
      <c r="I28" t="s">
        <v>1</v>
      </c>
      <c r="J28" t="s">
        <v>121</v>
      </c>
      <c r="O28" t="s">
        <v>77</v>
      </c>
      <c r="AB28" s="81"/>
      <c r="AC28" t="s">
        <v>2</v>
      </c>
      <c r="AD28" s="80"/>
      <c r="AE28" s="81"/>
      <c r="AF28" s="81"/>
      <c r="AG28" s="81"/>
      <c r="AH28" s="81"/>
      <c r="AI28" s="81"/>
    </row>
    <row r="29" spans="4:35">
      <c r="D29" t="s">
        <v>79</v>
      </c>
      <c r="E29" s="435" t="s">
        <v>1869</v>
      </c>
      <c r="F29" s="435" t="s">
        <v>274</v>
      </c>
      <c r="G29" s="435" t="s">
        <v>87</v>
      </c>
      <c r="H29" t="s">
        <v>77</v>
      </c>
      <c r="I29" t="s">
        <v>1</v>
      </c>
      <c r="J29" t="s">
        <v>121</v>
      </c>
      <c r="O29" t="s">
        <v>77</v>
      </c>
      <c r="AB29" s="81"/>
      <c r="AC29" t="s">
        <v>2</v>
      </c>
      <c r="AD29" s="80"/>
      <c r="AE29" s="81"/>
      <c r="AF29" s="81"/>
      <c r="AG29" s="81"/>
      <c r="AH29" s="81"/>
      <c r="AI29" s="81"/>
    </row>
    <row r="30" spans="4:35">
      <c r="D30" t="s">
        <v>79</v>
      </c>
      <c r="E30" s="435" t="s">
        <v>1869</v>
      </c>
      <c r="F30" s="435" t="s">
        <v>274</v>
      </c>
      <c r="G30" s="435" t="s">
        <v>87</v>
      </c>
      <c r="H30" t="s">
        <v>77</v>
      </c>
      <c r="I30" t="s">
        <v>1</v>
      </c>
      <c r="J30" t="s">
        <v>121</v>
      </c>
      <c r="O30" t="s">
        <v>77</v>
      </c>
      <c r="AB30" s="81"/>
      <c r="AC30" t="s">
        <v>2</v>
      </c>
      <c r="AD30" s="80"/>
      <c r="AE30" s="81"/>
      <c r="AF30" s="81"/>
      <c r="AG30" s="81"/>
      <c r="AH30" s="81"/>
      <c r="AI30" s="81"/>
    </row>
    <row r="31" spans="4:35">
      <c r="D31" t="s">
        <v>79</v>
      </c>
      <c r="E31" s="435" t="s">
        <v>1869</v>
      </c>
      <c r="F31" s="435" t="s">
        <v>274</v>
      </c>
      <c r="G31" s="435" t="s">
        <v>87</v>
      </c>
      <c r="H31" t="s">
        <v>77</v>
      </c>
      <c r="I31" t="s">
        <v>1</v>
      </c>
      <c r="J31" t="s">
        <v>121</v>
      </c>
      <c r="O31" t="s">
        <v>77</v>
      </c>
      <c r="AB31" s="81"/>
      <c r="AC31" t="s">
        <v>2</v>
      </c>
      <c r="AD31" s="80"/>
      <c r="AE31" s="81"/>
      <c r="AF31" s="81"/>
      <c r="AG31" s="81"/>
      <c r="AH31" s="81"/>
      <c r="AI31" s="81"/>
    </row>
    <row r="32" spans="4:35" s="67" customFormat="1">
      <c r="D32" t="s">
        <v>79</v>
      </c>
      <c r="E32" s="435" t="s">
        <v>1869</v>
      </c>
      <c r="F32" s="435" t="s">
        <v>274</v>
      </c>
      <c r="G32" s="435" t="s">
        <v>87</v>
      </c>
      <c r="H32" t="s">
        <v>77</v>
      </c>
      <c r="I32" t="s">
        <v>1</v>
      </c>
      <c r="J32" t="s">
        <v>121</v>
      </c>
      <c r="K32"/>
      <c r="L32"/>
      <c r="M32"/>
      <c r="N32"/>
      <c r="O32" t="s">
        <v>77</v>
      </c>
      <c r="P32"/>
      <c r="Q32"/>
      <c r="R32"/>
      <c r="S32"/>
      <c r="T32"/>
      <c r="U32"/>
      <c r="V32"/>
      <c r="W32"/>
      <c r="X32"/>
      <c r="Y32"/>
      <c r="Z32"/>
      <c r="AA32"/>
      <c r="AB32" s="81"/>
      <c r="AC32" t="s">
        <v>2</v>
      </c>
      <c r="AD32" s="80"/>
      <c r="AE32" s="81"/>
      <c r="AF32" s="81"/>
      <c r="AG32" s="81"/>
      <c r="AH32" s="81"/>
      <c r="AI32" s="81"/>
    </row>
    <row r="34" spans="1:35" s="1" customFormat="1" ht="13.9">
      <c r="A34" s="66"/>
      <c r="B34" s="78" t="s">
        <v>2698</v>
      </c>
    </row>
    <row r="36" spans="1:35">
      <c r="D36" t="s">
        <v>79</v>
      </c>
      <c r="E36" s="435" t="s">
        <v>1869</v>
      </c>
      <c r="F36" s="435" t="s">
        <v>274</v>
      </c>
      <c r="G36" s="435" t="s">
        <v>87</v>
      </c>
      <c r="H36" t="s">
        <v>77</v>
      </c>
      <c r="I36" t="s">
        <v>1</v>
      </c>
      <c r="J36" t="s">
        <v>129</v>
      </c>
      <c r="O36" t="s">
        <v>77</v>
      </c>
      <c r="AB36" s="81"/>
      <c r="AC36" t="s">
        <v>2</v>
      </c>
      <c r="AD36" s="80"/>
      <c r="AE36" s="81"/>
      <c r="AF36" s="81"/>
      <c r="AG36" s="81"/>
      <c r="AH36" s="81"/>
      <c r="AI36" s="81"/>
    </row>
    <row r="37" spans="1:35">
      <c r="D37" t="s">
        <v>79</v>
      </c>
      <c r="E37" s="435" t="s">
        <v>1869</v>
      </c>
      <c r="F37" s="435" t="s">
        <v>274</v>
      </c>
      <c r="G37" s="435" t="s">
        <v>87</v>
      </c>
      <c r="H37" t="s">
        <v>77</v>
      </c>
      <c r="I37" t="s">
        <v>1</v>
      </c>
      <c r="J37" t="s">
        <v>129</v>
      </c>
      <c r="O37" t="s">
        <v>77</v>
      </c>
      <c r="AB37" s="81"/>
      <c r="AC37" t="s">
        <v>2</v>
      </c>
      <c r="AD37" s="80"/>
      <c r="AE37" s="81"/>
      <c r="AF37" s="81"/>
      <c r="AG37" s="81"/>
      <c r="AH37" s="81"/>
      <c r="AI37" s="81"/>
    </row>
    <row r="38" spans="1:35">
      <c r="D38" t="s">
        <v>79</v>
      </c>
      <c r="E38" s="435" t="s">
        <v>1869</v>
      </c>
      <c r="F38" s="435" t="s">
        <v>274</v>
      </c>
      <c r="G38" s="435" t="s">
        <v>87</v>
      </c>
      <c r="H38" t="s">
        <v>77</v>
      </c>
      <c r="I38" t="s">
        <v>1</v>
      </c>
      <c r="J38" t="s">
        <v>129</v>
      </c>
      <c r="O38" t="s">
        <v>77</v>
      </c>
      <c r="AB38" s="81"/>
      <c r="AC38" t="s">
        <v>2</v>
      </c>
      <c r="AD38" s="80"/>
      <c r="AE38" s="81"/>
      <c r="AF38" s="81"/>
      <c r="AG38" s="81"/>
      <c r="AH38" s="81"/>
      <c r="AI38" s="81"/>
    </row>
    <row r="39" spans="1:35">
      <c r="D39" t="s">
        <v>79</v>
      </c>
      <c r="E39" s="435" t="s">
        <v>1869</v>
      </c>
      <c r="F39" s="435" t="s">
        <v>274</v>
      </c>
      <c r="G39" s="435" t="s">
        <v>87</v>
      </c>
      <c r="H39" t="s">
        <v>77</v>
      </c>
      <c r="I39" t="s">
        <v>1</v>
      </c>
      <c r="J39" t="s">
        <v>129</v>
      </c>
      <c r="O39" t="s">
        <v>77</v>
      </c>
      <c r="AB39" s="81"/>
      <c r="AC39" t="s">
        <v>2</v>
      </c>
      <c r="AD39" s="80"/>
      <c r="AE39" s="81"/>
      <c r="AF39" s="81"/>
      <c r="AG39" s="81"/>
      <c r="AH39" s="81"/>
      <c r="AI39" s="81"/>
    </row>
    <row r="40" spans="1:35">
      <c r="D40" t="s">
        <v>79</v>
      </c>
      <c r="E40" s="435" t="s">
        <v>1869</v>
      </c>
      <c r="F40" s="435" t="s">
        <v>274</v>
      </c>
      <c r="G40" s="435" t="s">
        <v>87</v>
      </c>
      <c r="H40" t="s">
        <v>77</v>
      </c>
      <c r="I40" t="s">
        <v>1</v>
      </c>
      <c r="J40" t="s">
        <v>129</v>
      </c>
      <c r="O40" t="s">
        <v>77</v>
      </c>
      <c r="AB40" s="81"/>
      <c r="AC40" t="s">
        <v>2</v>
      </c>
      <c r="AD40" s="80"/>
      <c r="AE40" s="81"/>
      <c r="AF40" s="81"/>
      <c r="AG40" s="81"/>
      <c r="AH40" s="81"/>
      <c r="AI40" s="81"/>
    </row>
    <row r="41" spans="1:35">
      <c r="D41" t="s">
        <v>79</v>
      </c>
      <c r="E41" s="435" t="s">
        <v>1869</v>
      </c>
      <c r="F41" s="435" t="s">
        <v>274</v>
      </c>
      <c r="G41" s="435" t="s">
        <v>87</v>
      </c>
      <c r="H41" t="s">
        <v>77</v>
      </c>
      <c r="I41" t="s">
        <v>1</v>
      </c>
      <c r="J41" t="s">
        <v>129</v>
      </c>
      <c r="O41" t="s">
        <v>77</v>
      </c>
      <c r="AB41" s="81"/>
      <c r="AC41" t="s">
        <v>2</v>
      </c>
      <c r="AD41" s="80"/>
      <c r="AE41" s="81"/>
      <c r="AF41" s="81"/>
      <c r="AG41" s="81"/>
      <c r="AH41" s="81"/>
      <c r="AI41" s="81"/>
    </row>
    <row r="42" spans="1:35">
      <c r="D42" t="s">
        <v>79</v>
      </c>
      <c r="E42" s="435" t="s">
        <v>1869</v>
      </c>
      <c r="F42" s="435" t="s">
        <v>274</v>
      </c>
      <c r="G42" s="435" t="s">
        <v>87</v>
      </c>
      <c r="H42" t="s">
        <v>77</v>
      </c>
      <c r="I42" t="s">
        <v>1</v>
      </c>
      <c r="J42" t="s">
        <v>129</v>
      </c>
      <c r="O42" t="s">
        <v>77</v>
      </c>
      <c r="AB42" s="81"/>
      <c r="AC42" t="s">
        <v>2</v>
      </c>
      <c r="AD42" s="80"/>
      <c r="AE42" s="81"/>
      <c r="AF42" s="81"/>
      <c r="AG42" s="81"/>
      <c r="AH42" s="81"/>
      <c r="AI42" s="81"/>
    </row>
    <row r="43" spans="1:35">
      <c r="D43" t="s">
        <v>79</v>
      </c>
      <c r="E43" s="435" t="s">
        <v>1869</v>
      </c>
      <c r="F43" s="435" t="s">
        <v>274</v>
      </c>
      <c r="G43" s="435" t="s">
        <v>87</v>
      </c>
      <c r="H43" t="s">
        <v>77</v>
      </c>
      <c r="I43" t="s">
        <v>1</v>
      </c>
      <c r="J43" t="s">
        <v>129</v>
      </c>
      <c r="O43" t="s">
        <v>77</v>
      </c>
      <c r="AB43" s="81"/>
      <c r="AC43" t="s">
        <v>2</v>
      </c>
      <c r="AD43" s="80"/>
      <c r="AE43" s="81"/>
      <c r="AF43" s="81"/>
      <c r="AG43" s="81"/>
      <c r="AH43" s="81"/>
      <c r="AI43" s="81"/>
    </row>
    <row r="44" spans="1:35">
      <c r="D44" t="s">
        <v>79</v>
      </c>
      <c r="E44" s="435" t="s">
        <v>1869</v>
      </c>
      <c r="F44" s="435" t="s">
        <v>274</v>
      </c>
      <c r="G44" s="435" t="s">
        <v>87</v>
      </c>
      <c r="H44" t="s">
        <v>77</v>
      </c>
      <c r="I44" t="s">
        <v>1</v>
      </c>
      <c r="J44" t="s">
        <v>129</v>
      </c>
      <c r="O44" t="s">
        <v>77</v>
      </c>
      <c r="AB44" s="81"/>
      <c r="AC44" t="s">
        <v>2</v>
      </c>
      <c r="AD44" s="80"/>
      <c r="AE44" s="81"/>
      <c r="AF44" s="81"/>
      <c r="AG44" s="81"/>
      <c r="AH44" s="81"/>
      <c r="AI44" s="81"/>
    </row>
    <row r="45" spans="1:35">
      <c r="D45" t="s">
        <v>79</v>
      </c>
      <c r="E45" s="435" t="s">
        <v>1869</v>
      </c>
      <c r="F45" s="435" t="s">
        <v>274</v>
      </c>
      <c r="G45" s="435" t="s">
        <v>87</v>
      </c>
      <c r="H45" t="s">
        <v>77</v>
      </c>
      <c r="I45" t="s">
        <v>1</v>
      </c>
      <c r="J45" t="s">
        <v>129</v>
      </c>
      <c r="O45" t="s">
        <v>77</v>
      </c>
      <c r="AB45" s="81"/>
      <c r="AC45" t="s">
        <v>2</v>
      </c>
      <c r="AD45" s="80"/>
      <c r="AE45" s="81"/>
      <c r="AF45" s="81"/>
      <c r="AG45" s="81"/>
      <c r="AH45" s="81"/>
      <c r="AI45" s="81"/>
    </row>
    <row r="46" spans="1:35">
      <c r="D46" t="s">
        <v>79</v>
      </c>
      <c r="E46" s="435" t="s">
        <v>1869</v>
      </c>
      <c r="F46" s="435" t="s">
        <v>274</v>
      </c>
      <c r="G46" s="435" t="s">
        <v>87</v>
      </c>
      <c r="H46" t="s">
        <v>77</v>
      </c>
      <c r="I46" t="s">
        <v>1</v>
      </c>
      <c r="J46" t="s">
        <v>129</v>
      </c>
      <c r="O46" t="s">
        <v>77</v>
      </c>
      <c r="AB46" s="81"/>
      <c r="AC46" t="s">
        <v>2</v>
      </c>
      <c r="AD46" s="80"/>
      <c r="AE46" s="81"/>
      <c r="AF46" s="81"/>
      <c r="AG46" s="81"/>
      <c r="AH46" s="81"/>
      <c r="AI46" s="81"/>
    </row>
    <row r="47" spans="1:35">
      <c r="D47" t="s">
        <v>79</v>
      </c>
      <c r="E47" s="435" t="s">
        <v>1869</v>
      </c>
      <c r="F47" s="435" t="s">
        <v>274</v>
      </c>
      <c r="G47" s="435" t="s">
        <v>87</v>
      </c>
      <c r="H47" t="s">
        <v>77</v>
      </c>
      <c r="I47" t="s">
        <v>1</v>
      </c>
      <c r="J47" t="s">
        <v>129</v>
      </c>
      <c r="O47" t="s">
        <v>77</v>
      </c>
      <c r="AB47" s="81"/>
      <c r="AC47" t="s">
        <v>2</v>
      </c>
      <c r="AD47" s="80"/>
      <c r="AE47" s="81"/>
      <c r="AF47" s="81"/>
      <c r="AG47" s="81"/>
      <c r="AH47" s="81"/>
      <c r="AI47" s="81"/>
    </row>
    <row r="48" spans="1:35">
      <c r="D48" t="s">
        <v>79</v>
      </c>
      <c r="E48" s="435" t="s">
        <v>1869</v>
      </c>
      <c r="F48" s="435" t="s">
        <v>274</v>
      </c>
      <c r="G48" s="435" t="s">
        <v>87</v>
      </c>
      <c r="H48" t="s">
        <v>77</v>
      </c>
      <c r="I48" t="s">
        <v>1</v>
      </c>
      <c r="J48" t="s">
        <v>129</v>
      </c>
      <c r="O48" t="s">
        <v>77</v>
      </c>
      <c r="AB48" s="81"/>
      <c r="AC48" t="s">
        <v>2</v>
      </c>
      <c r="AD48" s="80"/>
      <c r="AE48" s="81"/>
      <c r="AF48" s="81"/>
      <c r="AG48" s="81"/>
      <c r="AH48" s="81"/>
      <c r="AI48" s="81"/>
    </row>
    <row r="49" spans="1:35">
      <c r="D49" t="s">
        <v>79</v>
      </c>
      <c r="E49" s="435" t="s">
        <v>1869</v>
      </c>
      <c r="F49" s="435" t="s">
        <v>274</v>
      </c>
      <c r="G49" s="435" t="s">
        <v>87</v>
      </c>
      <c r="H49" t="s">
        <v>77</v>
      </c>
      <c r="I49" t="s">
        <v>1</v>
      </c>
      <c r="J49" t="s">
        <v>129</v>
      </c>
      <c r="O49" t="s">
        <v>77</v>
      </c>
      <c r="AB49" s="81"/>
      <c r="AC49" t="s">
        <v>2</v>
      </c>
      <c r="AD49" s="80"/>
      <c r="AE49" s="81"/>
      <c r="AF49" s="81"/>
      <c r="AG49" s="81"/>
      <c r="AH49" s="81"/>
      <c r="AI49" s="81"/>
    </row>
    <row r="50" spans="1:35">
      <c r="D50" t="s">
        <v>79</v>
      </c>
      <c r="E50" s="435" t="s">
        <v>1869</v>
      </c>
      <c r="F50" s="435" t="s">
        <v>274</v>
      </c>
      <c r="G50" s="435" t="s">
        <v>87</v>
      </c>
      <c r="H50" t="s">
        <v>77</v>
      </c>
      <c r="I50" t="s">
        <v>1</v>
      </c>
      <c r="J50" t="s">
        <v>129</v>
      </c>
      <c r="O50" t="s">
        <v>77</v>
      </c>
      <c r="AB50" s="81"/>
      <c r="AC50" t="s">
        <v>2</v>
      </c>
      <c r="AD50" s="80"/>
      <c r="AE50" s="81"/>
      <c r="AF50" s="81"/>
      <c r="AG50" s="81"/>
      <c r="AH50" s="81"/>
      <c r="AI50" s="81"/>
    </row>
    <row r="51" spans="1:35">
      <c r="D51" t="s">
        <v>79</v>
      </c>
      <c r="E51" s="435" t="s">
        <v>1869</v>
      </c>
      <c r="F51" s="435" t="s">
        <v>274</v>
      </c>
      <c r="G51" s="435" t="s">
        <v>87</v>
      </c>
      <c r="H51" t="s">
        <v>77</v>
      </c>
      <c r="I51" t="s">
        <v>1</v>
      </c>
      <c r="J51" t="s">
        <v>129</v>
      </c>
      <c r="O51" t="s">
        <v>77</v>
      </c>
      <c r="AB51" s="81"/>
      <c r="AC51" t="s">
        <v>2</v>
      </c>
      <c r="AD51" s="80"/>
      <c r="AE51" s="81"/>
      <c r="AF51" s="81"/>
      <c r="AG51" s="81"/>
      <c r="AH51" s="81"/>
      <c r="AI51" s="81"/>
    </row>
    <row r="52" spans="1:35">
      <c r="D52" t="s">
        <v>79</v>
      </c>
      <c r="E52" s="435" t="s">
        <v>1869</v>
      </c>
      <c r="F52" s="435" t="s">
        <v>274</v>
      </c>
      <c r="G52" s="435" t="s">
        <v>87</v>
      </c>
      <c r="H52" t="s">
        <v>77</v>
      </c>
      <c r="I52" t="s">
        <v>1</v>
      </c>
      <c r="J52" t="s">
        <v>129</v>
      </c>
      <c r="O52" t="s">
        <v>77</v>
      </c>
      <c r="AB52" s="81"/>
      <c r="AC52" t="s">
        <v>2</v>
      </c>
      <c r="AD52" s="80"/>
      <c r="AE52" s="81"/>
      <c r="AF52" s="81"/>
      <c r="AG52" s="81"/>
      <c r="AH52" s="81"/>
      <c r="AI52" s="81"/>
    </row>
    <row r="53" spans="1:35">
      <c r="D53" t="s">
        <v>79</v>
      </c>
      <c r="E53" s="435" t="s">
        <v>1869</v>
      </c>
      <c r="F53" s="435" t="s">
        <v>274</v>
      </c>
      <c r="G53" s="435" t="s">
        <v>87</v>
      </c>
      <c r="H53" t="s">
        <v>77</v>
      </c>
      <c r="I53" t="s">
        <v>1</v>
      </c>
      <c r="J53" t="s">
        <v>129</v>
      </c>
      <c r="O53" t="s">
        <v>77</v>
      </c>
      <c r="AB53" s="81"/>
      <c r="AC53" t="s">
        <v>2</v>
      </c>
      <c r="AD53" s="80"/>
      <c r="AE53" s="81"/>
      <c r="AF53" s="81"/>
      <c r="AG53" s="81"/>
      <c r="AH53" s="81"/>
      <c r="AI53" s="81"/>
    </row>
    <row r="54" spans="1:35">
      <c r="D54" t="s">
        <v>79</v>
      </c>
      <c r="E54" s="435" t="s">
        <v>1869</v>
      </c>
      <c r="F54" s="435" t="s">
        <v>274</v>
      </c>
      <c r="G54" s="435" t="s">
        <v>87</v>
      </c>
      <c r="H54" t="s">
        <v>77</v>
      </c>
      <c r="I54" t="s">
        <v>1</v>
      </c>
      <c r="J54" t="s">
        <v>129</v>
      </c>
      <c r="O54" t="s">
        <v>77</v>
      </c>
      <c r="AB54" s="81"/>
      <c r="AC54" t="s">
        <v>2</v>
      </c>
      <c r="AD54" s="80"/>
      <c r="AE54" s="81"/>
      <c r="AF54" s="81"/>
      <c r="AG54" s="81"/>
      <c r="AH54" s="81"/>
      <c r="AI54" s="81"/>
    </row>
    <row r="55" spans="1:35">
      <c r="D55" t="s">
        <v>79</v>
      </c>
      <c r="E55" s="435" t="s">
        <v>1869</v>
      </c>
      <c r="F55" s="435" t="s">
        <v>274</v>
      </c>
      <c r="G55" s="435" t="s">
        <v>87</v>
      </c>
      <c r="H55" t="s">
        <v>77</v>
      </c>
      <c r="I55" t="s">
        <v>1</v>
      </c>
      <c r="J55" t="s">
        <v>129</v>
      </c>
      <c r="O55" t="s">
        <v>77</v>
      </c>
      <c r="AB55" s="81"/>
      <c r="AC55" t="s">
        <v>2</v>
      </c>
      <c r="AD55" s="80"/>
      <c r="AE55" s="81"/>
      <c r="AF55" s="81"/>
      <c r="AG55" s="81"/>
      <c r="AH55" s="81"/>
      <c r="AI55" s="81"/>
    </row>
    <row r="57" spans="1:35" s="1" customFormat="1" ht="13.9">
      <c r="A57" s="66"/>
      <c r="B57" s="78" t="s">
        <v>2699</v>
      </c>
    </row>
    <row r="59" spans="1:35">
      <c r="D59" t="s">
        <v>79</v>
      </c>
      <c r="E59" s="435" t="s">
        <v>1869</v>
      </c>
      <c r="F59" s="435" t="s">
        <v>274</v>
      </c>
      <c r="G59" s="435" t="s">
        <v>87</v>
      </c>
      <c r="H59" t="s">
        <v>116</v>
      </c>
      <c r="I59" t="s">
        <v>1</v>
      </c>
      <c r="J59" t="s">
        <v>11</v>
      </c>
      <c r="O59" t="s">
        <v>116</v>
      </c>
      <c r="AB59" s="81"/>
      <c r="AC59" t="s">
        <v>2</v>
      </c>
      <c r="AD59" s="80"/>
      <c r="AE59" s="81"/>
      <c r="AF59" s="81"/>
      <c r="AG59" s="81"/>
      <c r="AH59" s="81"/>
      <c r="AI59" s="81"/>
    </row>
    <row r="60" spans="1:35">
      <c r="D60" t="s">
        <v>79</v>
      </c>
      <c r="E60" s="435" t="s">
        <v>1869</v>
      </c>
      <c r="F60" s="435" t="s">
        <v>274</v>
      </c>
      <c r="G60" s="435" t="s">
        <v>87</v>
      </c>
      <c r="H60" t="s">
        <v>116</v>
      </c>
      <c r="I60" t="s">
        <v>1</v>
      </c>
      <c r="J60" t="s">
        <v>11</v>
      </c>
      <c r="O60" t="s">
        <v>116</v>
      </c>
      <c r="AB60" s="81"/>
      <c r="AC60" t="s">
        <v>2</v>
      </c>
      <c r="AD60" s="80"/>
      <c r="AE60" s="81"/>
      <c r="AF60" s="81"/>
      <c r="AG60" s="81"/>
      <c r="AH60" s="81"/>
      <c r="AI60" s="81"/>
    </row>
    <row r="61" spans="1:35">
      <c r="D61" t="s">
        <v>79</v>
      </c>
      <c r="E61" s="435" t="s">
        <v>1869</v>
      </c>
      <c r="F61" s="435" t="s">
        <v>274</v>
      </c>
      <c r="G61" s="435" t="s">
        <v>87</v>
      </c>
      <c r="H61" t="s">
        <v>116</v>
      </c>
      <c r="I61" t="s">
        <v>1</v>
      </c>
      <c r="J61" t="s">
        <v>11</v>
      </c>
      <c r="O61" t="s">
        <v>116</v>
      </c>
      <c r="AB61" s="81"/>
      <c r="AC61" t="s">
        <v>2</v>
      </c>
      <c r="AD61" s="80"/>
      <c r="AE61" s="81"/>
      <c r="AF61" s="81"/>
      <c r="AG61" s="81"/>
      <c r="AH61" s="81"/>
      <c r="AI61" s="81"/>
    </row>
    <row r="62" spans="1:35">
      <c r="D62" t="s">
        <v>79</v>
      </c>
      <c r="E62" s="435" t="s">
        <v>1869</v>
      </c>
      <c r="F62" s="435" t="s">
        <v>274</v>
      </c>
      <c r="G62" s="435" t="s">
        <v>87</v>
      </c>
      <c r="H62" t="s">
        <v>116</v>
      </c>
      <c r="I62" t="s">
        <v>1</v>
      </c>
      <c r="J62" t="s">
        <v>11</v>
      </c>
      <c r="O62" t="s">
        <v>116</v>
      </c>
      <c r="AB62" s="81"/>
      <c r="AC62" t="s">
        <v>2</v>
      </c>
      <c r="AD62" s="80"/>
      <c r="AE62" s="81"/>
      <c r="AF62" s="81"/>
      <c r="AG62" s="81"/>
      <c r="AH62" s="81"/>
      <c r="AI62" s="81"/>
    </row>
    <row r="63" spans="1:35">
      <c r="D63" t="s">
        <v>79</v>
      </c>
      <c r="E63" s="435" t="s">
        <v>1869</v>
      </c>
      <c r="F63" s="435" t="s">
        <v>274</v>
      </c>
      <c r="G63" s="435" t="s">
        <v>87</v>
      </c>
      <c r="H63" t="s">
        <v>116</v>
      </c>
      <c r="I63" t="s">
        <v>1</v>
      </c>
      <c r="J63" t="s">
        <v>11</v>
      </c>
      <c r="O63" t="s">
        <v>116</v>
      </c>
      <c r="AB63" s="81"/>
      <c r="AC63" t="s">
        <v>2</v>
      </c>
      <c r="AD63" s="80"/>
      <c r="AE63" s="81"/>
      <c r="AF63" s="81"/>
      <c r="AG63" s="81"/>
      <c r="AH63" s="81"/>
      <c r="AI63" s="81"/>
    </row>
    <row r="64" spans="1:35">
      <c r="D64" t="s">
        <v>79</v>
      </c>
      <c r="E64" s="435" t="s">
        <v>1869</v>
      </c>
      <c r="F64" s="435" t="s">
        <v>274</v>
      </c>
      <c r="G64" s="435" t="s">
        <v>87</v>
      </c>
      <c r="H64" t="s">
        <v>116</v>
      </c>
      <c r="I64" t="s">
        <v>1</v>
      </c>
      <c r="J64" t="s">
        <v>11</v>
      </c>
      <c r="O64" t="s">
        <v>116</v>
      </c>
      <c r="AB64" s="81"/>
      <c r="AC64" t="s">
        <v>2</v>
      </c>
      <c r="AD64" s="80"/>
      <c r="AE64" s="81"/>
      <c r="AF64" s="81"/>
      <c r="AG64" s="81"/>
      <c r="AH64" s="81"/>
      <c r="AI64" s="81"/>
    </row>
    <row r="65" spans="1:35">
      <c r="D65" t="s">
        <v>79</v>
      </c>
      <c r="E65" s="435" t="s">
        <v>1869</v>
      </c>
      <c r="F65" s="435" t="s">
        <v>274</v>
      </c>
      <c r="G65" s="435" t="s">
        <v>87</v>
      </c>
      <c r="H65" t="s">
        <v>116</v>
      </c>
      <c r="I65" t="s">
        <v>1</v>
      </c>
      <c r="J65" t="s">
        <v>11</v>
      </c>
      <c r="O65" t="s">
        <v>116</v>
      </c>
      <c r="AB65" s="81"/>
      <c r="AC65" t="s">
        <v>2</v>
      </c>
      <c r="AD65" s="80"/>
      <c r="AE65" s="81"/>
      <c r="AF65" s="81"/>
      <c r="AG65" s="81"/>
      <c r="AH65" s="81"/>
      <c r="AI65" s="81"/>
    </row>
    <row r="66" spans="1:35">
      <c r="D66" t="s">
        <v>79</v>
      </c>
      <c r="E66" s="435" t="s">
        <v>1869</v>
      </c>
      <c r="F66" s="435" t="s">
        <v>274</v>
      </c>
      <c r="G66" s="435" t="s">
        <v>87</v>
      </c>
      <c r="H66" t="s">
        <v>116</v>
      </c>
      <c r="I66" t="s">
        <v>1</v>
      </c>
      <c r="J66" t="s">
        <v>11</v>
      </c>
      <c r="O66" t="s">
        <v>116</v>
      </c>
      <c r="AB66" s="81"/>
      <c r="AC66" t="s">
        <v>2</v>
      </c>
      <c r="AD66" s="80"/>
      <c r="AE66" s="81"/>
      <c r="AF66" s="81"/>
      <c r="AG66" s="81"/>
      <c r="AH66" s="81"/>
      <c r="AI66" s="81"/>
    </row>
    <row r="67" spans="1:35">
      <c r="D67" t="s">
        <v>79</v>
      </c>
      <c r="E67" s="435" t="s">
        <v>1869</v>
      </c>
      <c r="F67" s="435" t="s">
        <v>274</v>
      </c>
      <c r="G67" s="435" t="s">
        <v>87</v>
      </c>
      <c r="H67" t="s">
        <v>116</v>
      </c>
      <c r="I67" t="s">
        <v>1</v>
      </c>
      <c r="J67" t="s">
        <v>11</v>
      </c>
      <c r="O67" t="s">
        <v>116</v>
      </c>
      <c r="AB67" s="81"/>
      <c r="AC67" t="s">
        <v>2</v>
      </c>
      <c r="AD67" s="80"/>
      <c r="AE67" s="81"/>
      <c r="AF67" s="81"/>
      <c r="AG67" s="81"/>
      <c r="AH67" s="81"/>
      <c r="AI67" s="81"/>
    </row>
    <row r="68" spans="1:35">
      <c r="D68" t="s">
        <v>79</v>
      </c>
      <c r="E68" s="435" t="s">
        <v>1869</v>
      </c>
      <c r="F68" s="435" t="s">
        <v>274</v>
      </c>
      <c r="G68" s="435" t="s">
        <v>87</v>
      </c>
      <c r="H68" t="s">
        <v>116</v>
      </c>
      <c r="I68" t="s">
        <v>1</v>
      </c>
      <c r="J68" t="s">
        <v>11</v>
      </c>
      <c r="O68" t="s">
        <v>116</v>
      </c>
      <c r="AB68" s="81"/>
      <c r="AC68" t="s">
        <v>2</v>
      </c>
      <c r="AD68" s="80"/>
      <c r="AE68" s="81"/>
      <c r="AF68" s="81"/>
      <c r="AG68" s="81"/>
      <c r="AH68" s="81"/>
      <c r="AI68" s="81"/>
    </row>
    <row r="69" spans="1:35">
      <c r="D69" t="s">
        <v>79</v>
      </c>
      <c r="E69" s="435" t="s">
        <v>1869</v>
      </c>
      <c r="F69" s="435" t="s">
        <v>274</v>
      </c>
      <c r="G69" s="435" t="s">
        <v>87</v>
      </c>
      <c r="H69" t="s">
        <v>116</v>
      </c>
      <c r="I69" t="s">
        <v>1</v>
      </c>
      <c r="J69" t="s">
        <v>11</v>
      </c>
      <c r="O69" t="s">
        <v>116</v>
      </c>
      <c r="AB69" s="81"/>
      <c r="AC69" t="s">
        <v>2</v>
      </c>
      <c r="AD69" s="80"/>
      <c r="AE69" s="81"/>
      <c r="AF69" s="81"/>
      <c r="AG69" s="81"/>
      <c r="AH69" s="81"/>
      <c r="AI69" s="81"/>
    </row>
    <row r="70" spans="1:35">
      <c r="D70" t="s">
        <v>79</v>
      </c>
      <c r="E70" s="435" t="s">
        <v>1869</v>
      </c>
      <c r="F70" s="435" t="s">
        <v>274</v>
      </c>
      <c r="G70" s="435" t="s">
        <v>87</v>
      </c>
      <c r="H70" t="s">
        <v>116</v>
      </c>
      <c r="I70" t="s">
        <v>1</v>
      </c>
      <c r="J70" t="s">
        <v>11</v>
      </c>
      <c r="O70" t="s">
        <v>116</v>
      </c>
      <c r="AB70" s="81"/>
      <c r="AC70" t="s">
        <v>2</v>
      </c>
      <c r="AD70" s="80"/>
      <c r="AE70" s="81"/>
      <c r="AF70" s="81"/>
      <c r="AG70" s="81"/>
      <c r="AH70" s="81"/>
      <c r="AI70" s="81"/>
    </row>
    <row r="71" spans="1:35">
      <c r="D71" t="s">
        <v>79</v>
      </c>
      <c r="E71" s="435" t="s">
        <v>1869</v>
      </c>
      <c r="F71" s="435" t="s">
        <v>274</v>
      </c>
      <c r="G71" s="435" t="s">
        <v>87</v>
      </c>
      <c r="H71" t="s">
        <v>116</v>
      </c>
      <c r="I71" t="s">
        <v>1</v>
      </c>
      <c r="J71" t="s">
        <v>11</v>
      </c>
      <c r="O71" t="s">
        <v>116</v>
      </c>
      <c r="AB71" s="81"/>
      <c r="AC71" t="s">
        <v>2</v>
      </c>
      <c r="AD71" s="80"/>
      <c r="AE71" s="81"/>
      <c r="AF71" s="81"/>
      <c r="AG71" s="81"/>
      <c r="AH71" s="81"/>
      <c r="AI71" s="81"/>
    </row>
    <row r="72" spans="1:35">
      <c r="D72" t="s">
        <v>79</v>
      </c>
      <c r="E72" s="435" t="s">
        <v>1869</v>
      </c>
      <c r="F72" s="435" t="s">
        <v>274</v>
      </c>
      <c r="G72" s="435" t="s">
        <v>87</v>
      </c>
      <c r="H72" t="s">
        <v>116</v>
      </c>
      <c r="I72" t="s">
        <v>1</v>
      </c>
      <c r="J72" t="s">
        <v>11</v>
      </c>
      <c r="O72" t="s">
        <v>116</v>
      </c>
      <c r="AB72" s="81"/>
      <c r="AC72" t="s">
        <v>2</v>
      </c>
      <c r="AD72" s="80"/>
      <c r="AE72" s="81"/>
      <c r="AF72" s="81"/>
      <c r="AG72" s="81"/>
      <c r="AH72" s="81"/>
      <c r="AI72" s="81"/>
    </row>
    <row r="73" spans="1:35">
      <c r="D73" t="s">
        <v>79</v>
      </c>
      <c r="E73" s="435" t="s">
        <v>1869</v>
      </c>
      <c r="F73" s="435" t="s">
        <v>274</v>
      </c>
      <c r="G73" s="435" t="s">
        <v>87</v>
      </c>
      <c r="H73" t="s">
        <v>116</v>
      </c>
      <c r="I73" t="s">
        <v>1</v>
      </c>
      <c r="J73" t="s">
        <v>11</v>
      </c>
      <c r="O73" t="s">
        <v>116</v>
      </c>
      <c r="AB73" s="81"/>
      <c r="AC73" t="s">
        <v>2</v>
      </c>
      <c r="AD73" s="80"/>
      <c r="AE73" s="81"/>
      <c r="AF73" s="81"/>
      <c r="AG73" s="81"/>
      <c r="AH73" s="81"/>
      <c r="AI73" s="81"/>
    </row>
    <row r="74" spans="1:35">
      <c r="D74" t="s">
        <v>79</v>
      </c>
      <c r="E74" s="435" t="s">
        <v>1869</v>
      </c>
      <c r="F74" s="435" t="s">
        <v>274</v>
      </c>
      <c r="G74" s="435" t="s">
        <v>87</v>
      </c>
      <c r="H74" t="s">
        <v>116</v>
      </c>
      <c r="I74" t="s">
        <v>1</v>
      </c>
      <c r="J74" t="s">
        <v>11</v>
      </c>
      <c r="O74" t="s">
        <v>116</v>
      </c>
      <c r="AB74" s="81"/>
      <c r="AC74" t="s">
        <v>2</v>
      </c>
      <c r="AD74" s="80"/>
      <c r="AE74" s="81"/>
      <c r="AF74" s="81"/>
      <c r="AG74" s="81"/>
      <c r="AH74" s="81"/>
      <c r="AI74" s="81"/>
    </row>
    <row r="75" spans="1:35">
      <c r="D75" t="s">
        <v>79</v>
      </c>
      <c r="E75" s="435" t="s">
        <v>1869</v>
      </c>
      <c r="F75" s="435" t="s">
        <v>274</v>
      </c>
      <c r="G75" s="435" t="s">
        <v>87</v>
      </c>
      <c r="H75" t="s">
        <v>116</v>
      </c>
      <c r="I75" t="s">
        <v>1</v>
      </c>
      <c r="J75" t="s">
        <v>11</v>
      </c>
      <c r="O75" t="s">
        <v>116</v>
      </c>
      <c r="AB75" s="81"/>
      <c r="AC75" t="s">
        <v>2</v>
      </c>
      <c r="AD75" s="80"/>
      <c r="AE75" s="81"/>
      <c r="AF75" s="81"/>
      <c r="AG75" s="81"/>
      <c r="AH75" s="81"/>
      <c r="AI75" s="81"/>
    </row>
    <row r="76" spans="1:35">
      <c r="D76" t="s">
        <v>79</v>
      </c>
      <c r="E76" s="435" t="s">
        <v>1869</v>
      </c>
      <c r="F76" s="435" t="s">
        <v>274</v>
      </c>
      <c r="G76" s="435" t="s">
        <v>87</v>
      </c>
      <c r="H76" t="s">
        <v>116</v>
      </c>
      <c r="I76" t="s">
        <v>1</v>
      </c>
      <c r="J76" t="s">
        <v>11</v>
      </c>
      <c r="O76" t="s">
        <v>116</v>
      </c>
      <c r="AB76" s="81"/>
      <c r="AC76" t="s">
        <v>2</v>
      </c>
      <c r="AD76" s="80"/>
      <c r="AE76" s="81"/>
      <c r="AF76" s="81"/>
      <c r="AG76" s="81"/>
      <c r="AH76" s="81"/>
      <c r="AI76" s="81"/>
    </row>
    <row r="77" spans="1:35">
      <c r="D77" t="s">
        <v>79</v>
      </c>
      <c r="E77" s="435" t="s">
        <v>1869</v>
      </c>
      <c r="F77" s="435" t="s">
        <v>274</v>
      </c>
      <c r="G77" s="435" t="s">
        <v>87</v>
      </c>
      <c r="H77" t="s">
        <v>116</v>
      </c>
      <c r="I77" t="s">
        <v>1</v>
      </c>
      <c r="J77" t="s">
        <v>11</v>
      </c>
      <c r="O77" t="s">
        <v>116</v>
      </c>
      <c r="AB77" s="81"/>
      <c r="AC77" t="s">
        <v>2</v>
      </c>
      <c r="AD77" s="80"/>
      <c r="AE77" s="81"/>
      <c r="AF77" s="81"/>
      <c r="AG77" s="81"/>
      <c r="AH77" s="81"/>
      <c r="AI77" s="81"/>
    </row>
    <row r="78" spans="1:35">
      <c r="D78" t="s">
        <v>79</v>
      </c>
      <c r="E78" s="435" t="s">
        <v>1869</v>
      </c>
      <c r="F78" s="435" t="s">
        <v>274</v>
      </c>
      <c r="G78" s="435" t="s">
        <v>87</v>
      </c>
      <c r="H78" t="s">
        <v>116</v>
      </c>
      <c r="I78" t="s">
        <v>1</v>
      </c>
      <c r="J78" t="s">
        <v>11</v>
      </c>
      <c r="O78" t="s">
        <v>116</v>
      </c>
      <c r="AB78" s="81"/>
      <c r="AC78" t="s">
        <v>2</v>
      </c>
      <c r="AD78" s="80"/>
      <c r="AE78" s="81"/>
      <c r="AF78" s="81"/>
      <c r="AG78" s="81"/>
      <c r="AH78" s="81"/>
      <c r="AI78" s="81"/>
    </row>
    <row r="80" spans="1:35" s="1" customFormat="1" ht="17.649999999999999">
      <c r="A80" s="78" t="s">
        <v>1753</v>
      </c>
      <c r="B80" s="2"/>
    </row>
    <row r="82" spans="1:35" s="1" customFormat="1" ht="13.9">
      <c r="A82" s="66"/>
      <c r="B82" s="78" t="s">
        <v>2697</v>
      </c>
    </row>
    <row r="84" spans="1:35">
      <c r="D84" t="s">
        <v>185</v>
      </c>
      <c r="E84" s="435" t="s">
        <v>1869</v>
      </c>
      <c r="F84" s="435" t="s">
        <v>274</v>
      </c>
      <c r="G84" s="435" t="s">
        <v>87</v>
      </c>
      <c r="H84" t="s">
        <v>77</v>
      </c>
      <c r="I84" t="s">
        <v>1</v>
      </c>
      <c r="J84" t="s">
        <v>121</v>
      </c>
      <c r="O84" t="s">
        <v>77</v>
      </c>
      <c r="AB84" s="81"/>
      <c r="AC84" t="s">
        <v>2</v>
      </c>
      <c r="AD84" s="80"/>
      <c r="AE84" s="81"/>
      <c r="AF84" s="81"/>
      <c r="AG84" s="81"/>
      <c r="AH84" s="81"/>
      <c r="AI84" s="81"/>
    </row>
    <row r="85" spans="1:35">
      <c r="D85" t="s">
        <v>185</v>
      </c>
      <c r="E85" s="435" t="s">
        <v>1869</v>
      </c>
      <c r="F85" s="435" t="s">
        <v>274</v>
      </c>
      <c r="G85" s="435" t="s">
        <v>87</v>
      </c>
      <c r="H85" t="s">
        <v>77</v>
      </c>
      <c r="I85" t="s">
        <v>1</v>
      </c>
      <c r="J85" t="s">
        <v>121</v>
      </c>
      <c r="O85" t="s">
        <v>77</v>
      </c>
      <c r="AB85" s="81"/>
      <c r="AC85" t="s">
        <v>2</v>
      </c>
      <c r="AD85" s="80"/>
      <c r="AE85" s="81"/>
      <c r="AF85" s="81"/>
      <c r="AG85" s="81"/>
      <c r="AH85" s="81"/>
      <c r="AI85" s="81"/>
    </row>
    <row r="86" spans="1:35">
      <c r="D86" t="s">
        <v>185</v>
      </c>
      <c r="E86" s="435" t="s">
        <v>1869</v>
      </c>
      <c r="F86" s="435" t="s">
        <v>274</v>
      </c>
      <c r="G86" s="435" t="s">
        <v>87</v>
      </c>
      <c r="H86" t="s">
        <v>77</v>
      </c>
      <c r="I86" t="s">
        <v>1</v>
      </c>
      <c r="J86" t="s">
        <v>121</v>
      </c>
      <c r="O86" t="s">
        <v>77</v>
      </c>
      <c r="AB86" s="81"/>
      <c r="AC86" t="s">
        <v>2</v>
      </c>
      <c r="AD86" s="80"/>
      <c r="AE86" s="81"/>
      <c r="AF86" s="81"/>
      <c r="AG86" s="81"/>
      <c r="AH86" s="81"/>
      <c r="AI86" s="81"/>
    </row>
    <row r="87" spans="1:35">
      <c r="D87" t="s">
        <v>185</v>
      </c>
      <c r="E87" s="435" t="s">
        <v>1869</v>
      </c>
      <c r="F87" s="435" t="s">
        <v>274</v>
      </c>
      <c r="G87" s="435" t="s">
        <v>87</v>
      </c>
      <c r="H87" t="s">
        <v>77</v>
      </c>
      <c r="I87" t="s">
        <v>1</v>
      </c>
      <c r="J87" t="s">
        <v>121</v>
      </c>
      <c r="O87" t="s">
        <v>77</v>
      </c>
      <c r="AB87" s="81"/>
      <c r="AC87" t="s">
        <v>2</v>
      </c>
      <c r="AD87" s="80"/>
      <c r="AE87" s="81"/>
      <c r="AF87" s="81"/>
      <c r="AG87" s="81"/>
      <c r="AH87" s="81"/>
      <c r="AI87" s="81"/>
    </row>
    <row r="88" spans="1:35">
      <c r="D88" t="s">
        <v>185</v>
      </c>
      <c r="E88" s="435" t="s">
        <v>1869</v>
      </c>
      <c r="F88" s="435" t="s">
        <v>274</v>
      </c>
      <c r="G88" s="435" t="s">
        <v>87</v>
      </c>
      <c r="H88" t="s">
        <v>77</v>
      </c>
      <c r="I88" t="s">
        <v>1</v>
      </c>
      <c r="J88" t="s">
        <v>121</v>
      </c>
      <c r="O88" t="s">
        <v>77</v>
      </c>
      <c r="AB88" s="81"/>
      <c r="AC88" t="s">
        <v>2</v>
      </c>
      <c r="AD88" s="80"/>
      <c r="AE88" s="81"/>
      <c r="AF88" s="81"/>
      <c r="AG88" s="81"/>
      <c r="AH88" s="81"/>
      <c r="AI88" s="81"/>
    </row>
    <row r="89" spans="1:35">
      <c r="D89" t="s">
        <v>185</v>
      </c>
      <c r="E89" s="435" t="s">
        <v>1869</v>
      </c>
      <c r="F89" s="435" t="s">
        <v>274</v>
      </c>
      <c r="G89" s="435" t="s">
        <v>87</v>
      </c>
      <c r="H89" t="s">
        <v>77</v>
      </c>
      <c r="I89" t="s">
        <v>1</v>
      </c>
      <c r="J89" t="s">
        <v>121</v>
      </c>
      <c r="O89" t="s">
        <v>77</v>
      </c>
      <c r="AB89" s="81"/>
      <c r="AC89" t="s">
        <v>2</v>
      </c>
      <c r="AD89" s="80"/>
      <c r="AE89" s="81"/>
      <c r="AF89" s="81"/>
      <c r="AG89" s="81"/>
      <c r="AH89" s="81"/>
      <c r="AI89" s="81"/>
    </row>
    <row r="90" spans="1:35">
      <c r="D90" t="s">
        <v>185</v>
      </c>
      <c r="E90" s="435" t="s">
        <v>1869</v>
      </c>
      <c r="F90" s="435" t="s">
        <v>274</v>
      </c>
      <c r="G90" s="435" t="s">
        <v>87</v>
      </c>
      <c r="H90" t="s">
        <v>77</v>
      </c>
      <c r="I90" t="s">
        <v>1</v>
      </c>
      <c r="J90" t="s">
        <v>121</v>
      </c>
      <c r="O90" t="s">
        <v>77</v>
      </c>
      <c r="AB90" s="81"/>
      <c r="AC90" t="s">
        <v>2</v>
      </c>
      <c r="AD90" s="80"/>
      <c r="AE90" s="81"/>
      <c r="AF90" s="81"/>
      <c r="AG90" s="81"/>
      <c r="AH90" s="81"/>
      <c r="AI90" s="81"/>
    </row>
    <row r="91" spans="1:35">
      <c r="D91" t="s">
        <v>185</v>
      </c>
      <c r="E91" s="435" t="s">
        <v>1869</v>
      </c>
      <c r="F91" s="435" t="s">
        <v>274</v>
      </c>
      <c r="G91" s="435" t="s">
        <v>87</v>
      </c>
      <c r="H91" t="s">
        <v>77</v>
      </c>
      <c r="I91" t="s">
        <v>1</v>
      </c>
      <c r="J91" t="s">
        <v>121</v>
      </c>
      <c r="O91" t="s">
        <v>77</v>
      </c>
      <c r="AB91" s="81"/>
      <c r="AC91" t="s">
        <v>2</v>
      </c>
      <c r="AD91" s="80"/>
      <c r="AE91" s="81"/>
      <c r="AF91" s="81"/>
      <c r="AG91" s="81"/>
      <c r="AH91" s="81"/>
      <c r="AI91" s="81"/>
    </row>
    <row r="92" spans="1:35">
      <c r="D92" t="s">
        <v>185</v>
      </c>
      <c r="E92" s="435" t="s">
        <v>1869</v>
      </c>
      <c r="F92" s="435" t="s">
        <v>274</v>
      </c>
      <c r="G92" s="435" t="s">
        <v>87</v>
      </c>
      <c r="H92" t="s">
        <v>77</v>
      </c>
      <c r="I92" t="s">
        <v>1</v>
      </c>
      <c r="J92" t="s">
        <v>121</v>
      </c>
      <c r="O92" t="s">
        <v>77</v>
      </c>
      <c r="AB92" s="81"/>
      <c r="AC92" t="s">
        <v>2</v>
      </c>
      <c r="AD92" s="80"/>
      <c r="AE92" s="81"/>
      <c r="AF92" s="81"/>
      <c r="AG92" s="81"/>
      <c r="AH92" s="81"/>
      <c r="AI92" s="81"/>
    </row>
    <row r="93" spans="1:35">
      <c r="D93" t="s">
        <v>185</v>
      </c>
      <c r="E93" s="435" t="s">
        <v>1869</v>
      </c>
      <c r="F93" s="435" t="s">
        <v>274</v>
      </c>
      <c r="G93" s="435" t="s">
        <v>87</v>
      </c>
      <c r="H93" t="s">
        <v>77</v>
      </c>
      <c r="I93" t="s">
        <v>1</v>
      </c>
      <c r="J93" t="s">
        <v>121</v>
      </c>
      <c r="O93" t="s">
        <v>77</v>
      </c>
      <c r="AB93" s="81"/>
      <c r="AC93" t="s">
        <v>2</v>
      </c>
      <c r="AD93" s="80"/>
      <c r="AE93" s="81"/>
      <c r="AF93" s="81"/>
      <c r="AG93" s="81"/>
      <c r="AH93" s="81"/>
      <c r="AI93" s="81"/>
    </row>
    <row r="94" spans="1:35">
      <c r="D94" t="s">
        <v>185</v>
      </c>
      <c r="E94" s="435" t="s">
        <v>1869</v>
      </c>
      <c r="F94" s="435" t="s">
        <v>274</v>
      </c>
      <c r="G94" s="435" t="s">
        <v>87</v>
      </c>
      <c r="H94" t="s">
        <v>77</v>
      </c>
      <c r="I94" t="s">
        <v>1</v>
      </c>
      <c r="J94" t="s">
        <v>121</v>
      </c>
      <c r="O94" t="s">
        <v>77</v>
      </c>
      <c r="AB94" s="81"/>
      <c r="AC94" t="s">
        <v>2</v>
      </c>
      <c r="AD94" s="80"/>
      <c r="AE94" s="81"/>
      <c r="AF94" s="81"/>
      <c r="AG94" s="81"/>
      <c r="AH94" s="81"/>
      <c r="AI94" s="81"/>
    </row>
    <row r="95" spans="1:35">
      <c r="D95" t="s">
        <v>185</v>
      </c>
      <c r="E95" s="435" t="s">
        <v>1869</v>
      </c>
      <c r="F95" s="435" t="s">
        <v>274</v>
      </c>
      <c r="G95" s="435" t="s">
        <v>87</v>
      </c>
      <c r="H95" t="s">
        <v>77</v>
      </c>
      <c r="I95" t="s">
        <v>1</v>
      </c>
      <c r="J95" t="s">
        <v>121</v>
      </c>
      <c r="O95" t="s">
        <v>77</v>
      </c>
      <c r="AB95" s="81"/>
      <c r="AC95" t="s">
        <v>2</v>
      </c>
      <c r="AD95" s="80"/>
      <c r="AE95" s="81"/>
      <c r="AF95" s="81"/>
      <c r="AG95" s="81"/>
      <c r="AH95" s="81"/>
      <c r="AI95" s="81"/>
    </row>
    <row r="96" spans="1:35">
      <c r="D96" t="s">
        <v>185</v>
      </c>
      <c r="E96" s="435" t="s">
        <v>1869</v>
      </c>
      <c r="F96" s="435" t="s">
        <v>274</v>
      </c>
      <c r="G96" s="435" t="s">
        <v>87</v>
      </c>
      <c r="H96" t="s">
        <v>77</v>
      </c>
      <c r="I96" t="s">
        <v>1</v>
      </c>
      <c r="J96" t="s">
        <v>121</v>
      </c>
      <c r="O96" t="s">
        <v>77</v>
      </c>
      <c r="AB96" s="81"/>
      <c r="AC96" t="s">
        <v>2</v>
      </c>
      <c r="AD96" s="80"/>
      <c r="AE96" s="81"/>
      <c r="AF96" s="81"/>
      <c r="AG96" s="81"/>
      <c r="AH96" s="81"/>
      <c r="AI96" s="81"/>
    </row>
    <row r="97" spans="1:35">
      <c r="D97" t="s">
        <v>185</v>
      </c>
      <c r="E97" s="435" t="s">
        <v>1869</v>
      </c>
      <c r="F97" s="435" t="s">
        <v>274</v>
      </c>
      <c r="G97" s="435" t="s">
        <v>87</v>
      </c>
      <c r="H97" t="s">
        <v>77</v>
      </c>
      <c r="I97" t="s">
        <v>1</v>
      </c>
      <c r="J97" t="s">
        <v>121</v>
      </c>
      <c r="O97" t="s">
        <v>77</v>
      </c>
      <c r="AB97" s="81"/>
      <c r="AC97" t="s">
        <v>2</v>
      </c>
      <c r="AD97" s="80"/>
      <c r="AE97" s="81"/>
      <c r="AF97" s="81"/>
      <c r="AG97" s="81"/>
      <c r="AH97" s="81"/>
      <c r="AI97" s="81"/>
    </row>
    <row r="98" spans="1:35">
      <c r="D98" t="s">
        <v>185</v>
      </c>
      <c r="E98" s="435" t="s">
        <v>1869</v>
      </c>
      <c r="F98" s="435" t="s">
        <v>274</v>
      </c>
      <c r="G98" s="435" t="s">
        <v>87</v>
      </c>
      <c r="H98" t="s">
        <v>77</v>
      </c>
      <c r="I98" t="s">
        <v>1</v>
      </c>
      <c r="J98" t="s">
        <v>121</v>
      </c>
      <c r="O98" t="s">
        <v>77</v>
      </c>
      <c r="AB98" s="81"/>
      <c r="AC98" t="s">
        <v>2</v>
      </c>
      <c r="AD98" s="80"/>
      <c r="AE98" s="81"/>
      <c r="AF98" s="81"/>
      <c r="AG98" s="81"/>
      <c r="AH98" s="81"/>
      <c r="AI98" s="81"/>
    </row>
    <row r="99" spans="1:35">
      <c r="D99" t="s">
        <v>185</v>
      </c>
      <c r="E99" s="435" t="s">
        <v>1869</v>
      </c>
      <c r="F99" s="435" t="s">
        <v>274</v>
      </c>
      <c r="G99" s="435" t="s">
        <v>87</v>
      </c>
      <c r="H99" t="s">
        <v>77</v>
      </c>
      <c r="I99" t="s">
        <v>1</v>
      </c>
      <c r="J99" t="s">
        <v>121</v>
      </c>
      <c r="O99" t="s">
        <v>77</v>
      </c>
      <c r="AB99" s="81"/>
      <c r="AC99" t="s">
        <v>2</v>
      </c>
      <c r="AD99" s="80"/>
      <c r="AE99" s="81"/>
      <c r="AF99" s="81"/>
      <c r="AG99" s="81"/>
      <c r="AH99" s="81"/>
      <c r="AI99" s="81"/>
    </row>
    <row r="100" spans="1:35">
      <c r="D100" t="s">
        <v>185</v>
      </c>
      <c r="E100" s="435" t="s">
        <v>1869</v>
      </c>
      <c r="F100" s="435" t="s">
        <v>274</v>
      </c>
      <c r="G100" s="435" t="s">
        <v>87</v>
      </c>
      <c r="H100" t="s">
        <v>77</v>
      </c>
      <c r="I100" t="s">
        <v>1</v>
      </c>
      <c r="J100" t="s">
        <v>121</v>
      </c>
      <c r="O100" t="s">
        <v>77</v>
      </c>
      <c r="AB100" s="81"/>
      <c r="AC100" t="s">
        <v>2</v>
      </c>
      <c r="AD100" s="80"/>
      <c r="AE100" s="81"/>
      <c r="AF100" s="81"/>
      <c r="AG100" s="81"/>
      <c r="AH100" s="81"/>
      <c r="AI100" s="81"/>
    </row>
    <row r="101" spans="1:35">
      <c r="D101" t="s">
        <v>185</v>
      </c>
      <c r="E101" s="435" t="s">
        <v>1869</v>
      </c>
      <c r="F101" s="435" t="s">
        <v>274</v>
      </c>
      <c r="G101" s="435" t="s">
        <v>87</v>
      </c>
      <c r="H101" t="s">
        <v>77</v>
      </c>
      <c r="I101" t="s">
        <v>1</v>
      </c>
      <c r="J101" t="s">
        <v>121</v>
      </c>
      <c r="O101" t="s">
        <v>77</v>
      </c>
      <c r="AB101" s="81"/>
      <c r="AC101" t="s">
        <v>2</v>
      </c>
      <c r="AD101" s="80"/>
      <c r="AE101" s="81"/>
      <c r="AF101" s="81"/>
      <c r="AG101" s="81"/>
      <c r="AH101" s="81"/>
      <c r="AI101" s="81"/>
    </row>
    <row r="102" spans="1:35">
      <c r="D102" t="s">
        <v>185</v>
      </c>
      <c r="E102" s="435" t="s">
        <v>1869</v>
      </c>
      <c r="F102" s="435" t="s">
        <v>274</v>
      </c>
      <c r="G102" s="435" t="s">
        <v>87</v>
      </c>
      <c r="H102" t="s">
        <v>77</v>
      </c>
      <c r="I102" t="s">
        <v>1</v>
      </c>
      <c r="J102" t="s">
        <v>121</v>
      </c>
      <c r="O102" t="s">
        <v>77</v>
      </c>
      <c r="AB102" s="81"/>
      <c r="AC102" t="s">
        <v>2</v>
      </c>
      <c r="AD102" s="80"/>
      <c r="AE102" s="81"/>
      <c r="AF102" s="81"/>
      <c r="AG102" s="81"/>
      <c r="AH102" s="81"/>
      <c r="AI102" s="81"/>
    </row>
    <row r="103" spans="1:35" s="67" customFormat="1">
      <c r="D103" t="s">
        <v>185</v>
      </c>
      <c r="E103" s="435" t="s">
        <v>1869</v>
      </c>
      <c r="F103" s="435" t="s">
        <v>274</v>
      </c>
      <c r="G103" s="435" t="s">
        <v>87</v>
      </c>
      <c r="H103" t="s">
        <v>77</v>
      </c>
      <c r="I103" t="s">
        <v>1</v>
      </c>
      <c r="J103" t="s">
        <v>121</v>
      </c>
      <c r="K103"/>
      <c r="L103"/>
      <c r="M103"/>
      <c r="N103"/>
      <c r="O103" t="s">
        <v>77</v>
      </c>
      <c r="P103"/>
      <c r="Q103"/>
      <c r="R103"/>
      <c r="S103"/>
      <c r="T103"/>
      <c r="U103"/>
      <c r="V103"/>
      <c r="W103"/>
      <c r="X103"/>
      <c r="Y103"/>
      <c r="Z103"/>
      <c r="AA103"/>
      <c r="AB103" s="81"/>
      <c r="AC103" t="s">
        <v>2</v>
      </c>
      <c r="AD103" s="80"/>
      <c r="AE103" s="81"/>
      <c r="AF103" s="81"/>
      <c r="AG103" s="81"/>
      <c r="AH103" s="81"/>
      <c r="AI103" s="81"/>
    </row>
    <row r="105" spans="1:35" s="1" customFormat="1" ht="13.9">
      <c r="A105" s="66"/>
      <c r="B105" s="78" t="s">
        <v>2698</v>
      </c>
    </row>
    <row r="107" spans="1:35">
      <c r="D107" t="s">
        <v>185</v>
      </c>
      <c r="E107" s="435" t="s">
        <v>1869</v>
      </c>
      <c r="F107" s="435" t="s">
        <v>274</v>
      </c>
      <c r="G107" s="435" t="s">
        <v>87</v>
      </c>
      <c r="H107" t="s">
        <v>77</v>
      </c>
      <c r="I107" t="s">
        <v>1</v>
      </c>
      <c r="J107" t="s">
        <v>129</v>
      </c>
      <c r="O107" t="s">
        <v>77</v>
      </c>
      <c r="AB107" s="81"/>
      <c r="AC107" t="s">
        <v>2</v>
      </c>
      <c r="AD107" s="80"/>
      <c r="AE107" s="81"/>
      <c r="AF107" s="81"/>
      <c r="AG107" s="81"/>
      <c r="AH107" s="81"/>
      <c r="AI107" s="81"/>
    </row>
    <row r="108" spans="1:35">
      <c r="D108" t="s">
        <v>185</v>
      </c>
      <c r="E108" s="435" t="s">
        <v>1869</v>
      </c>
      <c r="F108" s="435" t="s">
        <v>274</v>
      </c>
      <c r="G108" s="435" t="s">
        <v>87</v>
      </c>
      <c r="H108" t="s">
        <v>77</v>
      </c>
      <c r="I108" t="s">
        <v>1</v>
      </c>
      <c r="J108" t="s">
        <v>129</v>
      </c>
      <c r="O108" t="s">
        <v>77</v>
      </c>
      <c r="AB108" s="81"/>
      <c r="AC108" t="s">
        <v>2</v>
      </c>
      <c r="AD108" s="80"/>
      <c r="AE108" s="81"/>
      <c r="AF108" s="81"/>
      <c r="AG108" s="81"/>
      <c r="AH108" s="81"/>
      <c r="AI108" s="81"/>
    </row>
    <row r="109" spans="1:35">
      <c r="D109" t="s">
        <v>185</v>
      </c>
      <c r="E109" s="435" t="s">
        <v>1869</v>
      </c>
      <c r="F109" s="435" t="s">
        <v>274</v>
      </c>
      <c r="G109" s="435" t="s">
        <v>87</v>
      </c>
      <c r="H109" t="s">
        <v>77</v>
      </c>
      <c r="I109" t="s">
        <v>1</v>
      </c>
      <c r="J109" t="s">
        <v>129</v>
      </c>
      <c r="O109" t="s">
        <v>77</v>
      </c>
      <c r="AB109" s="81"/>
      <c r="AC109" t="s">
        <v>2</v>
      </c>
      <c r="AD109" s="80"/>
      <c r="AE109" s="81"/>
      <c r="AF109" s="81"/>
      <c r="AG109" s="81"/>
      <c r="AH109" s="81"/>
      <c r="AI109" s="81"/>
    </row>
    <row r="110" spans="1:35">
      <c r="D110" t="s">
        <v>185</v>
      </c>
      <c r="E110" s="435" t="s">
        <v>1869</v>
      </c>
      <c r="F110" s="435" t="s">
        <v>274</v>
      </c>
      <c r="G110" s="435" t="s">
        <v>87</v>
      </c>
      <c r="H110" t="s">
        <v>77</v>
      </c>
      <c r="I110" t="s">
        <v>1</v>
      </c>
      <c r="J110" t="s">
        <v>129</v>
      </c>
      <c r="O110" t="s">
        <v>77</v>
      </c>
      <c r="AB110" s="81"/>
      <c r="AC110" t="s">
        <v>2</v>
      </c>
      <c r="AD110" s="80"/>
      <c r="AE110" s="81"/>
      <c r="AF110" s="81"/>
      <c r="AG110" s="81"/>
      <c r="AH110" s="81"/>
      <c r="AI110" s="81"/>
    </row>
    <row r="111" spans="1:35">
      <c r="D111" t="s">
        <v>185</v>
      </c>
      <c r="E111" s="435" t="s">
        <v>1869</v>
      </c>
      <c r="F111" s="435" t="s">
        <v>274</v>
      </c>
      <c r="G111" s="435" t="s">
        <v>87</v>
      </c>
      <c r="H111" t="s">
        <v>77</v>
      </c>
      <c r="I111" t="s">
        <v>1</v>
      </c>
      <c r="J111" t="s">
        <v>129</v>
      </c>
      <c r="O111" t="s">
        <v>77</v>
      </c>
      <c r="AB111" s="81"/>
      <c r="AC111" t="s">
        <v>2</v>
      </c>
      <c r="AD111" s="80"/>
      <c r="AE111" s="81"/>
      <c r="AF111" s="81"/>
      <c r="AG111" s="81"/>
      <c r="AH111" s="81"/>
      <c r="AI111" s="81"/>
    </row>
    <row r="112" spans="1:35">
      <c r="D112" t="s">
        <v>185</v>
      </c>
      <c r="E112" s="435" t="s">
        <v>1869</v>
      </c>
      <c r="F112" s="435" t="s">
        <v>274</v>
      </c>
      <c r="G112" s="435" t="s">
        <v>87</v>
      </c>
      <c r="H112" t="s">
        <v>77</v>
      </c>
      <c r="I112" t="s">
        <v>1</v>
      </c>
      <c r="J112" t="s">
        <v>129</v>
      </c>
      <c r="O112" t="s">
        <v>77</v>
      </c>
      <c r="AB112" s="81"/>
      <c r="AC112" t="s">
        <v>2</v>
      </c>
      <c r="AD112" s="80"/>
      <c r="AE112" s="81"/>
      <c r="AF112" s="81"/>
      <c r="AG112" s="81"/>
      <c r="AH112" s="81"/>
      <c r="AI112" s="81"/>
    </row>
    <row r="113" spans="1:35">
      <c r="D113" t="s">
        <v>185</v>
      </c>
      <c r="E113" s="435" t="s">
        <v>1869</v>
      </c>
      <c r="F113" s="435" t="s">
        <v>274</v>
      </c>
      <c r="G113" s="435" t="s">
        <v>87</v>
      </c>
      <c r="H113" t="s">
        <v>77</v>
      </c>
      <c r="I113" t="s">
        <v>1</v>
      </c>
      <c r="J113" t="s">
        <v>129</v>
      </c>
      <c r="O113" t="s">
        <v>77</v>
      </c>
      <c r="AB113" s="81"/>
      <c r="AC113" t="s">
        <v>2</v>
      </c>
      <c r="AD113" s="80"/>
      <c r="AE113" s="81"/>
      <c r="AF113" s="81"/>
      <c r="AG113" s="81"/>
      <c r="AH113" s="81"/>
      <c r="AI113" s="81"/>
    </row>
    <row r="114" spans="1:35">
      <c r="D114" t="s">
        <v>185</v>
      </c>
      <c r="E114" s="435" t="s">
        <v>1869</v>
      </c>
      <c r="F114" s="435" t="s">
        <v>274</v>
      </c>
      <c r="G114" s="435" t="s">
        <v>87</v>
      </c>
      <c r="H114" t="s">
        <v>77</v>
      </c>
      <c r="I114" t="s">
        <v>1</v>
      </c>
      <c r="J114" t="s">
        <v>129</v>
      </c>
      <c r="O114" t="s">
        <v>77</v>
      </c>
      <c r="AB114" s="81"/>
      <c r="AC114" t="s">
        <v>2</v>
      </c>
      <c r="AD114" s="80"/>
      <c r="AE114" s="81"/>
      <c r="AF114" s="81"/>
      <c r="AG114" s="81"/>
      <c r="AH114" s="81"/>
      <c r="AI114" s="81"/>
    </row>
    <row r="115" spans="1:35">
      <c r="D115" t="s">
        <v>185</v>
      </c>
      <c r="E115" s="435" t="s">
        <v>1869</v>
      </c>
      <c r="F115" s="435" t="s">
        <v>274</v>
      </c>
      <c r="G115" s="435" t="s">
        <v>87</v>
      </c>
      <c r="H115" t="s">
        <v>77</v>
      </c>
      <c r="I115" t="s">
        <v>1</v>
      </c>
      <c r="J115" t="s">
        <v>129</v>
      </c>
      <c r="O115" t="s">
        <v>77</v>
      </c>
      <c r="AB115" s="81"/>
      <c r="AC115" t="s">
        <v>2</v>
      </c>
      <c r="AD115" s="80"/>
      <c r="AE115" s="81"/>
      <c r="AF115" s="81"/>
      <c r="AG115" s="81"/>
      <c r="AH115" s="81"/>
      <c r="AI115" s="81"/>
    </row>
    <row r="116" spans="1:35">
      <c r="D116" t="s">
        <v>185</v>
      </c>
      <c r="E116" s="435" t="s">
        <v>1869</v>
      </c>
      <c r="F116" s="435" t="s">
        <v>274</v>
      </c>
      <c r="G116" s="435" t="s">
        <v>87</v>
      </c>
      <c r="H116" t="s">
        <v>77</v>
      </c>
      <c r="I116" t="s">
        <v>1</v>
      </c>
      <c r="J116" t="s">
        <v>129</v>
      </c>
      <c r="O116" t="s">
        <v>77</v>
      </c>
      <c r="AB116" s="81"/>
      <c r="AC116" t="s">
        <v>2</v>
      </c>
      <c r="AD116" s="80"/>
      <c r="AE116" s="81"/>
      <c r="AF116" s="81"/>
      <c r="AG116" s="81"/>
      <c r="AH116" s="81"/>
      <c r="AI116" s="81"/>
    </row>
    <row r="117" spans="1:35">
      <c r="D117" t="s">
        <v>185</v>
      </c>
      <c r="E117" s="435" t="s">
        <v>1869</v>
      </c>
      <c r="F117" s="435" t="s">
        <v>274</v>
      </c>
      <c r="G117" s="435" t="s">
        <v>87</v>
      </c>
      <c r="H117" t="s">
        <v>77</v>
      </c>
      <c r="I117" t="s">
        <v>1</v>
      </c>
      <c r="J117" t="s">
        <v>129</v>
      </c>
      <c r="O117" t="s">
        <v>77</v>
      </c>
      <c r="AB117" s="81"/>
      <c r="AC117" t="s">
        <v>2</v>
      </c>
      <c r="AD117" s="80"/>
      <c r="AE117" s="81"/>
      <c r="AF117" s="81"/>
      <c r="AG117" s="81"/>
      <c r="AH117" s="81"/>
      <c r="AI117" s="81"/>
    </row>
    <row r="118" spans="1:35">
      <c r="D118" t="s">
        <v>185</v>
      </c>
      <c r="E118" s="435" t="s">
        <v>1869</v>
      </c>
      <c r="F118" s="435" t="s">
        <v>274</v>
      </c>
      <c r="G118" s="435" t="s">
        <v>87</v>
      </c>
      <c r="H118" t="s">
        <v>77</v>
      </c>
      <c r="I118" t="s">
        <v>1</v>
      </c>
      <c r="J118" t="s">
        <v>129</v>
      </c>
      <c r="O118" t="s">
        <v>77</v>
      </c>
      <c r="AB118" s="81"/>
      <c r="AC118" t="s">
        <v>2</v>
      </c>
      <c r="AD118" s="80"/>
      <c r="AE118" s="81"/>
      <c r="AF118" s="81"/>
      <c r="AG118" s="81"/>
      <c r="AH118" s="81"/>
      <c r="AI118" s="81"/>
    </row>
    <row r="119" spans="1:35">
      <c r="D119" t="s">
        <v>185</v>
      </c>
      <c r="E119" s="435" t="s">
        <v>1869</v>
      </c>
      <c r="F119" s="435" t="s">
        <v>274</v>
      </c>
      <c r="G119" s="435" t="s">
        <v>87</v>
      </c>
      <c r="H119" t="s">
        <v>77</v>
      </c>
      <c r="I119" t="s">
        <v>1</v>
      </c>
      <c r="J119" t="s">
        <v>129</v>
      </c>
      <c r="O119" t="s">
        <v>77</v>
      </c>
      <c r="AB119" s="81"/>
      <c r="AC119" t="s">
        <v>2</v>
      </c>
      <c r="AD119" s="80"/>
      <c r="AE119" s="81"/>
      <c r="AF119" s="81"/>
      <c r="AG119" s="81"/>
      <c r="AH119" s="81"/>
      <c r="AI119" s="81"/>
    </row>
    <row r="120" spans="1:35">
      <c r="D120" t="s">
        <v>185</v>
      </c>
      <c r="E120" s="435" t="s">
        <v>1869</v>
      </c>
      <c r="F120" s="435" t="s">
        <v>274</v>
      </c>
      <c r="G120" s="435" t="s">
        <v>87</v>
      </c>
      <c r="H120" t="s">
        <v>77</v>
      </c>
      <c r="I120" t="s">
        <v>1</v>
      </c>
      <c r="J120" t="s">
        <v>129</v>
      </c>
      <c r="O120" t="s">
        <v>77</v>
      </c>
      <c r="AB120" s="81"/>
      <c r="AC120" t="s">
        <v>2</v>
      </c>
      <c r="AD120" s="80"/>
      <c r="AE120" s="81"/>
      <c r="AF120" s="81"/>
      <c r="AG120" s="81"/>
      <c r="AH120" s="81"/>
      <c r="AI120" s="81"/>
    </row>
    <row r="121" spans="1:35">
      <c r="D121" t="s">
        <v>185</v>
      </c>
      <c r="E121" s="435" t="s">
        <v>1869</v>
      </c>
      <c r="F121" s="435" t="s">
        <v>274</v>
      </c>
      <c r="G121" s="435" t="s">
        <v>87</v>
      </c>
      <c r="H121" t="s">
        <v>77</v>
      </c>
      <c r="I121" t="s">
        <v>1</v>
      </c>
      <c r="J121" t="s">
        <v>129</v>
      </c>
      <c r="O121" t="s">
        <v>77</v>
      </c>
      <c r="AB121" s="81"/>
      <c r="AC121" t="s">
        <v>2</v>
      </c>
      <c r="AD121" s="80"/>
      <c r="AE121" s="81"/>
      <c r="AF121" s="81"/>
      <c r="AG121" s="81"/>
      <c r="AH121" s="81"/>
      <c r="AI121" s="81"/>
    </row>
    <row r="122" spans="1:35">
      <c r="D122" t="s">
        <v>185</v>
      </c>
      <c r="E122" s="435" t="s">
        <v>1869</v>
      </c>
      <c r="F122" s="435" t="s">
        <v>274</v>
      </c>
      <c r="G122" s="435" t="s">
        <v>87</v>
      </c>
      <c r="H122" t="s">
        <v>77</v>
      </c>
      <c r="I122" t="s">
        <v>1</v>
      </c>
      <c r="J122" t="s">
        <v>129</v>
      </c>
      <c r="O122" t="s">
        <v>77</v>
      </c>
      <c r="AB122" s="81"/>
      <c r="AC122" t="s">
        <v>2</v>
      </c>
      <c r="AD122" s="80"/>
      <c r="AE122" s="81"/>
      <c r="AF122" s="81"/>
      <c r="AG122" s="81"/>
      <c r="AH122" s="81"/>
      <c r="AI122" s="81"/>
    </row>
    <row r="123" spans="1:35">
      <c r="D123" t="s">
        <v>185</v>
      </c>
      <c r="E123" s="435" t="s">
        <v>1869</v>
      </c>
      <c r="F123" s="435" t="s">
        <v>274</v>
      </c>
      <c r="G123" s="435" t="s">
        <v>87</v>
      </c>
      <c r="H123" t="s">
        <v>77</v>
      </c>
      <c r="I123" t="s">
        <v>1</v>
      </c>
      <c r="J123" t="s">
        <v>129</v>
      </c>
      <c r="O123" t="s">
        <v>77</v>
      </c>
      <c r="AB123" s="81"/>
      <c r="AC123" t="s">
        <v>2</v>
      </c>
      <c r="AD123" s="80"/>
      <c r="AE123" s="81"/>
      <c r="AF123" s="81"/>
      <c r="AG123" s="81"/>
      <c r="AH123" s="81"/>
      <c r="AI123" s="81"/>
    </row>
    <row r="124" spans="1:35">
      <c r="D124" t="s">
        <v>185</v>
      </c>
      <c r="E124" s="435" t="s">
        <v>1869</v>
      </c>
      <c r="F124" s="435" t="s">
        <v>274</v>
      </c>
      <c r="G124" s="435" t="s">
        <v>87</v>
      </c>
      <c r="H124" t="s">
        <v>77</v>
      </c>
      <c r="I124" t="s">
        <v>1</v>
      </c>
      <c r="J124" t="s">
        <v>129</v>
      </c>
      <c r="O124" t="s">
        <v>77</v>
      </c>
      <c r="AB124" s="81"/>
      <c r="AC124" t="s">
        <v>2</v>
      </c>
      <c r="AD124" s="80"/>
      <c r="AE124" s="81"/>
      <c r="AF124" s="81"/>
      <c r="AG124" s="81"/>
      <c r="AH124" s="81"/>
      <c r="AI124" s="81"/>
    </row>
    <row r="125" spans="1:35">
      <c r="D125" t="s">
        <v>185</v>
      </c>
      <c r="E125" s="435" t="s">
        <v>1869</v>
      </c>
      <c r="F125" s="435" t="s">
        <v>274</v>
      </c>
      <c r="G125" s="435" t="s">
        <v>87</v>
      </c>
      <c r="H125" t="s">
        <v>77</v>
      </c>
      <c r="I125" t="s">
        <v>1</v>
      </c>
      <c r="J125" t="s">
        <v>129</v>
      </c>
      <c r="O125" t="s">
        <v>77</v>
      </c>
      <c r="AB125" s="81"/>
      <c r="AC125" t="s">
        <v>2</v>
      </c>
      <c r="AD125" s="80"/>
      <c r="AE125" s="81"/>
      <c r="AF125" s="81"/>
      <c r="AG125" s="81"/>
      <c r="AH125" s="81"/>
      <c r="AI125" s="81"/>
    </row>
    <row r="126" spans="1:35">
      <c r="D126" t="s">
        <v>185</v>
      </c>
      <c r="E126" s="435" t="s">
        <v>1869</v>
      </c>
      <c r="F126" s="435" t="s">
        <v>274</v>
      </c>
      <c r="G126" s="435" t="s">
        <v>87</v>
      </c>
      <c r="H126" t="s">
        <v>77</v>
      </c>
      <c r="I126" t="s">
        <v>1</v>
      </c>
      <c r="J126" t="s">
        <v>129</v>
      </c>
      <c r="O126" t="s">
        <v>77</v>
      </c>
      <c r="AB126" s="81"/>
      <c r="AC126" t="s">
        <v>2</v>
      </c>
      <c r="AD126" s="80"/>
      <c r="AE126" s="81"/>
      <c r="AF126" s="81"/>
      <c r="AG126" s="81"/>
      <c r="AH126" s="81"/>
      <c r="AI126" s="81"/>
    </row>
    <row r="128" spans="1:35" s="1" customFormat="1" ht="13.9">
      <c r="A128" s="66"/>
      <c r="B128" s="78" t="s">
        <v>11</v>
      </c>
    </row>
    <row r="130" spans="4:35">
      <c r="D130" t="s">
        <v>185</v>
      </c>
      <c r="E130" s="435" t="s">
        <v>1869</v>
      </c>
      <c r="F130" s="435" t="s">
        <v>274</v>
      </c>
      <c r="G130" s="435" t="s">
        <v>87</v>
      </c>
      <c r="H130" t="s">
        <v>116</v>
      </c>
      <c r="I130" t="s">
        <v>1</v>
      </c>
      <c r="J130" t="s">
        <v>11</v>
      </c>
      <c r="O130" t="s">
        <v>116</v>
      </c>
      <c r="AB130" s="81"/>
      <c r="AC130" t="s">
        <v>2</v>
      </c>
      <c r="AD130" s="80"/>
      <c r="AE130" s="81"/>
      <c r="AF130" s="81"/>
      <c r="AG130" s="81"/>
      <c r="AH130" s="81"/>
      <c r="AI130" s="81"/>
    </row>
    <row r="131" spans="4:35">
      <c r="D131" t="s">
        <v>185</v>
      </c>
      <c r="E131" s="435" t="s">
        <v>1869</v>
      </c>
      <c r="F131" s="435" t="s">
        <v>274</v>
      </c>
      <c r="G131" s="435" t="s">
        <v>87</v>
      </c>
      <c r="H131" t="s">
        <v>116</v>
      </c>
      <c r="I131" t="s">
        <v>1</v>
      </c>
      <c r="J131" t="s">
        <v>11</v>
      </c>
      <c r="O131" t="s">
        <v>116</v>
      </c>
      <c r="AB131" s="81"/>
      <c r="AC131" t="s">
        <v>2</v>
      </c>
      <c r="AD131" s="80"/>
      <c r="AE131" s="81"/>
      <c r="AF131" s="81"/>
      <c r="AG131" s="81"/>
      <c r="AH131" s="81"/>
      <c r="AI131" s="81"/>
    </row>
    <row r="132" spans="4:35">
      <c r="D132" t="s">
        <v>185</v>
      </c>
      <c r="E132" s="435" t="s">
        <v>1869</v>
      </c>
      <c r="F132" s="435" t="s">
        <v>274</v>
      </c>
      <c r="G132" s="435" t="s">
        <v>87</v>
      </c>
      <c r="H132" t="s">
        <v>116</v>
      </c>
      <c r="I132" t="s">
        <v>1</v>
      </c>
      <c r="J132" t="s">
        <v>11</v>
      </c>
      <c r="O132" t="s">
        <v>116</v>
      </c>
      <c r="AB132" s="81"/>
      <c r="AC132" t="s">
        <v>2</v>
      </c>
      <c r="AD132" s="80"/>
      <c r="AE132" s="81"/>
      <c r="AF132" s="81"/>
      <c r="AG132" s="81"/>
      <c r="AH132" s="81"/>
      <c r="AI132" s="81"/>
    </row>
    <row r="133" spans="4:35">
      <c r="D133" t="s">
        <v>185</v>
      </c>
      <c r="E133" s="435" t="s">
        <v>1869</v>
      </c>
      <c r="F133" s="435" t="s">
        <v>274</v>
      </c>
      <c r="G133" s="435" t="s">
        <v>87</v>
      </c>
      <c r="H133" t="s">
        <v>116</v>
      </c>
      <c r="I133" t="s">
        <v>1</v>
      </c>
      <c r="J133" t="s">
        <v>11</v>
      </c>
      <c r="O133" t="s">
        <v>116</v>
      </c>
      <c r="AB133" s="81"/>
      <c r="AC133" t="s">
        <v>2</v>
      </c>
      <c r="AD133" s="80"/>
      <c r="AE133" s="81"/>
      <c r="AF133" s="81"/>
      <c r="AG133" s="81"/>
      <c r="AH133" s="81"/>
      <c r="AI133" s="81"/>
    </row>
    <row r="134" spans="4:35">
      <c r="D134" t="s">
        <v>185</v>
      </c>
      <c r="E134" s="435" t="s">
        <v>1869</v>
      </c>
      <c r="F134" s="435" t="s">
        <v>274</v>
      </c>
      <c r="G134" s="435" t="s">
        <v>87</v>
      </c>
      <c r="H134" t="s">
        <v>116</v>
      </c>
      <c r="I134" t="s">
        <v>1</v>
      </c>
      <c r="J134" t="s">
        <v>11</v>
      </c>
      <c r="O134" t="s">
        <v>116</v>
      </c>
      <c r="AB134" s="81"/>
      <c r="AC134" t="s">
        <v>2</v>
      </c>
      <c r="AD134" s="80"/>
      <c r="AE134" s="81"/>
      <c r="AF134" s="81"/>
      <c r="AG134" s="81"/>
      <c r="AH134" s="81"/>
      <c r="AI134" s="81"/>
    </row>
    <row r="135" spans="4:35">
      <c r="D135" t="s">
        <v>185</v>
      </c>
      <c r="E135" s="435" t="s">
        <v>1869</v>
      </c>
      <c r="F135" s="435" t="s">
        <v>274</v>
      </c>
      <c r="G135" s="435" t="s">
        <v>87</v>
      </c>
      <c r="H135" t="s">
        <v>116</v>
      </c>
      <c r="I135" t="s">
        <v>1</v>
      </c>
      <c r="J135" t="s">
        <v>11</v>
      </c>
      <c r="O135" t="s">
        <v>116</v>
      </c>
      <c r="AB135" s="81"/>
      <c r="AC135" t="s">
        <v>2</v>
      </c>
      <c r="AD135" s="80"/>
      <c r="AE135" s="81"/>
      <c r="AF135" s="81"/>
      <c r="AG135" s="81"/>
      <c r="AH135" s="81"/>
      <c r="AI135" s="81"/>
    </row>
    <row r="136" spans="4:35">
      <c r="D136" t="s">
        <v>185</v>
      </c>
      <c r="E136" s="435" t="s">
        <v>1869</v>
      </c>
      <c r="F136" s="435" t="s">
        <v>274</v>
      </c>
      <c r="G136" s="435" t="s">
        <v>87</v>
      </c>
      <c r="H136" t="s">
        <v>116</v>
      </c>
      <c r="I136" t="s">
        <v>1</v>
      </c>
      <c r="J136" t="s">
        <v>11</v>
      </c>
      <c r="O136" t="s">
        <v>116</v>
      </c>
      <c r="AB136" s="81"/>
      <c r="AC136" t="s">
        <v>2</v>
      </c>
      <c r="AD136" s="80"/>
      <c r="AE136" s="81"/>
      <c r="AF136" s="81"/>
      <c r="AG136" s="81"/>
      <c r="AH136" s="81"/>
      <c r="AI136" s="81"/>
    </row>
    <row r="137" spans="4:35">
      <c r="D137" t="s">
        <v>185</v>
      </c>
      <c r="E137" s="435" t="s">
        <v>1869</v>
      </c>
      <c r="F137" s="435" t="s">
        <v>274</v>
      </c>
      <c r="G137" s="435" t="s">
        <v>87</v>
      </c>
      <c r="H137" t="s">
        <v>116</v>
      </c>
      <c r="I137" t="s">
        <v>1</v>
      </c>
      <c r="J137" t="s">
        <v>11</v>
      </c>
      <c r="O137" t="s">
        <v>116</v>
      </c>
      <c r="AB137" s="81"/>
      <c r="AC137" t="s">
        <v>2</v>
      </c>
      <c r="AD137" s="80"/>
      <c r="AE137" s="81"/>
      <c r="AF137" s="81"/>
      <c r="AG137" s="81"/>
      <c r="AH137" s="81"/>
      <c r="AI137" s="81"/>
    </row>
    <row r="138" spans="4:35">
      <c r="D138" t="s">
        <v>185</v>
      </c>
      <c r="E138" s="435" t="s">
        <v>1869</v>
      </c>
      <c r="F138" s="435" t="s">
        <v>274</v>
      </c>
      <c r="G138" s="435" t="s">
        <v>87</v>
      </c>
      <c r="H138" t="s">
        <v>116</v>
      </c>
      <c r="I138" t="s">
        <v>1</v>
      </c>
      <c r="J138" t="s">
        <v>11</v>
      </c>
      <c r="O138" t="s">
        <v>116</v>
      </c>
      <c r="AB138" s="81"/>
      <c r="AC138" t="s">
        <v>2</v>
      </c>
      <c r="AD138" s="80"/>
      <c r="AE138" s="81"/>
      <c r="AF138" s="81"/>
      <c r="AG138" s="81"/>
      <c r="AH138" s="81"/>
      <c r="AI138" s="81"/>
    </row>
    <row r="139" spans="4:35">
      <c r="D139" t="s">
        <v>185</v>
      </c>
      <c r="E139" s="435" t="s">
        <v>1869</v>
      </c>
      <c r="F139" s="435" t="s">
        <v>274</v>
      </c>
      <c r="G139" s="435" t="s">
        <v>87</v>
      </c>
      <c r="H139" t="s">
        <v>116</v>
      </c>
      <c r="I139" t="s">
        <v>1</v>
      </c>
      <c r="J139" t="s">
        <v>11</v>
      </c>
      <c r="O139" t="s">
        <v>116</v>
      </c>
      <c r="AB139" s="81"/>
      <c r="AC139" t="s">
        <v>2</v>
      </c>
      <c r="AD139" s="80"/>
      <c r="AE139" s="81"/>
      <c r="AF139" s="81"/>
      <c r="AG139" s="81"/>
      <c r="AH139" s="81"/>
      <c r="AI139" s="81"/>
    </row>
    <row r="140" spans="4:35">
      <c r="D140" t="s">
        <v>185</v>
      </c>
      <c r="E140" s="435" t="s">
        <v>1869</v>
      </c>
      <c r="F140" s="435" t="s">
        <v>274</v>
      </c>
      <c r="G140" s="435" t="s">
        <v>87</v>
      </c>
      <c r="H140" t="s">
        <v>116</v>
      </c>
      <c r="I140" t="s">
        <v>1</v>
      </c>
      <c r="J140" t="s">
        <v>11</v>
      </c>
      <c r="O140" t="s">
        <v>116</v>
      </c>
      <c r="AB140" s="81"/>
      <c r="AC140" t="s">
        <v>2</v>
      </c>
      <c r="AD140" s="80"/>
      <c r="AE140" s="81"/>
      <c r="AF140" s="81"/>
      <c r="AG140" s="81"/>
      <c r="AH140" s="81"/>
      <c r="AI140" s="81"/>
    </row>
    <row r="141" spans="4:35">
      <c r="D141" t="s">
        <v>185</v>
      </c>
      <c r="E141" s="435" t="s">
        <v>1869</v>
      </c>
      <c r="F141" s="435" t="s">
        <v>274</v>
      </c>
      <c r="G141" s="435" t="s">
        <v>87</v>
      </c>
      <c r="H141" t="s">
        <v>116</v>
      </c>
      <c r="I141" t="s">
        <v>1</v>
      </c>
      <c r="J141" t="s">
        <v>11</v>
      </c>
      <c r="O141" t="s">
        <v>116</v>
      </c>
      <c r="AB141" s="81"/>
      <c r="AC141" t="s">
        <v>2</v>
      </c>
      <c r="AD141" s="80"/>
      <c r="AE141" s="81"/>
      <c r="AF141" s="81"/>
      <c r="AG141" s="81"/>
      <c r="AH141" s="81"/>
      <c r="AI141" s="81"/>
    </row>
    <row r="142" spans="4:35">
      <c r="D142" t="s">
        <v>185</v>
      </c>
      <c r="E142" s="435" t="s">
        <v>1869</v>
      </c>
      <c r="F142" s="435" t="s">
        <v>274</v>
      </c>
      <c r="G142" s="435" t="s">
        <v>87</v>
      </c>
      <c r="H142" t="s">
        <v>116</v>
      </c>
      <c r="I142" t="s">
        <v>1</v>
      </c>
      <c r="J142" t="s">
        <v>11</v>
      </c>
      <c r="O142" t="s">
        <v>116</v>
      </c>
      <c r="AB142" s="81"/>
      <c r="AC142" t="s">
        <v>2</v>
      </c>
      <c r="AD142" s="80"/>
      <c r="AE142" s="81"/>
      <c r="AF142" s="81"/>
      <c r="AG142" s="81"/>
      <c r="AH142" s="81"/>
      <c r="AI142" s="81"/>
    </row>
    <row r="143" spans="4:35">
      <c r="D143" t="s">
        <v>185</v>
      </c>
      <c r="E143" s="435" t="s">
        <v>1869</v>
      </c>
      <c r="F143" s="435" t="s">
        <v>274</v>
      </c>
      <c r="G143" s="435" t="s">
        <v>87</v>
      </c>
      <c r="H143" t="s">
        <v>116</v>
      </c>
      <c r="I143" t="s">
        <v>1</v>
      </c>
      <c r="J143" t="s">
        <v>11</v>
      </c>
      <c r="O143" t="s">
        <v>116</v>
      </c>
      <c r="AB143" s="81"/>
      <c r="AC143" t="s">
        <v>2</v>
      </c>
      <c r="AD143" s="80"/>
      <c r="AE143" s="81"/>
      <c r="AF143" s="81"/>
      <c r="AG143" s="81"/>
      <c r="AH143" s="81"/>
      <c r="AI143" s="81"/>
    </row>
    <row r="144" spans="4:35">
      <c r="D144" t="s">
        <v>185</v>
      </c>
      <c r="E144" s="435" t="s">
        <v>1869</v>
      </c>
      <c r="F144" s="435" t="s">
        <v>274</v>
      </c>
      <c r="G144" s="435" t="s">
        <v>87</v>
      </c>
      <c r="H144" t="s">
        <v>116</v>
      </c>
      <c r="I144" t="s">
        <v>1</v>
      </c>
      <c r="J144" t="s">
        <v>11</v>
      </c>
      <c r="O144" t="s">
        <v>116</v>
      </c>
      <c r="AB144" s="81"/>
      <c r="AC144" t="s">
        <v>2</v>
      </c>
      <c r="AD144" s="80"/>
      <c r="AE144" s="81"/>
      <c r="AF144" s="81"/>
      <c r="AG144" s="81"/>
      <c r="AH144" s="81"/>
      <c r="AI144" s="81"/>
    </row>
    <row r="145" spans="1:35">
      <c r="D145" t="s">
        <v>185</v>
      </c>
      <c r="E145" s="435" t="s">
        <v>1869</v>
      </c>
      <c r="F145" s="435" t="s">
        <v>274</v>
      </c>
      <c r="G145" s="435" t="s">
        <v>87</v>
      </c>
      <c r="H145" t="s">
        <v>116</v>
      </c>
      <c r="I145" t="s">
        <v>1</v>
      </c>
      <c r="J145" t="s">
        <v>11</v>
      </c>
      <c r="O145" t="s">
        <v>116</v>
      </c>
      <c r="AB145" s="81"/>
      <c r="AC145" t="s">
        <v>2</v>
      </c>
      <c r="AD145" s="80"/>
      <c r="AE145" s="81"/>
      <c r="AF145" s="81"/>
      <c r="AG145" s="81"/>
      <c r="AH145" s="81"/>
      <c r="AI145" s="81"/>
    </row>
    <row r="146" spans="1:35">
      <c r="D146" t="s">
        <v>185</v>
      </c>
      <c r="E146" s="435" t="s">
        <v>1869</v>
      </c>
      <c r="F146" s="435" t="s">
        <v>274</v>
      </c>
      <c r="G146" s="435" t="s">
        <v>87</v>
      </c>
      <c r="H146" t="s">
        <v>116</v>
      </c>
      <c r="I146" t="s">
        <v>1</v>
      </c>
      <c r="J146" t="s">
        <v>11</v>
      </c>
      <c r="O146" t="s">
        <v>116</v>
      </c>
      <c r="AB146" s="81"/>
      <c r="AC146" t="s">
        <v>2</v>
      </c>
      <c r="AD146" s="80"/>
      <c r="AE146" s="81"/>
      <c r="AF146" s="81"/>
      <c r="AG146" s="81"/>
      <c r="AH146" s="81"/>
      <c r="AI146" s="81"/>
    </row>
    <row r="147" spans="1:35">
      <c r="D147" t="s">
        <v>185</v>
      </c>
      <c r="E147" s="435" t="s">
        <v>1869</v>
      </c>
      <c r="F147" s="435" t="s">
        <v>274</v>
      </c>
      <c r="G147" s="435" t="s">
        <v>87</v>
      </c>
      <c r="H147" t="s">
        <v>116</v>
      </c>
      <c r="I147" t="s">
        <v>1</v>
      </c>
      <c r="J147" t="s">
        <v>11</v>
      </c>
      <c r="O147" t="s">
        <v>116</v>
      </c>
      <c r="AB147" s="81"/>
      <c r="AC147" t="s">
        <v>2</v>
      </c>
      <c r="AD147" s="80"/>
      <c r="AE147" s="81"/>
      <c r="AF147" s="81"/>
      <c r="AG147" s="81"/>
      <c r="AH147" s="81"/>
      <c r="AI147" s="81"/>
    </row>
    <row r="148" spans="1:35">
      <c r="D148" t="s">
        <v>185</v>
      </c>
      <c r="E148" s="435" t="s">
        <v>1869</v>
      </c>
      <c r="F148" s="435" t="s">
        <v>274</v>
      </c>
      <c r="G148" s="435" t="s">
        <v>87</v>
      </c>
      <c r="H148" t="s">
        <v>116</v>
      </c>
      <c r="I148" t="s">
        <v>1</v>
      </c>
      <c r="J148" t="s">
        <v>11</v>
      </c>
      <c r="O148" t="s">
        <v>116</v>
      </c>
      <c r="AB148" s="81"/>
      <c r="AC148" t="s">
        <v>2</v>
      </c>
      <c r="AD148" s="80"/>
      <c r="AE148" s="81"/>
      <c r="AF148" s="81"/>
      <c r="AG148" s="81"/>
      <c r="AH148" s="81"/>
      <c r="AI148" s="81"/>
    </row>
    <row r="149" spans="1:35">
      <c r="D149" t="s">
        <v>185</v>
      </c>
      <c r="E149" s="435" t="s">
        <v>1869</v>
      </c>
      <c r="F149" s="435" t="s">
        <v>274</v>
      </c>
      <c r="G149" s="435" t="s">
        <v>87</v>
      </c>
      <c r="H149" t="s">
        <v>116</v>
      </c>
      <c r="I149" t="s">
        <v>1</v>
      </c>
      <c r="J149" t="s">
        <v>11</v>
      </c>
      <c r="O149" t="s">
        <v>116</v>
      </c>
      <c r="AB149" s="81"/>
      <c r="AC149" t="s">
        <v>2</v>
      </c>
      <c r="AD149" s="80"/>
      <c r="AE149" s="81"/>
      <c r="AF149" s="81"/>
      <c r="AG149" s="81"/>
      <c r="AH149" s="81"/>
      <c r="AI149" s="81"/>
    </row>
    <row r="151" spans="1:35" s="73" customFormat="1" ht="18">
      <c r="A151" s="74" t="s">
        <v>76</v>
      </c>
    </row>
  </sheetData>
  <mergeCells count="1">
    <mergeCell ref="AE6:AI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Lists'!$O$11:$O$15</xm:f>
          </x14:formula1>
          <xm:sqref>AB13:AB32 AB36:AB55 AB59:AB78 AB84:AB103 AB107:AB126 AB130:AB149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47"/>
  <sheetViews>
    <sheetView zoomScale="80" zoomScaleNormal="80" workbookViewId="0">
      <pane ySplit="8" topLeftCell="A9" activePane="bottomLeft" state="frozen"/>
      <selection activeCell="F13" sqref="F13"/>
      <selection pane="bottomLeft"/>
    </sheetView>
  </sheetViews>
  <sheetFormatPr defaultRowHeight="14.25"/>
  <cols>
    <col min="1" max="3" width="1.73046875" customWidth="1"/>
    <col min="4" max="4" width="8.1328125" bestFit="1" customWidth="1"/>
    <col min="5" max="5" width="5" bestFit="1" customWidth="1"/>
    <col min="6" max="6" width="12.1328125" style="435" bestFit="1" customWidth="1"/>
    <col min="7" max="7" width="11.265625" style="435" bestFit="1" customWidth="1"/>
    <col min="8" max="8" width="13.73046875" bestFit="1" customWidth="1"/>
    <col min="9" max="9" width="9.3984375" bestFit="1" customWidth="1"/>
    <col min="10" max="10" width="23.3984375" bestFit="1" customWidth="1"/>
    <col min="11" max="11" width="22" bestFit="1" customWidth="1"/>
    <col min="12" max="12" width="24.265625" bestFit="1" customWidth="1"/>
    <col min="14" max="14" width="1.73046875" customWidth="1"/>
    <col min="15" max="15" width="14.86328125" bestFit="1" customWidth="1"/>
    <col min="16" max="17" width="1.73046875" customWidth="1"/>
    <col min="18"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78</v>
      </c>
    </row>
    <row r="6" spans="1:35">
      <c r="AD6" s="435"/>
      <c r="AE6" s="1347" t="s">
        <v>112</v>
      </c>
      <c r="AF6" s="1348"/>
      <c r="AG6" s="1348"/>
      <c r="AH6" s="1348"/>
      <c r="AI6" s="1349"/>
    </row>
    <row r="7" spans="1:35" s="67" customFormat="1">
      <c r="D7" s="87" t="s">
        <v>111</v>
      </c>
      <c r="E7" s="87" t="s">
        <v>68</v>
      </c>
      <c r="F7" s="87" t="s">
        <v>2692</v>
      </c>
      <c r="G7" s="87" t="s">
        <v>2681</v>
      </c>
      <c r="H7" s="87" t="s">
        <v>110</v>
      </c>
      <c r="I7" s="87" t="s">
        <v>109</v>
      </c>
      <c r="J7" s="87" t="s">
        <v>108</v>
      </c>
      <c r="K7" s="87" t="s">
        <v>107</v>
      </c>
      <c r="L7" s="87" t="s">
        <v>106</v>
      </c>
      <c r="M7" s="87" t="s">
        <v>105</v>
      </c>
      <c r="N7" s="87"/>
      <c r="O7" s="87" t="s">
        <v>103</v>
      </c>
      <c r="P7" s="87"/>
      <c r="Q7" s="87"/>
      <c r="R7" s="86" t="s">
        <v>101</v>
      </c>
      <c r="S7" s="86" t="s">
        <v>100</v>
      </c>
      <c r="T7" s="86" t="s">
        <v>99</v>
      </c>
      <c r="U7" s="86" t="s">
        <v>98</v>
      </c>
      <c r="V7" s="86" t="s">
        <v>97</v>
      </c>
      <c r="W7" s="86" t="s">
        <v>96</v>
      </c>
      <c r="X7" s="86" t="s">
        <v>95</v>
      </c>
      <c r="Y7" s="86" t="s">
        <v>94</v>
      </c>
      <c r="Z7" s="86" t="s">
        <v>93</v>
      </c>
      <c r="AA7" s="86" t="s">
        <v>92</v>
      </c>
      <c r="AB7" s="86" t="s">
        <v>91</v>
      </c>
      <c r="AC7" s="67" t="s">
        <v>5</v>
      </c>
      <c r="AE7" s="84">
        <v>2022</v>
      </c>
      <c r="AF7" s="83">
        <v>2023</v>
      </c>
      <c r="AG7" s="83">
        <v>2024</v>
      </c>
      <c r="AH7" s="83">
        <v>2025</v>
      </c>
      <c r="AI7" s="82">
        <v>2026</v>
      </c>
    </row>
    <row r="8" spans="1:35">
      <c r="R8" s="67"/>
      <c r="S8" s="67"/>
      <c r="T8" s="67"/>
      <c r="U8" s="67"/>
    </row>
    <row r="9" spans="1:35" s="1" customFormat="1" ht="17.649999999999999">
      <c r="A9" s="2" t="s">
        <v>87</v>
      </c>
      <c r="B9" s="2"/>
    </row>
    <row r="11" spans="1:35" s="1" customFormat="1" ht="13.9">
      <c r="A11" s="66"/>
      <c r="B11" s="78" t="s">
        <v>2702</v>
      </c>
    </row>
    <row r="13" spans="1:35">
      <c r="D13" t="s">
        <v>79</v>
      </c>
      <c r="E13" t="s">
        <v>68</v>
      </c>
      <c r="F13" s="435" t="s">
        <v>274</v>
      </c>
      <c r="G13" s="435" t="s">
        <v>12</v>
      </c>
      <c r="H13" t="s">
        <v>77</v>
      </c>
      <c r="I13" t="s">
        <v>1</v>
      </c>
      <c r="J13" t="s">
        <v>78</v>
      </c>
      <c r="K13" t="s">
        <v>84</v>
      </c>
      <c r="L13" t="s">
        <v>85</v>
      </c>
      <c r="M13" t="s">
        <v>914</v>
      </c>
      <c r="O13" t="s">
        <v>77</v>
      </c>
      <c r="P13" s="76"/>
      <c r="Q13" s="76"/>
      <c r="R13" s="76"/>
      <c r="S13" s="76"/>
      <c r="T13" s="76"/>
      <c r="U13" s="76"/>
      <c r="AC13" t="s">
        <v>2</v>
      </c>
      <c r="AD13" s="80"/>
      <c r="AE13" s="81"/>
      <c r="AF13" s="81"/>
      <c r="AG13" s="81"/>
      <c r="AH13" s="81"/>
      <c r="AI13" s="81"/>
    </row>
    <row r="14" spans="1:35">
      <c r="D14" t="s">
        <v>79</v>
      </c>
      <c r="E14" t="s">
        <v>68</v>
      </c>
      <c r="F14" s="435" t="s">
        <v>274</v>
      </c>
      <c r="G14" s="435" t="s">
        <v>12</v>
      </c>
      <c r="H14" t="s">
        <v>77</v>
      </c>
      <c r="I14" t="s">
        <v>1</v>
      </c>
      <c r="J14" t="s">
        <v>78</v>
      </c>
      <c r="K14" t="s">
        <v>84</v>
      </c>
      <c r="L14" t="s">
        <v>85</v>
      </c>
      <c r="M14" t="s">
        <v>945</v>
      </c>
      <c r="O14" t="s">
        <v>77</v>
      </c>
      <c r="P14" s="76"/>
      <c r="Q14" s="76"/>
      <c r="R14" s="76"/>
      <c r="S14" s="76"/>
      <c r="T14" s="76"/>
      <c r="U14" s="76"/>
      <c r="AC14" t="s">
        <v>2</v>
      </c>
      <c r="AD14" s="80"/>
      <c r="AE14" s="81"/>
      <c r="AF14" s="81"/>
      <c r="AG14" s="81"/>
      <c r="AH14" s="81"/>
      <c r="AI14" s="81"/>
    </row>
    <row r="15" spans="1:35">
      <c r="D15" t="s">
        <v>79</v>
      </c>
      <c r="E15" t="s">
        <v>68</v>
      </c>
      <c r="F15" s="435" t="s">
        <v>274</v>
      </c>
      <c r="G15" s="435" t="s">
        <v>12</v>
      </c>
      <c r="H15" t="s">
        <v>77</v>
      </c>
      <c r="I15" t="s">
        <v>1</v>
      </c>
      <c r="J15" t="s">
        <v>78</v>
      </c>
      <c r="K15" t="s">
        <v>84</v>
      </c>
      <c r="L15" t="s">
        <v>85</v>
      </c>
      <c r="M15" t="s">
        <v>946</v>
      </c>
      <c r="O15" t="s">
        <v>77</v>
      </c>
      <c r="P15" s="76"/>
      <c r="Q15" s="76"/>
      <c r="R15" s="76"/>
      <c r="S15" s="76"/>
      <c r="T15" s="76"/>
      <c r="U15" s="76"/>
      <c r="AC15" t="s">
        <v>2</v>
      </c>
      <c r="AD15" s="80"/>
      <c r="AE15" s="81"/>
      <c r="AF15" s="81"/>
      <c r="AG15" s="81"/>
      <c r="AH15" s="81"/>
      <c r="AI15" s="81"/>
    </row>
    <row r="16" spans="1:35">
      <c r="D16" t="s">
        <v>79</v>
      </c>
      <c r="E16" t="s">
        <v>68</v>
      </c>
      <c r="F16" s="435" t="s">
        <v>274</v>
      </c>
      <c r="G16" s="435" t="s">
        <v>12</v>
      </c>
      <c r="H16" t="s">
        <v>77</v>
      </c>
      <c r="I16" t="s">
        <v>1</v>
      </c>
      <c r="J16" t="s">
        <v>78</v>
      </c>
      <c r="K16" t="s">
        <v>84</v>
      </c>
      <c r="L16" t="s">
        <v>83</v>
      </c>
      <c r="O16" t="s">
        <v>77</v>
      </c>
      <c r="P16" s="76"/>
      <c r="Q16" s="76"/>
      <c r="R16" s="76"/>
      <c r="S16" s="76"/>
      <c r="T16" s="76"/>
      <c r="U16" s="76"/>
      <c r="AC16" t="s">
        <v>2</v>
      </c>
      <c r="AD16" s="80"/>
      <c r="AE16" s="81"/>
      <c r="AF16" s="81"/>
      <c r="AG16" s="81"/>
      <c r="AH16" s="81"/>
      <c r="AI16" s="81"/>
    </row>
    <row r="17" spans="1:35">
      <c r="D17" t="s">
        <v>79</v>
      </c>
      <c r="E17" t="s">
        <v>68</v>
      </c>
      <c r="F17" s="435" t="s">
        <v>274</v>
      </c>
      <c r="G17" s="435" t="s">
        <v>12</v>
      </c>
      <c r="H17" t="s">
        <v>77</v>
      </c>
      <c r="I17" t="s">
        <v>1</v>
      </c>
      <c r="J17" t="s">
        <v>78</v>
      </c>
      <c r="K17" t="s">
        <v>82</v>
      </c>
      <c r="L17" t="s">
        <v>947</v>
      </c>
      <c r="M17" t="s">
        <v>914</v>
      </c>
      <c r="O17" t="s">
        <v>77</v>
      </c>
      <c r="P17" s="76"/>
      <c r="Q17" s="76"/>
      <c r="R17" s="76"/>
      <c r="S17" s="76"/>
      <c r="T17" s="76"/>
      <c r="U17" s="76"/>
      <c r="AC17" t="s">
        <v>2</v>
      </c>
      <c r="AD17" s="80"/>
      <c r="AE17" s="81"/>
      <c r="AF17" s="81"/>
      <c r="AG17" s="81"/>
      <c r="AH17" s="81"/>
      <c r="AI17" s="81"/>
    </row>
    <row r="18" spans="1:35">
      <c r="D18" t="s">
        <v>79</v>
      </c>
      <c r="E18" t="s">
        <v>68</v>
      </c>
      <c r="F18" s="435" t="s">
        <v>274</v>
      </c>
      <c r="G18" s="435" t="s">
        <v>12</v>
      </c>
      <c r="H18" t="s">
        <v>77</v>
      </c>
      <c r="I18" t="s">
        <v>1</v>
      </c>
      <c r="J18" t="s">
        <v>78</v>
      </c>
      <c r="K18" t="s">
        <v>82</v>
      </c>
      <c r="L18" t="s">
        <v>947</v>
      </c>
      <c r="M18" t="s">
        <v>945</v>
      </c>
      <c r="O18" t="s">
        <v>77</v>
      </c>
      <c r="P18" s="76"/>
      <c r="Q18" s="76"/>
      <c r="R18" s="76"/>
      <c r="S18" s="76"/>
      <c r="T18" s="76"/>
      <c r="U18" s="76"/>
      <c r="AC18" t="s">
        <v>2</v>
      </c>
      <c r="AD18" s="80"/>
      <c r="AE18" s="81"/>
      <c r="AF18" s="81"/>
      <c r="AG18" s="81"/>
      <c r="AH18" s="81"/>
      <c r="AI18" s="81"/>
    </row>
    <row r="19" spans="1:35">
      <c r="D19" t="s">
        <v>79</v>
      </c>
      <c r="E19" t="s">
        <v>68</v>
      </c>
      <c r="F19" s="435" t="s">
        <v>274</v>
      </c>
      <c r="G19" s="435" t="s">
        <v>12</v>
      </c>
      <c r="H19" t="s">
        <v>77</v>
      </c>
      <c r="I19" t="s">
        <v>1</v>
      </c>
      <c r="J19" t="s">
        <v>78</v>
      </c>
      <c r="K19" t="s">
        <v>82</v>
      </c>
      <c r="L19" t="s">
        <v>947</v>
      </c>
      <c r="M19" t="s">
        <v>946</v>
      </c>
      <c r="O19" t="s">
        <v>77</v>
      </c>
      <c r="P19" s="76"/>
      <c r="Q19" s="76"/>
      <c r="R19" s="76"/>
      <c r="S19" s="76"/>
      <c r="T19" s="76"/>
      <c r="U19" s="76"/>
      <c r="AC19" t="s">
        <v>2</v>
      </c>
      <c r="AD19" s="80"/>
      <c r="AE19" s="81"/>
      <c r="AF19" s="81"/>
      <c r="AG19" s="81"/>
      <c r="AH19" s="81"/>
      <c r="AI19" s="81"/>
    </row>
    <row r="20" spans="1:35">
      <c r="D20" t="s">
        <v>79</v>
      </c>
      <c r="E20" t="s">
        <v>68</v>
      </c>
      <c r="F20" s="435" t="s">
        <v>274</v>
      </c>
      <c r="G20" s="435" t="s">
        <v>12</v>
      </c>
      <c r="H20" t="s">
        <v>77</v>
      </c>
      <c r="I20" t="s">
        <v>1</v>
      </c>
      <c r="J20" t="s">
        <v>78</v>
      </c>
      <c r="K20" t="s">
        <v>81</v>
      </c>
      <c r="O20" t="s">
        <v>77</v>
      </c>
      <c r="P20" s="76"/>
      <c r="Q20" s="76"/>
      <c r="R20" s="76"/>
      <c r="S20" s="76"/>
      <c r="T20" s="76"/>
      <c r="U20" s="76"/>
      <c r="AC20" t="s">
        <v>2</v>
      </c>
      <c r="AD20" s="80"/>
      <c r="AE20" s="81"/>
      <c r="AF20" s="81"/>
      <c r="AG20" s="81"/>
      <c r="AH20" s="81"/>
      <c r="AI20" s="81"/>
    </row>
    <row r="21" spans="1:35">
      <c r="D21" t="s">
        <v>79</v>
      </c>
      <c r="E21" t="s">
        <v>68</v>
      </c>
      <c r="F21" s="435" t="s">
        <v>274</v>
      </c>
      <c r="G21" s="435" t="s">
        <v>12</v>
      </c>
      <c r="H21" t="s">
        <v>77</v>
      </c>
      <c r="I21" t="s">
        <v>1</v>
      </c>
      <c r="J21" t="s">
        <v>78</v>
      </c>
      <c r="K21" t="s">
        <v>80</v>
      </c>
      <c r="O21" t="s">
        <v>77</v>
      </c>
      <c r="P21" s="76"/>
      <c r="Q21" s="76"/>
      <c r="R21" s="76"/>
      <c r="S21" s="76"/>
      <c r="T21" s="76"/>
      <c r="U21" s="76"/>
      <c r="AC21" t="s">
        <v>2</v>
      </c>
      <c r="AD21" s="80"/>
      <c r="AE21" s="81"/>
      <c r="AF21" s="81"/>
      <c r="AG21" s="81"/>
      <c r="AH21" s="81"/>
      <c r="AI21" s="81"/>
    </row>
    <row r="22" spans="1:35">
      <c r="D22" t="s">
        <v>79</v>
      </c>
      <c r="E22" t="s">
        <v>68</v>
      </c>
      <c r="F22" s="435" t="s">
        <v>274</v>
      </c>
      <c r="G22" s="435" t="s">
        <v>12</v>
      </c>
      <c r="H22" t="s">
        <v>77</v>
      </c>
      <c r="I22" t="s">
        <v>1</v>
      </c>
      <c r="J22" t="s">
        <v>78</v>
      </c>
      <c r="O22" t="s">
        <v>77</v>
      </c>
      <c r="P22" s="76"/>
      <c r="Q22" s="76"/>
      <c r="R22" s="76"/>
      <c r="S22" s="76"/>
      <c r="T22" s="76"/>
      <c r="U22" s="76"/>
      <c r="AC22" t="s">
        <v>2</v>
      </c>
      <c r="AD22" s="80"/>
      <c r="AE22" s="79"/>
      <c r="AF22" s="79"/>
      <c r="AG22" s="79"/>
      <c r="AH22" s="79"/>
      <c r="AI22" s="79"/>
    </row>
    <row r="23" spans="1:35">
      <c r="D23" t="s">
        <v>79</v>
      </c>
      <c r="E23" t="s">
        <v>68</v>
      </c>
      <c r="F23" s="435" t="s">
        <v>274</v>
      </c>
      <c r="G23" s="435" t="s">
        <v>12</v>
      </c>
      <c r="H23" t="s">
        <v>77</v>
      </c>
      <c r="I23" t="s">
        <v>1</v>
      </c>
      <c r="J23" t="s">
        <v>78</v>
      </c>
      <c r="O23" t="s">
        <v>77</v>
      </c>
      <c r="P23" s="76"/>
      <c r="Q23" s="76"/>
      <c r="R23" s="76"/>
      <c r="S23" s="76"/>
      <c r="T23" s="76"/>
      <c r="U23" s="76"/>
      <c r="AC23" t="s">
        <v>2</v>
      </c>
      <c r="AD23" s="80"/>
      <c r="AE23" s="79"/>
      <c r="AF23" s="79"/>
      <c r="AG23" s="79"/>
      <c r="AH23" s="79"/>
      <c r="AI23" s="79"/>
    </row>
    <row r="24" spans="1:35" s="67" customFormat="1">
      <c r="D24" t="s">
        <v>79</v>
      </c>
      <c r="E24" t="s">
        <v>68</v>
      </c>
      <c r="F24" s="435" t="s">
        <v>274</v>
      </c>
      <c r="G24" s="435" t="s">
        <v>12</v>
      </c>
      <c r="H24" t="s">
        <v>77</v>
      </c>
      <c r="I24" t="s">
        <v>1</v>
      </c>
      <c r="J24" t="s">
        <v>78</v>
      </c>
      <c r="K24"/>
      <c r="L24"/>
      <c r="M24"/>
      <c r="N24"/>
      <c r="O24" t="s">
        <v>77</v>
      </c>
      <c r="P24" s="76"/>
      <c r="Q24" s="76"/>
      <c r="R24" s="76"/>
      <c r="S24" s="76"/>
      <c r="T24" s="76"/>
      <c r="U24" s="76"/>
      <c r="V24"/>
      <c r="W24"/>
      <c r="X24"/>
      <c r="Y24"/>
      <c r="Z24"/>
      <c r="AA24"/>
      <c r="AB24"/>
      <c r="AC24" t="s">
        <v>2</v>
      </c>
      <c r="AD24" s="80"/>
      <c r="AE24" s="79"/>
      <c r="AF24" s="79"/>
      <c r="AG24" s="79"/>
      <c r="AH24" s="79"/>
      <c r="AI24" s="79"/>
    </row>
    <row r="25" spans="1:35" s="67" customFormat="1">
      <c r="D25" s="435"/>
      <c r="E25" s="435"/>
      <c r="F25" s="435"/>
      <c r="G25" s="435"/>
      <c r="H25" s="435"/>
      <c r="I25" s="435"/>
      <c r="J25" s="435"/>
      <c r="K25" s="435"/>
      <c r="L25" s="435"/>
      <c r="M25" s="435"/>
      <c r="N25" s="435"/>
      <c r="O25" s="435"/>
      <c r="P25" s="76"/>
      <c r="Q25" s="76"/>
      <c r="R25" s="76"/>
      <c r="S25" s="76"/>
      <c r="T25" s="76"/>
      <c r="U25" s="76"/>
      <c r="V25" s="435"/>
      <c r="W25" s="435"/>
      <c r="X25" s="435"/>
      <c r="Y25" s="435"/>
      <c r="Z25" s="435"/>
      <c r="AA25" s="435"/>
      <c r="AB25" s="435"/>
      <c r="AC25" s="435"/>
      <c r="AD25" s="80"/>
      <c r="AE25" s="95"/>
      <c r="AF25" s="95"/>
      <c r="AG25" s="95"/>
      <c r="AH25" s="95"/>
      <c r="AI25" s="95"/>
    </row>
    <row r="26" spans="1:35" s="1" customFormat="1" ht="13.9">
      <c r="A26" s="66"/>
      <c r="B26" s="78" t="s">
        <v>2816</v>
      </c>
    </row>
    <row r="28" spans="1:35" s="435" customFormat="1">
      <c r="D28" s="435" t="s">
        <v>79</v>
      </c>
      <c r="E28" s="435" t="s">
        <v>68</v>
      </c>
      <c r="F28" s="435" t="s">
        <v>274</v>
      </c>
      <c r="G28" s="435" t="s">
        <v>182</v>
      </c>
      <c r="H28" s="435" t="s">
        <v>77</v>
      </c>
      <c r="I28" s="435" t="s">
        <v>1</v>
      </c>
      <c r="J28" s="435" t="s">
        <v>78</v>
      </c>
      <c r="K28" s="435" t="s">
        <v>182</v>
      </c>
      <c r="AC28" s="435" t="s">
        <v>2</v>
      </c>
      <c r="AD28" s="80"/>
      <c r="AE28" s="81"/>
      <c r="AF28" s="81"/>
      <c r="AG28" s="81"/>
      <c r="AH28" s="81"/>
      <c r="AI28" s="81"/>
    </row>
    <row r="30" spans="1:35" s="1" customFormat="1" ht="17.649999999999999">
      <c r="A30" s="2" t="s">
        <v>86</v>
      </c>
      <c r="B30" s="2"/>
    </row>
    <row r="32" spans="1:35" s="1" customFormat="1" ht="13.9">
      <c r="A32" s="66"/>
      <c r="B32" s="78" t="s">
        <v>2702</v>
      </c>
    </row>
    <row r="34" spans="1:35">
      <c r="D34" t="s">
        <v>79</v>
      </c>
      <c r="E34" t="s">
        <v>68</v>
      </c>
      <c r="F34" s="435" t="s">
        <v>274</v>
      </c>
      <c r="G34" s="435" t="s">
        <v>12</v>
      </c>
      <c r="H34" t="s">
        <v>77</v>
      </c>
      <c r="I34" t="s">
        <v>1</v>
      </c>
      <c r="J34" t="s">
        <v>78</v>
      </c>
      <c r="K34" t="s">
        <v>84</v>
      </c>
      <c r="L34" t="s">
        <v>85</v>
      </c>
      <c r="M34" t="s">
        <v>914</v>
      </c>
      <c r="O34" t="s">
        <v>77</v>
      </c>
      <c r="P34" s="76"/>
      <c r="Q34" s="76"/>
      <c r="R34" s="76"/>
      <c r="S34" s="76"/>
      <c r="T34" s="76"/>
      <c r="U34" s="76"/>
      <c r="AC34" t="s">
        <v>3</v>
      </c>
      <c r="AE34" s="77"/>
      <c r="AF34" s="77"/>
      <c r="AG34" s="77"/>
      <c r="AH34" s="77"/>
      <c r="AI34" s="77"/>
    </row>
    <row r="35" spans="1:35">
      <c r="D35" t="s">
        <v>79</v>
      </c>
      <c r="E35" t="s">
        <v>68</v>
      </c>
      <c r="F35" s="435" t="s">
        <v>274</v>
      </c>
      <c r="G35" s="435" t="s">
        <v>12</v>
      </c>
      <c r="H35" t="s">
        <v>77</v>
      </c>
      <c r="I35" t="s">
        <v>1</v>
      </c>
      <c r="J35" t="s">
        <v>78</v>
      </c>
      <c r="K35" t="s">
        <v>84</v>
      </c>
      <c r="L35" t="s">
        <v>85</v>
      </c>
      <c r="M35" t="s">
        <v>945</v>
      </c>
      <c r="O35" t="s">
        <v>77</v>
      </c>
      <c r="P35" s="76"/>
      <c r="Q35" s="76"/>
      <c r="R35" s="76"/>
      <c r="S35" s="76"/>
      <c r="T35" s="76"/>
      <c r="U35" s="76"/>
      <c r="AC35" t="s">
        <v>3</v>
      </c>
      <c r="AE35" s="77"/>
      <c r="AF35" s="77"/>
      <c r="AG35" s="77"/>
      <c r="AH35" s="77"/>
      <c r="AI35" s="77"/>
    </row>
    <row r="36" spans="1:35">
      <c r="D36" t="s">
        <v>79</v>
      </c>
      <c r="E36" t="s">
        <v>68</v>
      </c>
      <c r="F36" s="435" t="s">
        <v>274</v>
      </c>
      <c r="G36" s="435" t="s">
        <v>12</v>
      </c>
      <c r="H36" t="s">
        <v>77</v>
      </c>
      <c r="I36" t="s">
        <v>1</v>
      </c>
      <c r="J36" t="s">
        <v>78</v>
      </c>
      <c r="K36" t="s">
        <v>84</v>
      </c>
      <c r="L36" t="s">
        <v>85</v>
      </c>
      <c r="M36" t="s">
        <v>946</v>
      </c>
      <c r="O36" t="s">
        <v>77</v>
      </c>
      <c r="P36" s="76"/>
      <c r="Q36" s="76"/>
      <c r="R36" s="76"/>
      <c r="S36" s="76"/>
      <c r="T36" s="76"/>
      <c r="U36" s="76"/>
      <c r="AC36" t="s">
        <v>3</v>
      </c>
      <c r="AE36" s="77"/>
      <c r="AF36" s="77"/>
      <c r="AG36" s="77"/>
      <c r="AH36" s="77"/>
      <c r="AI36" s="77"/>
    </row>
    <row r="37" spans="1:35">
      <c r="D37" t="s">
        <v>79</v>
      </c>
      <c r="E37" t="s">
        <v>68</v>
      </c>
      <c r="F37" s="435" t="s">
        <v>274</v>
      </c>
      <c r="G37" s="435" t="s">
        <v>12</v>
      </c>
      <c r="H37" t="s">
        <v>77</v>
      </c>
      <c r="I37" t="s">
        <v>1</v>
      </c>
      <c r="J37" t="s">
        <v>78</v>
      </c>
      <c r="K37" t="s">
        <v>84</v>
      </c>
      <c r="L37" t="s">
        <v>83</v>
      </c>
      <c r="O37" t="s">
        <v>77</v>
      </c>
      <c r="P37" s="76"/>
      <c r="Q37" s="76"/>
      <c r="R37" s="76"/>
      <c r="S37" s="76"/>
      <c r="T37" s="76"/>
      <c r="U37" s="76"/>
      <c r="AC37" t="s">
        <v>3</v>
      </c>
      <c r="AE37" s="77"/>
      <c r="AF37" s="77"/>
      <c r="AG37" s="77"/>
      <c r="AH37" s="77"/>
      <c r="AI37" s="77"/>
    </row>
    <row r="38" spans="1:35">
      <c r="D38" t="s">
        <v>79</v>
      </c>
      <c r="E38" t="s">
        <v>68</v>
      </c>
      <c r="F38" s="435" t="s">
        <v>274</v>
      </c>
      <c r="G38" s="435" t="s">
        <v>12</v>
      </c>
      <c r="H38" t="s">
        <v>77</v>
      </c>
      <c r="I38" t="s">
        <v>1</v>
      </c>
      <c r="J38" t="s">
        <v>78</v>
      </c>
      <c r="K38" t="s">
        <v>82</v>
      </c>
      <c r="L38" t="s">
        <v>947</v>
      </c>
      <c r="M38" t="s">
        <v>914</v>
      </c>
      <c r="O38" t="s">
        <v>77</v>
      </c>
      <c r="P38" s="76"/>
      <c r="Q38" s="76"/>
      <c r="R38" s="76"/>
      <c r="S38" s="76"/>
      <c r="T38" s="76"/>
      <c r="U38" s="76"/>
      <c r="AC38" t="s">
        <v>3</v>
      </c>
      <c r="AE38" s="77"/>
      <c r="AF38" s="77"/>
      <c r="AG38" s="77"/>
      <c r="AH38" s="77"/>
      <c r="AI38" s="77"/>
    </row>
    <row r="39" spans="1:35">
      <c r="D39" t="s">
        <v>79</v>
      </c>
      <c r="E39" t="s">
        <v>68</v>
      </c>
      <c r="F39" s="435" t="s">
        <v>274</v>
      </c>
      <c r="G39" s="435" t="s">
        <v>12</v>
      </c>
      <c r="H39" t="s">
        <v>77</v>
      </c>
      <c r="I39" t="s">
        <v>1</v>
      </c>
      <c r="J39" t="s">
        <v>78</v>
      </c>
      <c r="K39" t="s">
        <v>82</v>
      </c>
      <c r="L39" t="s">
        <v>947</v>
      </c>
      <c r="M39" t="s">
        <v>945</v>
      </c>
      <c r="O39" t="s">
        <v>77</v>
      </c>
      <c r="P39" s="76"/>
      <c r="Q39" s="76"/>
      <c r="R39" s="76"/>
      <c r="S39" s="76"/>
      <c r="T39" s="76"/>
      <c r="U39" s="76"/>
      <c r="AC39" t="s">
        <v>3</v>
      </c>
      <c r="AE39" s="77"/>
      <c r="AF39" s="77"/>
      <c r="AG39" s="77"/>
      <c r="AH39" s="77"/>
      <c r="AI39" s="77"/>
    </row>
    <row r="40" spans="1:35">
      <c r="D40" t="s">
        <v>79</v>
      </c>
      <c r="E40" t="s">
        <v>68</v>
      </c>
      <c r="F40" s="435" t="s">
        <v>274</v>
      </c>
      <c r="G40" s="435" t="s">
        <v>12</v>
      </c>
      <c r="H40" t="s">
        <v>77</v>
      </c>
      <c r="I40" t="s">
        <v>1</v>
      </c>
      <c r="J40" t="s">
        <v>78</v>
      </c>
      <c r="K40" t="s">
        <v>82</v>
      </c>
      <c r="L40" t="s">
        <v>947</v>
      </c>
      <c r="M40" t="s">
        <v>946</v>
      </c>
      <c r="O40" t="s">
        <v>77</v>
      </c>
      <c r="P40" s="76"/>
      <c r="Q40" s="76"/>
      <c r="R40" s="76"/>
      <c r="S40" s="76"/>
      <c r="T40" s="76"/>
      <c r="U40" s="76"/>
      <c r="AC40" t="s">
        <v>3</v>
      </c>
      <c r="AE40" s="77"/>
      <c r="AF40" s="77"/>
      <c r="AG40" s="77"/>
      <c r="AH40" s="77"/>
      <c r="AI40" s="77"/>
    </row>
    <row r="41" spans="1:35">
      <c r="D41" t="s">
        <v>79</v>
      </c>
      <c r="E41" t="s">
        <v>68</v>
      </c>
      <c r="F41" s="435" t="s">
        <v>274</v>
      </c>
      <c r="G41" s="435" t="s">
        <v>12</v>
      </c>
      <c r="H41" t="s">
        <v>77</v>
      </c>
      <c r="I41" t="s">
        <v>1</v>
      </c>
      <c r="J41" t="s">
        <v>78</v>
      </c>
      <c r="K41" t="s">
        <v>81</v>
      </c>
      <c r="O41" t="s">
        <v>77</v>
      </c>
      <c r="P41" s="76"/>
      <c r="Q41" s="76"/>
      <c r="R41" s="76"/>
      <c r="S41" s="76"/>
      <c r="T41" s="76"/>
      <c r="U41" s="76"/>
      <c r="AC41" t="s">
        <v>3</v>
      </c>
      <c r="AE41" s="77"/>
      <c r="AF41" s="77"/>
      <c r="AG41" s="77"/>
      <c r="AH41" s="77"/>
      <c r="AI41" s="77"/>
    </row>
    <row r="42" spans="1:35">
      <c r="D42" t="s">
        <v>79</v>
      </c>
      <c r="E42" t="s">
        <v>68</v>
      </c>
      <c r="F42" s="435" t="s">
        <v>274</v>
      </c>
      <c r="G42" s="435" t="s">
        <v>12</v>
      </c>
      <c r="H42" t="s">
        <v>77</v>
      </c>
      <c r="I42" t="s">
        <v>1</v>
      </c>
      <c r="J42" t="s">
        <v>78</v>
      </c>
      <c r="K42" t="s">
        <v>80</v>
      </c>
      <c r="O42" t="s">
        <v>77</v>
      </c>
      <c r="P42" s="76"/>
      <c r="Q42" s="76"/>
      <c r="R42" s="76"/>
      <c r="S42" s="76"/>
      <c r="T42" s="76"/>
      <c r="U42" s="76"/>
      <c r="AC42" t="s">
        <v>3</v>
      </c>
      <c r="AE42" s="77"/>
      <c r="AF42" s="77"/>
      <c r="AG42" s="77"/>
      <c r="AH42" s="77"/>
      <c r="AI42" s="77"/>
    </row>
    <row r="43" spans="1:35">
      <c r="D43" t="s">
        <v>79</v>
      </c>
      <c r="E43" t="s">
        <v>68</v>
      </c>
      <c r="F43" s="435" t="s">
        <v>274</v>
      </c>
      <c r="G43" s="435" t="s">
        <v>12</v>
      </c>
      <c r="H43" t="s">
        <v>77</v>
      </c>
      <c r="I43" t="s">
        <v>1</v>
      </c>
      <c r="J43" t="s">
        <v>78</v>
      </c>
      <c r="O43" t="s">
        <v>77</v>
      </c>
      <c r="P43" s="76"/>
      <c r="Q43" s="76"/>
      <c r="R43" s="76"/>
      <c r="S43" s="76"/>
      <c r="T43" s="76"/>
      <c r="U43" s="76"/>
      <c r="AE43" s="75"/>
      <c r="AF43" s="75"/>
      <c r="AG43" s="75"/>
      <c r="AH43" s="75"/>
      <c r="AI43" s="75"/>
    </row>
    <row r="44" spans="1:35">
      <c r="D44" t="s">
        <v>79</v>
      </c>
      <c r="E44" t="s">
        <v>68</v>
      </c>
      <c r="F44" s="435" t="s">
        <v>274</v>
      </c>
      <c r="G44" s="435" t="s">
        <v>12</v>
      </c>
      <c r="H44" t="s">
        <v>77</v>
      </c>
      <c r="I44" t="s">
        <v>1</v>
      </c>
      <c r="J44" t="s">
        <v>78</v>
      </c>
      <c r="O44" t="s">
        <v>77</v>
      </c>
      <c r="P44" s="76"/>
      <c r="Q44" s="76"/>
      <c r="R44" s="76"/>
      <c r="S44" s="76"/>
      <c r="T44" s="76"/>
      <c r="U44" s="76"/>
      <c r="AE44" s="75"/>
      <c r="AF44" s="75"/>
      <c r="AG44" s="75"/>
      <c r="AH44" s="75"/>
      <c r="AI44" s="75"/>
    </row>
    <row r="45" spans="1:35" s="67" customFormat="1">
      <c r="D45" t="s">
        <v>79</v>
      </c>
      <c r="E45" t="s">
        <v>68</v>
      </c>
      <c r="F45" s="435" t="s">
        <v>274</v>
      </c>
      <c r="G45" s="435" t="s">
        <v>12</v>
      </c>
      <c r="H45" t="s">
        <v>77</v>
      </c>
      <c r="I45" t="s">
        <v>1</v>
      </c>
      <c r="J45" t="s">
        <v>78</v>
      </c>
      <c r="K45"/>
      <c r="L45"/>
      <c r="M45"/>
      <c r="N45"/>
      <c r="O45" t="s">
        <v>77</v>
      </c>
      <c r="P45" s="76"/>
      <c r="Q45" s="76"/>
      <c r="R45" s="76"/>
      <c r="S45" s="76"/>
      <c r="T45" s="76"/>
      <c r="U45" s="76"/>
      <c r="V45"/>
      <c r="W45"/>
      <c r="X45"/>
      <c r="Y45"/>
      <c r="Z45"/>
      <c r="AA45"/>
      <c r="AB45"/>
      <c r="AC45"/>
      <c r="AD45"/>
      <c r="AE45" s="75"/>
      <c r="AF45" s="75"/>
      <c r="AG45" s="75"/>
      <c r="AH45" s="75"/>
      <c r="AI45" s="75"/>
    </row>
    <row r="47" spans="1:35" s="73" customFormat="1" ht="18">
      <c r="A47" s="74" t="s">
        <v>76</v>
      </c>
    </row>
  </sheetData>
  <mergeCells count="1">
    <mergeCell ref="AE6:AI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zoomScale="80" zoomScaleNormal="80" workbookViewId="0">
      <pane ySplit="8" topLeftCell="A9" activePane="bottomLeft" state="frozen"/>
      <selection activeCell="F13" sqref="F13"/>
      <selection pane="bottomLeft"/>
    </sheetView>
  </sheetViews>
  <sheetFormatPr defaultRowHeight="14.25"/>
  <cols>
    <col min="1" max="3" width="1.73046875" customWidth="1"/>
    <col min="4" max="4" width="8.1328125" bestFit="1" customWidth="1"/>
    <col min="5" max="5" width="5" bestFit="1" customWidth="1"/>
    <col min="6" max="7" width="5" style="435" customWidth="1"/>
    <col min="8" max="8" width="13.73046875" bestFit="1" customWidth="1"/>
    <col min="9" max="9" width="9.3984375" bestFit="1" customWidth="1"/>
    <col min="10" max="10" width="23.3984375" bestFit="1" customWidth="1"/>
    <col min="11" max="11" width="13.3984375" bestFit="1" customWidth="1"/>
    <col min="12" max="14" width="1.73046875" customWidth="1"/>
    <col min="15" max="15" width="14.86328125" bestFit="1" customWidth="1"/>
    <col min="16" max="17" width="1.73046875" customWidth="1"/>
    <col min="18"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114</v>
      </c>
    </row>
    <row r="6" spans="1:35">
      <c r="AD6" s="435"/>
      <c r="AE6" s="1347" t="s">
        <v>112</v>
      </c>
      <c r="AF6" s="1348"/>
      <c r="AG6" s="1348"/>
      <c r="AH6" s="1348"/>
      <c r="AI6" s="1349"/>
    </row>
    <row r="7" spans="1:35" s="67" customFormat="1">
      <c r="D7" s="87" t="s">
        <v>111</v>
      </c>
      <c r="E7" s="87" t="s">
        <v>68</v>
      </c>
      <c r="F7" s="87" t="s">
        <v>2692</v>
      </c>
      <c r="G7" s="87" t="s">
        <v>2681</v>
      </c>
      <c r="H7" s="87" t="s">
        <v>110</v>
      </c>
      <c r="I7" s="87" t="s">
        <v>109</v>
      </c>
      <c r="J7" s="87" t="s">
        <v>108</v>
      </c>
      <c r="K7" s="87" t="s">
        <v>107</v>
      </c>
      <c r="L7" s="87" t="s">
        <v>106</v>
      </c>
      <c r="M7" s="87" t="s">
        <v>105</v>
      </c>
      <c r="N7" s="87"/>
      <c r="O7" s="87" t="s">
        <v>103</v>
      </c>
      <c r="P7" s="87"/>
      <c r="Q7" s="87"/>
      <c r="R7" s="86" t="s">
        <v>101</v>
      </c>
      <c r="S7" s="86" t="s">
        <v>100</v>
      </c>
      <c r="T7" s="86" t="s">
        <v>99</v>
      </c>
      <c r="U7" s="86" t="s">
        <v>98</v>
      </c>
      <c r="V7" s="86" t="s">
        <v>97</v>
      </c>
      <c r="W7" s="86" t="s">
        <v>96</v>
      </c>
      <c r="X7" s="86" t="s">
        <v>95</v>
      </c>
      <c r="Y7" s="86" t="s">
        <v>94</v>
      </c>
      <c r="Z7" s="86" t="s">
        <v>93</v>
      </c>
      <c r="AA7" s="86" t="s">
        <v>92</v>
      </c>
      <c r="AB7" s="86" t="s">
        <v>91</v>
      </c>
      <c r="AC7" s="67" t="s">
        <v>5</v>
      </c>
      <c r="AE7" s="84">
        <v>2022</v>
      </c>
      <c r="AF7" s="83">
        <v>2023</v>
      </c>
      <c r="AG7" s="83">
        <v>2024</v>
      </c>
      <c r="AH7" s="83">
        <v>2025</v>
      </c>
      <c r="AI7" s="82">
        <v>2026</v>
      </c>
    </row>
    <row r="8" spans="1:35">
      <c r="R8" s="67"/>
      <c r="S8" s="67"/>
      <c r="T8" s="67"/>
      <c r="U8" s="67"/>
    </row>
    <row r="9" spans="1:35" s="1" customFormat="1" ht="17.649999999999999">
      <c r="A9" s="2" t="s">
        <v>87</v>
      </c>
      <c r="B9" s="2"/>
    </row>
    <row r="11" spans="1:35" s="1" customFormat="1" ht="13.9">
      <c r="A11" s="66"/>
      <c r="B11" s="78" t="s">
        <v>2703</v>
      </c>
    </row>
    <row r="13" spans="1:35">
      <c r="D13" t="s">
        <v>79</v>
      </c>
      <c r="E13" t="s">
        <v>68</v>
      </c>
      <c r="F13" s="435" t="s">
        <v>274</v>
      </c>
      <c r="G13" s="435" t="s">
        <v>12</v>
      </c>
      <c r="H13" t="s">
        <v>116</v>
      </c>
      <c r="I13" t="s">
        <v>1</v>
      </c>
      <c r="J13" t="s">
        <v>117</v>
      </c>
      <c r="K13" t="s">
        <v>115</v>
      </c>
      <c r="O13" t="s">
        <v>116</v>
      </c>
      <c r="P13" s="76"/>
      <c r="Q13" s="76"/>
      <c r="R13" s="76"/>
      <c r="S13" s="76"/>
      <c r="T13" s="76"/>
      <c r="U13" s="76"/>
      <c r="AC13" t="s">
        <v>2</v>
      </c>
      <c r="AD13" s="80"/>
      <c r="AE13" s="81"/>
      <c r="AF13" s="81"/>
      <c r="AG13" s="81"/>
      <c r="AH13" s="81"/>
      <c r="AI13" s="81"/>
    </row>
    <row r="14" spans="1:35">
      <c r="D14" t="s">
        <v>79</v>
      </c>
      <c r="E14" t="s">
        <v>68</v>
      </c>
      <c r="F14" s="435" t="s">
        <v>274</v>
      </c>
      <c r="G14" s="435" t="s">
        <v>12</v>
      </c>
      <c r="H14" t="s">
        <v>116</v>
      </c>
      <c r="I14" t="s">
        <v>1</v>
      </c>
      <c r="J14" t="s">
        <v>117</v>
      </c>
      <c r="O14" t="s">
        <v>116</v>
      </c>
      <c r="P14" s="76"/>
      <c r="Q14" s="76"/>
      <c r="R14" s="76"/>
      <c r="S14" s="76"/>
      <c r="T14" s="76"/>
      <c r="U14" s="76"/>
      <c r="AD14" s="80"/>
      <c r="AE14" s="79"/>
      <c r="AF14" s="79"/>
      <c r="AG14" s="79"/>
      <c r="AH14" s="79"/>
      <c r="AI14" s="79"/>
    </row>
    <row r="15" spans="1:35" s="67" customFormat="1">
      <c r="D15" t="s">
        <v>79</v>
      </c>
      <c r="E15" t="s">
        <v>68</v>
      </c>
      <c r="F15" s="435" t="s">
        <v>274</v>
      </c>
      <c r="G15" s="435" t="s">
        <v>12</v>
      </c>
      <c r="H15" t="s">
        <v>116</v>
      </c>
      <c r="I15" t="s">
        <v>1</v>
      </c>
      <c r="J15" t="s">
        <v>117</v>
      </c>
      <c r="K15"/>
      <c r="L15"/>
      <c r="M15"/>
      <c r="N15"/>
      <c r="O15" t="s">
        <v>116</v>
      </c>
      <c r="P15" s="76"/>
      <c r="Q15" s="76"/>
      <c r="R15" s="76"/>
      <c r="S15" s="76"/>
      <c r="T15" s="76"/>
      <c r="U15" s="76"/>
      <c r="V15"/>
      <c r="W15"/>
      <c r="X15"/>
      <c r="Y15"/>
      <c r="Z15"/>
      <c r="AA15"/>
      <c r="AB15"/>
      <c r="AC15"/>
      <c r="AD15" s="80"/>
      <c r="AE15" s="79"/>
      <c r="AF15" s="79"/>
      <c r="AG15" s="79"/>
      <c r="AH15" s="79"/>
      <c r="AI15" s="79"/>
    </row>
    <row r="16" spans="1:35">
      <c r="D16" t="s">
        <v>79</v>
      </c>
      <c r="E16" t="s">
        <v>68</v>
      </c>
      <c r="F16" s="435" t="s">
        <v>274</v>
      </c>
      <c r="G16" s="435" t="s">
        <v>12</v>
      </c>
      <c r="H16" t="s">
        <v>116</v>
      </c>
      <c r="I16" t="s">
        <v>1</v>
      </c>
      <c r="J16" t="s">
        <v>117</v>
      </c>
      <c r="O16" t="s">
        <v>116</v>
      </c>
      <c r="AD16" s="80"/>
      <c r="AE16" s="79"/>
      <c r="AF16" s="79"/>
      <c r="AG16" s="79"/>
      <c r="AH16" s="79"/>
      <c r="AI16" s="79"/>
    </row>
    <row r="18" spans="1:35" s="1" customFormat="1" ht="13.9">
      <c r="A18" s="66"/>
      <c r="B18" s="78" t="s">
        <v>2704</v>
      </c>
    </row>
    <row r="20" spans="1:35">
      <c r="D20" t="s">
        <v>79</v>
      </c>
      <c r="E20" t="s">
        <v>68</v>
      </c>
      <c r="F20" s="435" t="s">
        <v>274</v>
      </c>
      <c r="G20" s="435" t="s">
        <v>12</v>
      </c>
      <c r="H20" t="s">
        <v>116</v>
      </c>
      <c r="I20" t="s">
        <v>1</v>
      </c>
      <c r="J20" t="s">
        <v>117</v>
      </c>
      <c r="K20" t="s">
        <v>119</v>
      </c>
      <c r="O20" t="s">
        <v>116</v>
      </c>
      <c r="P20" s="76"/>
      <c r="Q20" s="76"/>
      <c r="R20" s="76"/>
      <c r="S20" s="76"/>
      <c r="T20" s="76"/>
      <c r="U20" s="76"/>
      <c r="AC20" t="s">
        <v>2</v>
      </c>
      <c r="AD20" s="80"/>
      <c r="AE20" s="81"/>
      <c r="AF20" s="81"/>
      <c r="AG20" s="81"/>
      <c r="AH20" s="81"/>
      <c r="AI20" s="81"/>
    </row>
    <row r="21" spans="1:35">
      <c r="D21" t="s">
        <v>79</v>
      </c>
      <c r="E21" t="s">
        <v>68</v>
      </c>
      <c r="F21" s="435" t="s">
        <v>274</v>
      </c>
      <c r="G21" s="435" t="s">
        <v>12</v>
      </c>
      <c r="H21" t="s">
        <v>116</v>
      </c>
      <c r="I21" t="s">
        <v>1</v>
      </c>
      <c r="J21" t="s">
        <v>117</v>
      </c>
      <c r="O21" t="s">
        <v>116</v>
      </c>
      <c r="P21" s="76"/>
      <c r="Q21" s="76"/>
      <c r="R21" s="76"/>
      <c r="S21" s="76"/>
      <c r="T21" s="76"/>
      <c r="U21" s="76"/>
      <c r="AD21" s="80"/>
      <c r="AE21" s="79"/>
      <c r="AF21" s="79"/>
      <c r="AG21" s="79"/>
      <c r="AH21" s="79"/>
      <c r="AI21" s="79"/>
    </row>
    <row r="22" spans="1:35" s="67" customFormat="1">
      <c r="D22" t="s">
        <v>79</v>
      </c>
      <c r="E22" t="s">
        <v>68</v>
      </c>
      <c r="F22" s="435" t="s">
        <v>274</v>
      </c>
      <c r="G22" s="435" t="s">
        <v>12</v>
      </c>
      <c r="H22" t="s">
        <v>116</v>
      </c>
      <c r="I22" t="s">
        <v>1</v>
      </c>
      <c r="J22" t="s">
        <v>117</v>
      </c>
      <c r="K22"/>
      <c r="L22"/>
      <c r="M22"/>
      <c r="N22"/>
      <c r="O22" t="s">
        <v>116</v>
      </c>
      <c r="P22" s="76"/>
      <c r="Q22" s="76"/>
      <c r="R22" s="76"/>
      <c r="S22" s="76"/>
      <c r="T22" s="76"/>
      <c r="U22" s="76"/>
      <c r="V22"/>
      <c r="W22"/>
      <c r="X22"/>
      <c r="Y22"/>
      <c r="Z22"/>
      <c r="AA22"/>
      <c r="AB22"/>
      <c r="AC22"/>
      <c r="AD22" s="80"/>
      <c r="AE22" s="79"/>
      <c r="AF22" s="79"/>
      <c r="AG22" s="79"/>
      <c r="AH22" s="79"/>
      <c r="AI22" s="79"/>
    </row>
    <row r="23" spans="1:35">
      <c r="D23" t="s">
        <v>79</v>
      </c>
      <c r="E23" t="s">
        <v>68</v>
      </c>
      <c r="F23" s="435" t="s">
        <v>274</v>
      </c>
      <c r="G23" s="435" t="s">
        <v>12</v>
      </c>
      <c r="H23" t="s">
        <v>116</v>
      </c>
      <c r="I23" t="s">
        <v>1</v>
      </c>
      <c r="J23" t="s">
        <v>117</v>
      </c>
      <c r="O23" t="s">
        <v>116</v>
      </c>
      <c r="AD23" s="80"/>
      <c r="AE23" s="79"/>
      <c r="AF23" s="79"/>
      <c r="AG23" s="79"/>
      <c r="AH23" s="79"/>
      <c r="AI23" s="79"/>
    </row>
    <row r="25" spans="1:35" s="1" customFormat="1" ht="17.649999999999999">
      <c r="A25" s="2" t="s">
        <v>86</v>
      </c>
      <c r="B25" s="2"/>
    </row>
    <row r="27" spans="1:35" s="1" customFormat="1" ht="13.9">
      <c r="A27" s="66"/>
      <c r="B27" s="78" t="s">
        <v>2703</v>
      </c>
    </row>
    <row r="29" spans="1:35">
      <c r="D29" t="s">
        <v>79</v>
      </c>
      <c r="E29" t="s">
        <v>68</v>
      </c>
      <c r="F29" s="435" t="s">
        <v>274</v>
      </c>
      <c r="G29" s="435" t="s">
        <v>86</v>
      </c>
      <c r="H29" t="s">
        <v>116</v>
      </c>
      <c r="I29" t="s">
        <v>1</v>
      </c>
      <c r="J29" t="s">
        <v>117</v>
      </c>
      <c r="K29" t="s">
        <v>115</v>
      </c>
      <c r="O29" t="s">
        <v>116</v>
      </c>
      <c r="P29" s="76"/>
      <c r="Q29" s="76"/>
      <c r="R29" s="76"/>
      <c r="S29" s="76"/>
      <c r="T29" s="76"/>
      <c r="U29" s="76"/>
      <c r="AC29" t="s">
        <v>2694</v>
      </c>
      <c r="AE29" s="77"/>
      <c r="AF29" s="77"/>
      <c r="AG29" s="77"/>
      <c r="AH29" s="77"/>
      <c r="AI29" s="77"/>
    </row>
    <row r="30" spans="1:35">
      <c r="D30" t="s">
        <v>79</v>
      </c>
      <c r="E30" t="s">
        <v>68</v>
      </c>
      <c r="F30" s="435" t="s">
        <v>274</v>
      </c>
      <c r="G30" s="435" t="s">
        <v>86</v>
      </c>
      <c r="H30" t="s">
        <v>116</v>
      </c>
      <c r="I30" t="s">
        <v>1</v>
      </c>
      <c r="J30" t="s">
        <v>117</v>
      </c>
      <c r="O30" t="s">
        <v>116</v>
      </c>
      <c r="P30" s="76"/>
      <c r="Q30" s="76"/>
      <c r="R30" s="76"/>
      <c r="S30" s="76"/>
      <c r="T30" s="76"/>
      <c r="U30" s="76"/>
      <c r="AE30" s="75"/>
      <c r="AF30" s="75"/>
      <c r="AG30" s="75"/>
      <c r="AH30" s="75"/>
      <c r="AI30" s="75"/>
    </row>
    <row r="31" spans="1:35" s="67" customFormat="1">
      <c r="D31" t="s">
        <v>79</v>
      </c>
      <c r="E31" t="s">
        <v>68</v>
      </c>
      <c r="F31" s="435" t="s">
        <v>274</v>
      </c>
      <c r="G31" s="435" t="s">
        <v>86</v>
      </c>
      <c r="H31" t="s">
        <v>116</v>
      </c>
      <c r="I31" t="s">
        <v>1</v>
      </c>
      <c r="J31" t="s">
        <v>117</v>
      </c>
      <c r="K31"/>
      <c r="L31"/>
      <c r="M31"/>
      <c r="N31"/>
      <c r="O31" t="s">
        <v>116</v>
      </c>
      <c r="P31" s="76"/>
      <c r="Q31" s="76"/>
      <c r="R31" s="76"/>
      <c r="S31" s="76"/>
      <c r="T31" s="76"/>
      <c r="U31" s="76"/>
      <c r="V31"/>
      <c r="W31"/>
      <c r="X31"/>
      <c r="Y31"/>
      <c r="Z31"/>
      <c r="AA31"/>
      <c r="AB31"/>
      <c r="AC31"/>
      <c r="AD31"/>
      <c r="AE31" s="75"/>
      <c r="AF31" s="75"/>
      <c r="AG31" s="75"/>
      <c r="AH31" s="75"/>
      <c r="AI31" s="75"/>
    </row>
    <row r="32" spans="1:35">
      <c r="D32" t="s">
        <v>79</v>
      </c>
      <c r="E32" t="s">
        <v>68</v>
      </c>
      <c r="F32" s="435" t="s">
        <v>274</v>
      </c>
      <c r="G32" s="435" t="s">
        <v>86</v>
      </c>
      <c r="H32" t="s">
        <v>116</v>
      </c>
      <c r="I32" t="s">
        <v>1</v>
      </c>
      <c r="J32" t="s">
        <v>117</v>
      </c>
      <c r="O32" t="s">
        <v>116</v>
      </c>
      <c r="AE32" s="75"/>
      <c r="AF32" s="75"/>
      <c r="AG32" s="75"/>
      <c r="AH32" s="75"/>
      <c r="AI32" s="75"/>
    </row>
    <row r="34" spans="1:35" s="1" customFormat="1" ht="13.9">
      <c r="A34" s="66"/>
      <c r="B34" s="78" t="s">
        <v>118</v>
      </c>
    </row>
    <row r="36" spans="1:35">
      <c r="D36" t="s">
        <v>79</v>
      </c>
      <c r="E36" t="s">
        <v>68</v>
      </c>
      <c r="F36" s="435" t="s">
        <v>274</v>
      </c>
      <c r="G36" s="435" t="s">
        <v>86</v>
      </c>
      <c r="H36" t="s">
        <v>116</v>
      </c>
      <c r="I36" t="s">
        <v>1</v>
      </c>
      <c r="J36" t="s">
        <v>117</v>
      </c>
      <c r="K36" t="s">
        <v>119</v>
      </c>
      <c r="O36" t="s">
        <v>116</v>
      </c>
      <c r="P36" s="76"/>
      <c r="Q36" s="76"/>
      <c r="R36" s="76"/>
      <c r="S36" s="76"/>
      <c r="T36" s="76"/>
      <c r="U36" s="76"/>
      <c r="AC36" s="435" t="s">
        <v>2694</v>
      </c>
      <c r="AE36" s="77"/>
      <c r="AF36" s="77"/>
      <c r="AG36" s="77"/>
      <c r="AH36" s="77"/>
      <c r="AI36" s="77"/>
    </row>
    <row r="37" spans="1:35">
      <c r="D37" t="s">
        <v>79</v>
      </c>
      <c r="E37" t="s">
        <v>68</v>
      </c>
      <c r="F37" s="435" t="s">
        <v>274</v>
      </c>
      <c r="G37" s="435" t="s">
        <v>86</v>
      </c>
      <c r="H37" t="s">
        <v>116</v>
      </c>
      <c r="I37" t="s">
        <v>1</v>
      </c>
      <c r="J37" t="s">
        <v>117</v>
      </c>
      <c r="O37" t="s">
        <v>116</v>
      </c>
      <c r="P37" s="76"/>
      <c r="Q37" s="76"/>
      <c r="R37" s="76"/>
      <c r="S37" s="76"/>
      <c r="T37" s="76"/>
      <c r="U37" s="76"/>
      <c r="AE37" s="75"/>
      <c r="AF37" s="75"/>
      <c r="AG37" s="75"/>
      <c r="AH37" s="75"/>
      <c r="AI37" s="75"/>
    </row>
    <row r="38" spans="1:35" s="67" customFormat="1">
      <c r="D38" t="s">
        <v>79</v>
      </c>
      <c r="E38" t="s">
        <v>68</v>
      </c>
      <c r="F38" s="435" t="s">
        <v>274</v>
      </c>
      <c r="G38" s="435" t="s">
        <v>86</v>
      </c>
      <c r="H38" t="s">
        <v>116</v>
      </c>
      <c r="I38" t="s">
        <v>1</v>
      </c>
      <c r="J38" t="s">
        <v>117</v>
      </c>
      <c r="K38"/>
      <c r="L38"/>
      <c r="M38"/>
      <c r="N38"/>
      <c r="O38" t="s">
        <v>116</v>
      </c>
      <c r="P38" s="76"/>
      <c r="Q38" s="76"/>
      <c r="R38" s="76"/>
      <c r="S38" s="76"/>
      <c r="T38" s="76"/>
      <c r="U38" s="76"/>
      <c r="V38"/>
      <c r="W38"/>
      <c r="X38"/>
      <c r="Y38"/>
      <c r="Z38"/>
      <c r="AA38"/>
      <c r="AB38"/>
      <c r="AC38"/>
      <c r="AD38"/>
      <c r="AE38" s="75"/>
      <c r="AF38" s="75"/>
      <c r="AG38" s="75"/>
      <c r="AH38" s="75"/>
      <c r="AI38" s="75"/>
    </row>
    <row r="39" spans="1:35">
      <c r="D39" t="s">
        <v>79</v>
      </c>
      <c r="E39" t="s">
        <v>68</v>
      </c>
      <c r="F39" s="435" t="s">
        <v>274</v>
      </c>
      <c r="G39" s="435" t="s">
        <v>86</v>
      </c>
      <c r="H39" t="s">
        <v>116</v>
      </c>
      <c r="I39" t="s">
        <v>1</v>
      </c>
      <c r="J39" t="s">
        <v>117</v>
      </c>
      <c r="O39" t="s">
        <v>116</v>
      </c>
      <c r="AE39" s="75"/>
      <c r="AF39" s="75"/>
      <c r="AG39" s="75"/>
      <c r="AH39" s="75"/>
      <c r="AI39" s="75"/>
    </row>
    <row r="41" spans="1:35" s="73" customFormat="1" ht="18">
      <c r="A41" s="74" t="s">
        <v>76</v>
      </c>
    </row>
  </sheetData>
  <mergeCells count="1">
    <mergeCell ref="AE6:AI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6439-F4E7-4056-A4CE-49DC406035E9}">
  <sheetPr>
    <tabColor theme="9" tint="-0.249977111117893"/>
  </sheetPr>
  <dimension ref="A1:AJ47"/>
  <sheetViews>
    <sheetView zoomScale="80" zoomScaleNormal="80" workbookViewId="0">
      <pane ySplit="8" topLeftCell="A18" activePane="bottomLeft" state="frozen"/>
      <selection activeCell="F13" sqref="F13"/>
      <selection pane="bottomLeft" activeCell="D41" sqref="D41"/>
    </sheetView>
  </sheetViews>
  <sheetFormatPr defaultRowHeight="14.25"/>
  <cols>
    <col min="1" max="3" width="1.73046875" customWidth="1"/>
    <col min="4" max="4" width="8.1328125" bestFit="1" customWidth="1"/>
    <col min="5" max="5" width="5" bestFit="1" customWidth="1"/>
    <col min="6" max="6" width="12.1328125" style="435" bestFit="1" customWidth="1"/>
    <col min="7" max="7" width="11.265625" style="435" bestFit="1" customWidth="1"/>
    <col min="8" max="8" width="13.73046875" bestFit="1" customWidth="1"/>
    <col min="9" max="9" width="9.3984375" bestFit="1" customWidth="1"/>
    <col min="10" max="10" width="23.3984375" bestFit="1" customWidth="1"/>
    <col min="11" max="11" width="13.3984375" bestFit="1" customWidth="1"/>
    <col min="12" max="12" width="24.265625" bestFit="1" customWidth="1"/>
    <col min="14" max="14" width="6" customWidth="1"/>
    <col min="15" max="15" width="14.86328125" bestFit="1" customWidth="1"/>
    <col min="16" max="16" width="15.3984375" customWidth="1"/>
    <col min="17" max="17" width="17.1328125" bestFit="1" customWidth="1"/>
    <col min="18" max="27" width="1.73046875" customWidth="1"/>
    <col min="28" max="28" width="20.3984375" customWidth="1"/>
    <col min="29" max="29" width="5" bestFit="1" customWidth="1"/>
    <col min="30" max="30" width="7.73046875" customWidth="1"/>
  </cols>
  <sheetData>
    <row r="1" spans="1:36" s="73" customFormat="1" ht="23.25">
      <c r="A1" s="89" t="str">
        <f>'1.1 Cover'!A2</f>
        <v>Regulatory Reporting Pack</v>
      </c>
    </row>
    <row r="2" spans="1:36" s="73" customFormat="1" ht="23.25">
      <c r="A2" s="89" t="str">
        <f>'1.1 Cover'!A3</f>
        <v>Price base - 2018/19</v>
      </c>
    </row>
    <row r="3" spans="1:36" s="73" customFormat="1" ht="23.25">
      <c r="A3" s="89" t="str">
        <f>'1.1 Cover'!A4</f>
        <v>Regulatory Year: April 2021 - March 2022</v>
      </c>
    </row>
    <row r="4" spans="1:36" s="73" customFormat="1" ht="23.25">
      <c r="A4" s="89" t="s">
        <v>186</v>
      </c>
    </row>
    <row r="6" spans="1:36">
      <c r="AD6" s="88"/>
      <c r="AE6" s="1347"/>
      <c r="AF6" s="1348"/>
      <c r="AG6" s="1348"/>
      <c r="AH6" s="1348"/>
      <c r="AI6" s="1349"/>
    </row>
    <row r="7" spans="1:36" s="67" customFormat="1">
      <c r="D7" s="87" t="s">
        <v>111</v>
      </c>
      <c r="E7" s="87" t="s">
        <v>68</v>
      </c>
      <c r="F7" s="87" t="s">
        <v>2692</v>
      </c>
      <c r="G7" s="87" t="s">
        <v>2681</v>
      </c>
      <c r="H7" s="87" t="s">
        <v>110</v>
      </c>
      <c r="I7" s="87" t="s">
        <v>109</v>
      </c>
      <c r="J7" s="87" t="s">
        <v>108</v>
      </c>
      <c r="K7" s="87" t="s">
        <v>107</v>
      </c>
      <c r="L7" s="87" t="s">
        <v>106</v>
      </c>
      <c r="M7" s="87" t="s">
        <v>105</v>
      </c>
      <c r="N7" s="87" t="s">
        <v>104</v>
      </c>
      <c r="O7" s="87" t="s">
        <v>103</v>
      </c>
      <c r="P7" s="87" t="s">
        <v>102</v>
      </c>
      <c r="Q7" s="87" t="s">
        <v>71</v>
      </c>
      <c r="R7" s="86" t="s">
        <v>101</v>
      </c>
      <c r="S7" s="86" t="s">
        <v>100</v>
      </c>
      <c r="T7" s="86" t="s">
        <v>99</v>
      </c>
      <c r="U7" s="86" t="s">
        <v>98</v>
      </c>
      <c r="V7" s="86" t="s">
        <v>97</v>
      </c>
      <c r="W7" s="86" t="s">
        <v>96</v>
      </c>
      <c r="X7" s="86" t="s">
        <v>95</v>
      </c>
      <c r="Y7" s="86" t="s">
        <v>94</v>
      </c>
      <c r="Z7" s="86" t="s">
        <v>93</v>
      </c>
      <c r="AA7" s="86" t="s">
        <v>92</v>
      </c>
      <c r="AB7" s="86" t="s">
        <v>91</v>
      </c>
      <c r="AC7" s="67" t="s">
        <v>5</v>
      </c>
      <c r="AD7" s="85"/>
      <c r="AE7" s="84">
        <v>2020</v>
      </c>
      <c r="AF7" s="84">
        <v>2020</v>
      </c>
      <c r="AG7" s="84">
        <v>2020</v>
      </c>
      <c r="AH7" s="84">
        <v>2020</v>
      </c>
      <c r="AI7" s="84">
        <v>2020</v>
      </c>
    </row>
    <row r="8" spans="1:36">
      <c r="R8" s="67"/>
      <c r="S8" s="67"/>
      <c r="T8" s="67"/>
      <c r="U8" s="67"/>
      <c r="AB8" s="67" t="s">
        <v>190</v>
      </c>
      <c r="AE8" t="s">
        <v>191</v>
      </c>
      <c r="AF8" t="s">
        <v>192</v>
      </c>
      <c r="AG8" t="s">
        <v>193</v>
      </c>
      <c r="AH8" t="s">
        <v>194</v>
      </c>
      <c r="AI8" t="s">
        <v>195</v>
      </c>
      <c r="AJ8" t="s">
        <v>2706</v>
      </c>
    </row>
    <row r="9" spans="1:36" s="1" customFormat="1" ht="17.649999999999999">
      <c r="A9" s="2" t="s">
        <v>87</v>
      </c>
      <c r="B9" s="2"/>
    </row>
    <row r="11" spans="1:36" s="1" customFormat="1" ht="13.9">
      <c r="A11" s="66"/>
      <c r="B11" s="78" t="s">
        <v>187</v>
      </c>
    </row>
    <row r="13" spans="1:36">
      <c r="D13" t="s">
        <v>79</v>
      </c>
      <c r="E13" t="s">
        <v>1869</v>
      </c>
      <c r="F13" s="435" t="s">
        <v>274</v>
      </c>
      <c r="G13" s="435" t="s">
        <v>12</v>
      </c>
      <c r="H13" t="s">
        <v>188</v>
      </c>
      <c r="K13" t="s">
        <v>187</v>
      </c>
      <c r="P13" s="76"/>
      <c r="Q13" s="76"/>
      <c r="R13" s="76"/>
      <c r="S13" s="76"/>
      <c r="T13" s="76"/>
      <c r="U13" s="76"/>
      <c r="AB13" s="81"/>
      <c r="AC13" t="s">
        <v>2</v>
      </c>
      <c r="AD13" s="80"/>
      <c r="AE13" s="81"/>
      <c r="AF13" s="81"/>
      <c r="AG13" s="81"/>
      <c r="AH13" s="81"/>
      <c r="AI13" s="81"/>
    </row>
    <row r="14" spans="1:36">
      <c r="D14" t="s">
        <v>79</v>
      </c>
      <c r="E14" s="435" t="s">
        <v>1869</v>
      </c>
      <c r="F14" s="435" t="s">
        <v>274</v>
      </c>
      <c r="G14" s="435" t="s">
        <v>12</v>
      </c>
      <c r="H14" t="s">
        <v>188</v>
      </c>
      <c r="K14" t="s">
        <v>187</v>
      </c>
      <c r="P14" s="76"/>
      <c r="Q14" s="76"/>
      <c r="R14" s="76"/>
      <c r="S14" s="76"/>
      <c r="T14" s="76"/>
      <c r="U14" s="76"/>
      <c r="AC14" t="s">
        <v>2</v>
      </c>
      <c r="AD14" s="80"/>
      <c r="AE14" s="81"/>
      <c r="AF14" s="81"/>
      <c r="AG14" s="81"/>
      <c r="AH14" s="81"/>
      <c r="AI14" s="81"/>
    </row>
    <row r="15" spans="1:36">
      <c r="D15" t="s">
        <v>79</v>
      </c>
      <c r="E15" s="435" t="s">
        <v>1869</v>
      </c>
      <c r="F15" s="435" t="s">
        <v>274</v>
      </c>
      <c r="G15" s="435" t="s">
        <v>12</v>
      </c>
      <c r="H15" t="s">
        <v>188</v>
      </c>
      <c r="K15" t="s">
        <v>187</v>
      </c>
      <c r="P15" s="76"/>
      <c r="Q15" s="76"/>
      <c r="R15" s="76"/>
      <c r="S15" s="76"/>
      <c r="T15" s="76"/>
      <c r="U15" s="76"/>
      <c r="AC15" t="s">
        <v>2</v>
      </c>
      <c r="AD15" s="80"/>
      <c r="AE15" s="93">
        <f>AE13-AE14</f>
        <v>0</v>
      </c>
      <c r="AF15" s="93">
        <f t="shared" ref="AF15:AI15" si="0">AF13-AF14</f>
        <v>0</v>
      </c>
      <c r="AG15" s="93">
        <f t="shared" si="0"/>
        <v>0</v>
      </c>
      <c r="AH15" s="93">
        <f t="shared" si="0"/>
        <v>0</v>
      </c>
      <c r="AI15" s="93">
        <f t="shared" si="0"/>
        <v>0</v>
      </c>
    </row>
    <row r="16" spans="1:36">
      <c r="D16" t="s">
        <v>79</v>
      </c>
      <c r="E16" s="435" t="s">
        <v>1869</v>
      </c>
      <c r="F16" s="435" t="s">
        <v>274</v>
      </c>
      <c r="G16" s="435" t="s">
        <v>12</v>
      </c>
      <c r="H16" t="s">
        <v>188</v>
      </c>
      <c r="K16" t="s">
        <v>187</v>
      </c>
      <c r="P16" s="76"/>
      <c r="Q16" s="76"/>
      <c r="R16" s="76"/>
      <c r="S16" s="76"/>
      <c r="T16" s="76"/>
      <c r="U16" s="76"/>
      <c r="AB16" s="81"/>
      <c r="AC16" t="s">
        <v>2</v>
      </c>
      <c r="AD16" s="80"/>
      <c r="AE16" s="81"/>
      <c r="AF16" s="81"/>
      <c r="AG16" s="81"/>
      <c r="AH16" s="81"/>
      <c r="AI16" s="81"/>
    </row>
    <row r="17" spans="1:35">
      <c r="D17" t="s">
        <v>79</v>
      </c>
      <c r="E17" s="435" t="s">
        <v>1869</v>
      </c>
      <c r="F17" s="435" t="s">
        <v>274</v>
      </c>
      <c r="G17" s="435" t="s">
        <v>12</v>
      </c>
      <c r="H17" t="s">
        <v>188</v>
      </c>
      <c r="K17" t="s">
        <v>187</v>
      </c>
      <c r="P17" s="76"/>
      <c r="Q17" s="76"/>
      <c r="R17" s="76"/>
      <c r="S17" s="76"/>
      <c r="T17" s="76"/>
      <c r="U17" s="76"/>
      <c r="AC17" t="s">
        <v>2</v>
      </c>
      <c r="AD17" s="80"/>
      <c r="AE17" s="81"/>
      <c r="AF17" s="81"/>
      <c r="AG17" s="81"/>
      <c r="AH17" s="81"/>
      <c r="AI17" s="81"/>
    </row>
    <row r="18" spans="1:35">
      <c r="D18" t="s">
        <v>79</v>
      </c>
      <c r="E18" s="435" t="s">
        <v>1869</v>
      </c>
      <c r="F18" s="435" t="s">
        <v>274</v>
      </c>
      <c r="G18" s="435" t="s">
        <v>12</v>
      </c>
      <c r="H18" t="s">
        <v>188</v>
      </c>
      <c r="K18" t="s">
        <v>187</v>
      </c>
      <c r="P18" s="76"/>
      <c r="Q18" s="76"/>
      <c r="R18" s="76"/>
      <c r="S18" s="76"/>
      <c r="T18" s="76"/>
      <c r="U18" s="76"/>
      <c r="AC18" t="s">
        <v>2</v>
      </c>
      <c r="AD18" s="80"/>
      <c r="AE18" s="93">
        <f>AE16-AE17</f>
        <v>0</v>
      </c>
      <c r="AF18" s="93">
        <f t="shared" ref="AF18" si="1">AF16-AF17</f>
        <v>0</v>
      </c>
      <c r="AG18" s="93">
        <f t="shared" ref="AG18" si="2">AG16-AG17</f>
        <v>0</v>
      </c>
      <c r="AH18" s="93">
        <f t="shared" ref="AH18" si="3">AH16-AH17</f>
        <v>0</v>
      </c>
      <c r="AI18" s="93">
        <f t="shared" ref="AI18" si="4">AI16-AI17</f>
        <v>0</v>
      </c>
    </row>
    <row r="19" spans="1:35">
      <c r="D19" t="s">
        <v>79</v>
      </c>
      <c r="E19" s="435" t="s">
        <v>1869</v>
      </c>
      <c r="F19" s="435" t="s">
        <v>274</v>
      </c>
      <c r="G19" s="435" t="s">
        <v>12</v>
      </c>
      <c r="H19" t="s">
        <v>188</v>
      </c>
      <c r="K19" t="s">
        <v>187</v>
      </c>
      <c r="P19" s="76"/>
      <c r="Q19" s="76"/>
      <c r="R19" s="76"/>
      <c r="S19" s="76"/>
      <c r="T19" s="76"/>
      <c r="U19" s="76"/>
      <c r="AB19" s="81"/>
      <c r="AC19" t="s">
        <v>2</v>
      </c>
      <c r="AD19" s="80"/>
      <c r="AE19" s="81"/>
      <c r="AF19" s="81"/>
      <c r="AG19" s="81"/>
      <c r="AH19" s="81"/>
      <c r="AI19" s="81"/>
    </row>
    <row r="20" spans="1:35">
      <c r="D20" t="s">
        <v>79</v>
      </c>
      <c r="E20" s="435" t="s">
        <v>1869</v>
      </c>
      <c r="F20" s="435" t="s">
        <v>274</v>
      </c>
      <c r="G20" s="435" t="s">
        <v>12</v>
      </c>
      <c r="H20" t="s">
        <v>188</v>
      </c>
      <c r="K20" t="s">
        <v>187</v>
      </c>
      <c r="P20" s="76"/>
      <c r="Q20" s="76"/>
      <c r="R20" s="76"/>
      <c r="S20" s="76"/>
      <c r="T20" s="76"/>
      <c r="U20" s="76"/>
      <c r="AC20" t="s">
        <v>2</v>
      </c>
      <c r="AD20" s="80"/>
      <c r="AE20" s="81"/>
      <c r="AF20" s="81"/>
      <c r="AG20" s="81"/>
      <c r="AH20" s="81"/>
      <c r="AI20" s="81"/>
    </row>
    <row r="21" spans="1:35">
      <c r="D21" t="s">
        <v>79</v>
      </c>
      <c r="E21" s="435" t="s">
        <v>1869</v>
      </c>
      <c r="F21" s="435" t="s">
        <v>274</v>
      </c>
      <c r="G21" s="435" t="s">
        <v>12</v>
      </c>
      <c r="H21" t="s">
        <v>188</v>
      </c>
      <c r="K21" t="s">
        <v>187</v>
      </c>
      <c r="P21" s="76"/>
      <c r="Q21" s="76"/>
      <c r="R21" s="76"/>
      <c r="S21" s="76"/>
      <c r="T21" s="76"/>
      <c r="U21" s="76"/>
      <c r="AC21" t="s">
        <v>2</v>
      </c>
      <c r="AD21" s="80"/>
      <c r="AE21" s="93">
        <f>AE19-AE20</f>
        <v>0</v>
      </c>
      <c r="AF21" s="93">
        <f t="shared" ref="AF21" si="5">AF19-AF20</f>
        <v>0</v>
      </c>
      <c r="AG21" s="93">
        <f t="shared" ref="AG21" si="6">AG19-AG20</f>
        <v>0</v>
      </c>
      <c r="AH21" s="93">
        <f t="shared" ref="AH21" si="7">AH19-AH20</f>
        <v>0</v>
      </c>
      <c r="AI21" s="93">
        <f t="shared" ref="AI21" si="8">AI19-AI20</f>
        <v>0</v>
      </c>
    </row>
    <row r="22" spans="1:35">
      <c r="D22" t="s">
        <v>79</v>
      </c>
      <c r="E22" s="435" t="s">
        <v>1869</v>
      </c>
      <c r="F22" s="435" t="s">
        <v>274</v>
      </c>
      <c r="G22" s="435" t="s">
        <v>12</v>
      </c>
      <c r="H22" t="s">
        <v>188</v>
      </c>
      <c r="K22" t="s">
        <v>187</v>
      </c>
      <c r="P22" s="76"/>
      <c r="Q22" s="76"/>
      <c r="R22" s="76"/>
      <c r="S22" s="76"/>
      <c r="T22" s="76"/>
      <c r="U22" s="76"/>
      <c r="AB22" s="81"/>
      <c r="AC22" t="s">
        <v>2</v>
      </c>
      <c r="AD22" s="80"/>
      <c r="AE22" s="81"/>
      <c r="AF22" s="81"/>
      <c r="AG22" s="81"/>
      <c r="AH22" s="81"/>
      <c r="AI22" s="81"/>
    </row>
    <row r="23" spans="1:35">
      <c r="D23" t="s">
        <v>79</v>
      </c>
      <c r="E23" s="435" t="s">
        <v>1869</v>
      </c>
      <c r="F23" s="435" t="s">
        <v>274</v>
      </c>
      <c r="G23" s="435" t="s">
        <v>12</v>
      </c>
      <c r="H23" t="s">
        <v>188</v>
      </c>
      <c r="K23" t="s">
        <v>187</v>
      </c>
      <c r="P23" s="76"/>
      <c r="Q23" s="76"/>
      <c r="R23" s="76"/>
      <c r="S23" s="76"/>
      <c r="T23" s="76"/>
      <c r="U23" s="76"/>
      <c r="AC23" t="s">
        <v>2</v>
      </c>
      <c r="AD23" s="80"/>
      <c r="AE23" s="81"/>
      <c r="AF23" s="81"/>
      <c r="AG23" s="81"/>
      <c r="AH23" s="81"/>
      <c r="AI23" s="81"/>
    </row>
    <row r="24" spans="1:35">
      <c r="D24" t="s">
        <v>79</v>
      </c>
      <c r="E24" s="435" t="s">
        <v>1869</v>
      </c>
      <c r="F24" s="435" t="s">
        <v>274</v>
      </c>
      <c r="G24" s="435" t="s">
        <v>12</v>
      </c>
      <c r="H24" t="s">
        <v>188</v>
      </c>
      <c r="K24" t="s">
        <v>187</v>
      </c>
      <c r="P24" s="76"/>
      <c r="Q24" s="76"/>
      <c r="R24" s="76"/>
      <c r="S24" s="76"/>
      <c r="T24" s="76"/>
      <c r="U24" s="76"/>
      <c r="AC24" t="s">
        <v>2</v>
      </c>
      <c r="AD24" s="80"/>
      <c r="AE24" s="93">
        <f>AE22-AE23</f>
        <v>0</v>
      </c>
      <c r="AF24" s="93">
        <f t="shared" ref="AF24" si="9">AF22-AF23</f>
        <v>0</v>
      </c>
      <c r="AG24" s="93">
        <f t="shared" ref="AG24" si="10">AG22-AG23</f>
        <v>0</v>
      </c>
      <c r="AH24" s="93">
        <f t="shared" ref="AH24" si="11">AH22-AH23</f>
        <v>0</v>
      </c>
      <c r="AI24" s="93">
        <f t="shared" ref="AI24" si="12">AI22-AI23</f>
        <v>0</v>
      </c>
    </row>
    <row r="25" spans="1:35">
      <c r="D25" t="s">
        <v>79</v>
      </c>
      <c r="E25" s="435" t="s">
        <v>1869</v>
      </c>
      <c r="F25" s="435" t="s">
        <v>274</v>
      </c>
      <c r="G25" s="435" t="s">
        <v>12</v>
      </c>
      <c r="H25" t="s">
        <v>188</v>
      </c>
      <c r="K25" t="s">
        <v>187</v>
      </c>
      <c r="P25" s="76"/>
      <c r="Q25" s="76"/>
      <c r="R25" s="76"/>
      <c r="S25" s="76"/>
      <c r="T25" s="76"/>
      <c r="U25" s="76"/>
      <c r="AB25" s="81"/>
      <c r="AC25" t="s">
        <v>2</v>
      </c>
      <c r="AD25" s="80"/>
      <c r="AE25" s="81"/>
      <c r="AF25" s="81"/>
      <c r="AG25" s="81"/>
      <c r="AH25" s="81"/>
      <c r="AI25" s="81"/>
    </row>
    <row r="26" spans="1:35" s="67" customFormat="1">
      <c r="D26" t="s">
        <v>79</v>
      </c>
      <c r="E26" s="435" t="s">
        <v>1869</v>
      </c>
      <c r="F26" s="435" t="s">
        <v>274</v>
      </c>
      <c r="G26" s="435" t="s">
        <v>12</v>
      </c>
      <c r="H26" t="s">
        <v>188</v>
      </c>
      <c r="I26"/>
      <c r="J26"/>
      <c r="K26" t="s">
        <v>187</v>
      </c>
      <c r="L26"/>
      <c r="M26"/>
      <c r="N26"/>
      <c r="O26"/>
      <c r="P26" s="76"/>
      <c r="Q26" s="76"/>
      <c r="R26" s="76"/>
      <c r="S26" s="76"/>
      <c r="T26" s="76"/>
      <c r="U26" s="76"/>
      <c r="V26"/>
      <c r="W26"/>
      <c r="X26"/>
      <c r="Y26"/>
      <c r="Z26"/>
      <c r="AA26"/>
      <c r="AB26"/>
      <c r="AC26" t="s">
        <v>2</v>
      </c>
      <c r="AD26" s="80"/>
      <c r="AE26" s="81"/>
      <c r="AF26" s="81"/>
      <c r="AG26" s="81"/>
      <c r="AH26" s="81"/>
      <c r="AI26" s="81"/>
    </row>
    <row r="27" spans="1:35">
      <c r="D27" t="s">
        <v>79</v>
      </c>
      <c r="E27" s="435" t="s">
        <v>1869</v>
      </c>
      <c r="F27" s="435" t="s">
        <v>274</v>
      </c>
      <c r="G27" s="435" t="s">
        <v>12</v>
      </c>
      <c r="H27" t="s">
        <v>188</v>
      </c>
      <c r="K27" t="s">
        <v>187</v>
      </c>
      <c r="AC27" t="s">
        <v>2</v>
      </c>
      <c r="AD27" s="80"/>
      <c r="AE27" s="93">
        <f>AE25-AE26</f>
        <v>0</v>
      </c>
      <c r="AF27" s="93">
        <f t="shared" ref="AF27" si="13">AF25-AF26</f>
        <v>0</v>
      </c>
      <c r="AG27" s="93">
        <f t="shared" ref="AG27" si="14">AG25-AG26</f>
        <v>0</v>
      </c>
      <c r="AH27" s="93">
        <f t="shared" ref="AH27" si="15">AH25-AH26</f>
        <v>0</v>
      </c>
      <c r="AI27" s="93">
        <f t="shared" ref="AI27" si="16">AI25-AI26</f>
        <v>0</v>
      </c>
    </row>
    <row r="29" spans="1:35" s="1" customFormat="1" ht="13.9">
      <c r="A29" s="66"/>
      <c r="B29" s="78" t="s">
        <v>2705</v>
      </c>
    </row>
    <row r="31" spans="1:35">
      <c r="D31" t="s">
        <v>79</v>
      </c>
      <c r="E31" s="435" t="s">
        <v>1869</v>
      </c>
      <c r="F31" s="435" t="s">
        <v>274</v>
      </c>
      <c r="G31" s="435" t="s">
        <v>12</v>
      </c>
      <c r="H31" t="s">
        <v>188</v>
      </c>
      <c r="K31" t="s">
        <v>189</v>
      </c>
      <c r="AB31" s="81"/>
      <c r="AC31" t="s">
        <v>2</v>
      </c>
      <c r="AD31" s="80"/>
      <c r="AE31" s="81"/>
      <c r="AF31" s="81"/>
      <c r="AG31" s="81"/>
      <c r="AH31" s="81"/>
      <c r="AI31" s="81"/>
    </row>
    <row r="32" spans="1:35">
      <c r="D32" t="s">
        <v>79</v>
      </c>
      <c r="E32" s="435" t="s">
        <v>1869</v>
      </c>
      <c r="F32" s="435" t="s">
        <v>274</v>
      </c>
      <c r="G32" s="435" t="s">
        <v>12</v>
      </c>
      <c r="H32" t="s">
        <v>188</v>
      </c>
      <c r="K32" t="s">
        <v>189</v>
      </c>
      <c r="AC32" t="s">
        <v>2</v>
      </c>
      <c r="AD32" s="80"/>
      <c r="AE32" s="81"/>
      <c r="AF32" s="81"/>
      <c r="AG32" s="81"/>
      <c r="AH32" s="81"/>
      <c r="AI32" s="81"/>
    </row>
    <row r="33" spans="1:35">
      <c r="D33" t="s">
        <v>79</v>
      </c>
      <c r="E33" s="435" t="s">
        <v>1869</v>
      </c>
      <c r="F33" s="435" t="s">
        <v>274</v>
      </c>
      <c r="G33" s="435" t="s">
        <v>12</v>
      </c>
      <c r="H33" t="s">
        <v>188</v>
      </c>
      <c r="K33" t="s">
        <v>189</v>
      </c>
      <c r="AC33" t="s">
        <v>2</v>
      </c>
      <c r="AD33" s="80"/>
      <c r="AE33" s="93">
        <f>AE31-AE32</f>
        <v>0</v>
      </c>
      <c r="AF33" s="93">
        <f t="shared" ref="AF33" si="17">AF31-AF32</f>
        <v>0</v>
      </c>
      <c r="AG33" s="93">
        <f t="shared" ref="AG33" si="18">AG31-AG32</f>
        <v>0</v>
      </c>
      <c r="AH33" s="93">
        <f t="shared" ref="AH33" si="19">AH31-AH32</f>
        <v>0</v>
      </c>
      <c r="AI33" s="93">
        <f t="shared" ref="AI33" si="20">AI31-AI32</f>
        <v>0</v>
      </c>
    </row>
    <row r="34" spans="1:35">
      <c r="D34" t="s">
        <v>79</v>
      </c>
      <c r="E34" s="435" t="s">
        <v>1869</v>
      </c>
      <c r="F34" s="435" t="s">
        <v>274</v>
      </c>
      <c r="G34" s="435" t="s">
        <v>12</v>
      </c>
      <c r="H34" t="s">
        <v>188</v>
      </c>
      <c r="K34" t="s">
        <v>189</v>
      </c>
      <c r="AB34" s="81"/>
      <c r="AC34" t="s">
        <v>2</v>
      </c>
      <c r="AD34" s="80"/>
      <c r="AE34" s="81"/>
      <c r="AF34" s="81"/>
      <c r="AG34" s="81"/>
      <c r="AH34" s="81"/>
      <c r="AI34" s="81"/>
    </row>
    <row r="35" spans="1:35">
      <c r="D35" t="s">
        <v>79</v>
      </c>
      <c r="E35" s="435" t="s">
        <v>1869</v>
      </c>
      <c r="F35" s="435" t="s">
        <v>274</v>
      </c>
      <c r="G35" s="435" t="s">
        <v>12</v>
      </c>
      <c r="H35" t="s">
        <v>188</v>
      </c>
      <c r="K35" t="s">
        <v>189</v>
      </c>
      <c r="AC35" t="s">
        <v>2</v>
      </c>
      <c r="AD35" s="80"/>
      <c r="AE35" s="81"/>
      <c r="AF35" s="81"/>
      <c r="AG35" s="81"/>
      <c r="AH35" s="81"/>
      <c r="AI35" s="81"/>
    </row>
    <row r="36" spans="1:35">
      <c r="D36" t="s">
        <v>79</v>
      </c>
      <c r="E36" s="435" t="s">
        <v>1869</v>
      </c>
      <c r="F36" s="435" t="s">
        <v>274</v>
      </c>
      <c r="G36" s="435" t="s">
        <v>12</v>
      </c>
      <c r="H36" t="s">
        <v>188</v>
      </c>
      <c r="K36" t="s">
        <v>189</v>
      </c>
      <c r="AC36" t="s">
        <v>2</v>
      </c>
      <c r="AD36" s="80"/>
      <c r="AE36" s="93">
        <f>AE34-AE35</f>
        <v>0</v>
      </c>
      <c r="AF36" s="93">
        <f t="shared" ref="AF36" si="21">AF34-AF35</f>
        <v>0</v>
      </c>
      <c r="AG36" s="93">
        <f t="shared" ref="AG36" si="22">AG34-AG35</f>
        <v>0</v>
      </c>
      <c r="AH36" s="93">
        <f t="shared" ref="AH36" si="23">AH34-AH35</f>
        <v>0</v>
      </c>
      <c r="AI36" s="93">
        <f t="shared" ref="AI36" si="24">AI34-AI35</f>
        <v>0</v>
      </c>
    </row>
    <row r="37" spans="1:35">
      <c r="D37" t="s">
        <v>79</v>
      </c>
      <c r="E37" s="435" t="s">
        <v>1869</v>
      </c>
      <c r="F37" s="435" t="s">
        <v>274</v>
      </c>
      <c r="G37" s="435" t="s">
        <v>12</v>
      </c>
      <c r="H37" t="s">
        <v>188</v>
      </c>
      <c r="K37" t="s">
        <v>189</v>
      </c>
      <c r="AB37" s="81"/>
      <c r="AC37" t="s">
        <v>2</v>
      </c>
      <c r="AD37" s="80"/>
      <c r="AE37" s="81"/>
      <c r="AF37" s="81"/>
      <c r="AG37" s="81"/>
      <c r="AH37" s="81"/>
      <c r="AI37" s="81"/>
    </row>
    <row r="38" spans="1:35">
      <c r="D38" t="s">
        <v>79</v>
      </c>
      <c r="E38" s="435" t="s">
        <v>1869</v>
      </c>
      <c r="F38" s="435" t="s">
        <v>274</v>
      </c>
      <c r="G38" s="435" t="s">
        <v>12</v>
      </c>
      <c r="H38" t="s">
        <v>188</v>
      </c>
      <c r="K38" t="s">
        <v>189</v>
      </c>
      <c r="AC38" t="s">
        <v>2</v>
      </c>
      <c r="AD38" s="80"/>
      <c r="AE38" s="81"/>
      <c r="AF38" s="81"/>
      <c r="AG38" s="81"/>
      <c r="AH38" s="81"/>
      <c r="AI38" s="81"/>
    </row>
    <row r="39" spans="1:35">
      <c r="D39" t="s">
        <v>79</v>
      </c>
      <c r="E39" s="435" t="s">
        <v>1869</v>
      </c>
      <c r="F39" s="435" t="s">
        <v>274</v>
      </c>
      <c r="G39" s="435" t="s">
        <v>12</v>
      </c>
      <c r="H39" t="s">
        <v>188</v>
      </c>
      <c r="K39" t="s">
        <v>189</v>
      </c>
      <c r="AC39" t="s">
        <v>2</v>
      </c>
      <c r="AD39" s="80"/>
      <c r="AE39" s="93">
        <f>AE37-AE38</f>
        <v>0</v>
      </c>
      <c r="AF39" s="93">
        <f t="shared" ref="AF39" si="25">AF37-AF38</f>
        <v>0</v>
      </c>
      <c r="AG39" s="93">
        <f t="shared" ref="AG39" si="26">AG37-AG38</f>
        <v>0</v>
      </c>
      <c r="AH39" s="93">
        <f t="shared" ref="AH39" si="27">AH37-AH38</f>
        <v>0</v>
      </c>
      <c r="AI39" s="93">
        <f t="shared" ref="AI39" si="28">AI37-AI38</f>
        <v>0</v>
      </c>
    </row>
    <row r="40" spans="1:35">
      <c r="D40" t="s">
        <v>79</v>
      </c>
      <c r="E40" s="435" t="s">
        <v>1869</v>
      </c>
      <c r="F40" s="435" t="s">
        <v>274</v>
      </c>
      <c r="G40" s="435" t="s">
        <v>12</v>
      </c>
      <c r="H40" t="s">
        <v>188</v>
      </c>
      <c r="K40" t="s">
        <v>189</v>
      </c>
      <c r="AB40" s="81"/>
      <c r="AC40" t="s">
        <v>2</v>
      </c>
      <c r="AD40" s="80"/>
      <c r="AE40" s="81"/>
      <c r="AF40" s="81"/>
      <c r="AG40" s="81"/>
      <c r="AH40" s="81"/>
      <c r="AI40" s="81"/>
    </row>
    <row r="41" spans="1:35">
      <c r="D41" t="s">
        <v>79</v>
      </c>
      <c r="E41" s="435" t="s">
        <v>1869</v>
      </c>
      <c r="F41" s="435" t="s">
        <v>274</v>
      </c>
      <c r="G41" s="435" t="s">
        <v>12</v>
      </c>
      <c r="H41" t="s">
        <v>188</v>
      </c>
      <c r="K41" t="s">
        <v>189</v>
      </c>
      <c r="AC41" t="s">
        <v>2</v>
      </c>
      <c r="AD41" s="80"/>
      <c r="AE41" s="81"/>
      <c r="AF41" s="81"/>
      <c r="AG41" s="81"/>
      <c r="AH41" s="81"/>
      <c r="AI41" s="81"/>
    </row>
    <row r="42" spans="1:35">
      <c r="D42" t="s">
        <v>79</v>
      </c>
      <c r="E42" s="435" t="s">
        <v>1869</v>
      </c>
      <c r="F42" s="435" t="s">
        <v>274</v>
      </c>
      <c r="G42" s="435" t="s">
        <v>12</v>
      </c>
      <c r="H42" t="s">
        <v>188</v>
      </c>
      <c r="K42" t="s">
        <v>189</v>
      </c>
      <c r="AC42" t="s">
        <v>2</v>
      </c>
      <c r="AD42" s="80"/>
      <c r="AE42" s="93">
        <f>AE40-AE41</f>
        <v>0</v>
      </c>
      <c r="AF42" s="93">
        <f t="shared" ref="AF42" si="29">AF40-AF41</f>
        <v>0</v>
      </c>
      <c r="AG42" s="93">
        <f t="shared" ref="AG42" si="30">AG40-AG41</f>
        <v>0</v>
      </c>
      <c r="AH42" s="93">
        <f t="shared" ref="AH42" si="31">AH40-AH41</f>
        <v>0</v>
      </c>
      <c r="AI42" s="93">
        <f t="shared" ref="AI42" si="32">AI40-AI41</f>
        <v>0</v>
      </c>
    </row>
    <row r="43" spans="1:35">
      <c r="D43" t="s">
        <v>79</v>
      </c>
      <c r="E43" s="435" t="s">
        <v>1869</v>
      </c>
      <c r="F43" s="435" t="s">
        <v>274</v>
      </c>
      <c r="G43" s="435" t="s">
        <v>12</v>
      </c>
      <c r="H43" t="s">
        <v>188</v>
      </c>
      <c r="K43" t="s">
        <v>189</v>
      </c>
      <c r="AB43" s="81"/>
      <c r="AC43" t="s">
        <v>2</v>
      </c>
      <c r="AD43" s="80"/>
      <c r="AE43" s="81"/>
      <c r="AF43" s="81"/>
      <c r="AG43" s="81"/>
      <c r="AH43" s="81"/>
      <c r="AI43" s="81"/>
    </row>
    <row r="44" spans="1:35">
      <c r="D44" t="s">
        <v>79</v>
      </c>
      <c r="E44" s="435" t="s">
        <v>1869</v>
      </c>
      <c r="F44" s="435" t="s">
        <v>274</v>
      </c>
      <c r="G44" s="435" t="s">
        <v>12</v>
      </c>
      <c r="H44" t="s">
        <v>188</v>
      </c>
      <c r="K44" t="s">
        <v>189</v>
      </c>
      <c r="AC44" t="s">
        <v>2</v>
      </c>
      <c r="AD44" s="80"/>
      <c r="AE44" s="81"/>
      <c r="AF44" s="81"/>
      <c r="AG44" s="81"/>
      <c r="AH44" s="81"/>
      <c r="AI44" s="81"/>
    </row>
    <row r="45" spans="1:35">
      <c r="D45" t="s">
        <v>79</v>
      </c>
      <c r="E45" s="435" t="s">
        <v>1869</v>
      </c>
      <c r="F45" s="435" t="s">
        <v>274</v>
      </c>
      <c r="G45" s="435" t="s">
        <v>12</v>
      </c>
      <c r="H45" t="s">
        <v>188</v>
      </c>
      <c r="K45" t="s">
        <v>189</v>
      </c>
      <c r="P45" s="76"/>
      <c r="Q45" s="76"/>
      <c r="R45" s="76"/>
      <c r="S45" s="76"/>
      <c r="T45" s="76"/>
      <c r="U45" s="76"/>
      <c r="AC45" t="s">
        <v>2</v>
      </c>
      <c r="AD45" s="80"/>
      <c r="AE45" s="93">
        <f>AE43-AE44</f>
        <v>0</v>
      </c>
      <c r="AF45" s="93">
        <f t="shared" ref="AF45" si="33">AF43-AF44</f>
        <v>0</v>
      </c>
      <c r="AG45" s="93">
        <f t="shared" ref="AG45" si="34">AG43-AG44</f>
        <v>0</v>
      </c>
      <c r="AH45" s="93">
        <f t="shared" ref="AH45" si="35">AH43-AH44</f>
        <v>0</v>
      </c>
      <c r="AI45" s="93">
        <f t="shared" ref="AI45" si="36">AI43-AI44</f>
        <v>0</v>
      </c>
    </row>
    <row r="47" spans="1:35" s="73" customFormat="1" ht="18">
      <c r="A47" s="74" t="s">
        <v>76</v>
      </c>
    </row>
  </sheetData>
  <mergeCells count="1">
    <mergeCell ref="AE6:AI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9" activePane="bottomLeft" state="frozen"/>
      <selection activeCell="F13" sqref="F13"/>
      <selection pane="bottomLeft"/>
    </sheetView>
  </sheetViews>
  <sheetFormatPr defaultRowHeight="14.25"/>
  <cols>
    <col min="1" max="3" width="1.73046875" customWidth="1"/>
    <col min="4" max="4" width="8.1328125" bestFit="1" customWidth="1"/>
    <col min="5" max="5" width="5" bestFit="1" customWidth="1"/>
    <col min="6" max="6" width="12.1328125" style="435" bestFit="1" customWidth="1"/>
    <col min="7" max="7" width="11.265625" style="435" bestFit="1" customWidth="1"/>
    <col min="8" max="8" width="13.73046875" bestFit="1" customWidth="1"/>
    <col min="9" max="17" width="1.73046875" customWidth="1"/>
    <col min="18" max="25" width="1.73046875" hidden="1" customWidth="1"/>
    <col min="26" max="26" width="39.86328125" style="435" bestFit="1" customWidth="1"/>
    <col min="27" max="27" width="39.86328125" bestFit="1" customWidth="1"/>
    <col min="28"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151</v>
      </c>
    </row>
    <row r="6" spans="1:35">
      <c r="AD6" s="88" t="s">
        <v>113</v>
      </c>
      <c r="AE6" s="1347" t="s">
        <v>112</v>
      </c>
      <c r="AF6" s="1348"/>
      <c r="AG6" s="1348"/>
      <c r="AH6" s="1348"/>
      <c r="AI6" s="1349"/>
    </row>
    <row r="7" spans="1:35" s="67" customFormat="1">
      <c r="D7" s="87" t="s">
        <v>111</v>
      </c>
      <c r="E7" s="87" t="s">
        <v>68</v>
      </c>
      <c r="F7" s="87" t="s">
        <v>2692</v>
      </c>
      <c r="G7" s="87" t="s">
        <v>2681</v>
      </c>
      <c r="H7" s="87" t="s">
        <v>110</v>
      </c>
      <c r="I7" s="87" t="s">
        <v>109</v>
      </c>
      <c r="J7" s="87" t="s">
        <v>108</v>
      </c>
      <c r="K7" s="87" t="s">
        <v>107</v>
      </c>
      <c r="L7" s="87" t="s">
        <v>106</v>
      </c>
      <c r="M7" s="87" t="s">
        <v>105</v>
      </c>
      <c r="N7" s="87"/>
      <c r="O7" s="87"/>
      <c r="P7" s="87"/>
      <c r="Q7" s="87"/>
      <c r="R7" s="86" t="s">
        <v>101</v>
      </c>
      <c r="S7" s="86" t="s">
        <v>100</v>
      </c>
      <c r="T7" s="86" t="s">
        <v>99</v>
      </c>
      <c r="U7" s="86" t="s">
        <v>98</v>
      </c>
      <c r="V7" s="86" t="s">
        <v>97</v>
      </c>
      <c r="W7" s="86" t="s">
        <v>96</v>
      </c>
      <c r="X7" s="86" t="s">
        <v>95</v>
      </c>
      <c r="Y7" s="86" t="s">
        <v>94</v>
      </c>
      <c r="Z7" s="86" t="s">
        <v>2447</v>
      </c>
      <c r="AA7" s="86" t="s">
        <v>3085</v>
      </c>
      <c r="AB7" s="86" t="s">
        <v>91</v>
      </c>
      <c r="AC7" s="67" t="s">
        <v>5</v>
      </c>
      <c r="AD7" s="85" t="s">
        <v>88</v>
      </c>
      <c r="AE7" s="84">
        <v>2022</v>
      </c>
      <c r="AF7" s="83">
        <v>2023</v>
      </c>
      <c r="AG7" s="83">
        <v>2024</v>
      </c>
      <c r="AH7" s="83">
        <v>2025</v>
      </c>
      <c r="AI7" s="82">
        <v>2026</v>
      </c>
    </row>
    <row r="8" spans="1:35">
      <c r="R8" s="67"/>
      <c r="S8" s="67"/>
      <c r="T8" s="67"/>
      <c r="U8" s="67"/>
      <c r="Z8" s="67"/>
      <c r="AA8" s="67"/>
    </row>
    <row r="9" spans="1:35" s="1" customFormat="1" ht="17.649999999999999">
      <c r="A9" s="2" t="s">
        <v>87</v>
      </c>
      <c r="B9" s="2"/>
    </row>
    <row r="11" spans="1:35" s="1" customFormat="1" ht="13.9">
      <c r="A11" s="66"/>
      <c r="B11" s="78" t="s">
        <v>2630</v>
      </c>
    </row>
    <row r="13" spans="1:35">
      <c r="D13" t="s">
        <v>79</v>
      </c>
      <c r="E13" s="435" t="s">
        <v>1869</v>
      </c>
      <c r="G13" s="435" t="s">
        <v>12</v>
      </c>
      <c r="H13" t="s">
        <v>182</v>
      </c>
      <c r="P13" s="76"/>
      <c r="Q13" s="76"/>
      <c r="R13" s="76"/>
      <c r="S13" s="76"/>
      <c r="T13" s="76"/>
      <c r="U13" s="76"/>
      <c r="Z13" s="435" t="s">
        <v>948</v>
      </c>
      <c r="AA13" t="s">
        <v>196</v>
      </c>
      <c r="AC13" t="s">
        <v>2</v>
      </c>
      <c r="AD13" s="80"/>
      <c r="AE13" s="81"/>
      <c r="AF13" s="81"/>
      <c r="AG13" s="81"/>
      <c r="AH13" s="81"/>
      <c r="AI13" s="81"/>
    </row>
    <row r="14" spans="1:35">
      <c r="D14" t="s">
        <v>79</v>
      </c>
      <c r="E14" s="435" t="s">
        <v>1869</v>
      </c>
      <c r="G14" s="435" t="s">
        <v>12</v>
      </c>
      <c r="H14" t="s">
        <v>182</v>
      </c>
      <c r="P14" s="76"/>
      <c r="Q14" s="76"/>
      <c r="R14" s="76"/>
      <c r="S14" s="76"/>
      <c r="T14" s="76"/>
      <c r="U14" s="76"/>
      <c r="AA14" t="s">
        <v>2707</v>
      </c>
      <c r="AC14" t="s">
        <v>2</v>
      </c>
      <c r="AD14" s="80"/>
      <c r="AE14" s="81"/>
      <c r="AF14" s="81"/>
      <c r="AG14" s="81"/>
      <c r="AH14" s="81"/>
      <c r="AI14" s="81"/>
    </row>
    <row r="15" spans="1:35">
      <c r="D15" t="s">
        <v>79</v>
      </c>
      <c r="E15" s="435" t="s">
        <v>1869</v>
      </c>
      <c r="G15" s="435" t="s">
        <v>12</v>
      </c>
      <c r="H15" t="s">
        <v>182</v>
      </c>
      <c r="P15" s="76"/>
      <c r="Q15" s="76"/>
      <c r="R15" s="76"/>
      <c r="S15" s="76"/>
      <c r="T15" s="76"/>
      <c r="U15" s="76"/>
      <c r="AA15" t="s">
        <v>197</v>
      </c>
      <c r="AC15" t="s">
        <v>2</v>
      </c>
      <c r="AD15" s="80"/>
      <c r="AE15" s="81"/>
      <c r="AF15" s="81"/>
      <c r="AG15" s="81"/>
      <c r="AH15" s="81"/>
      <c r="AI15" s="81"/>
    </row>
    <row r="16" spans="1:35">
      <c r="D16" t="s">
        <v>79</v>
      </c>
      <c r="E16" s="435" t="s">
        <v>1869</v>
      </c>
      <c r="G16" s="435" t="s">
        <v>12</v>
      </c>
      <c r="H16" t="s">
        <v>182</v>
      </c>
      <c r="P16" s="76"/>
      <c r="Q16" s="76"/>
      <c r="R16" s="76"/>
      <c r="S16" s="76"/>
      <c r="T16" s="76"/>
      <c r="U16" s="76"/>
      <c r="AA16" t="s">
        <v>198</v>
      </c>
      <c r="AC16" t="s">
        <v>2</v>
      </c>
      <c r="AD16" s="80"/>
      <c r="AE16" s="81"/>
      <c r="AF16" s="81"/>
      <c r="AG16" s="81"/>
      <c r="AH16" s="81"/>
      <c r="AI16" s="81"/>
    </row>
    <row r="17" spans="4:35">
      <c r="D17" t="s">
        <v>79</v>
      </c>
      <c r="E17" s="435" t="s">
        <v>1869</v>
      </c>
      <c r="G17" s="435" t="s">
        <v>12</v>
      </c>
      <c r="H17" t="s">
        <v>182</v>
      </c>
      <c r="P17" s="76"/>
      <c r="Q17" s="76"/>
      <c r="R17" s="76"/>
      <c r="S17" s="76"/>
      <c r="T17" s="76"/>
      <c r="U17" s="76"/>
      <c r="AA17" t="s">
        <v>199</v>
      </c>
      <c r="AC17" t="s">
        <v>2</v>
      </c>
      <c r="AD17" s="80"/>
      <c r="AE17" s="81"/>
      <c r="AF17" s="81"/>
      <c r="AG17" s="81"/>
      <c r="AH17" s="81"/>
      <c r="AI17" s="81"/>
    </row>
    <row r="18" spans="4:35">
      <c r="D18" t="s">
        <v>79</v>
      </c>
      <c r="E18" s="435" t="s">
        <v>1869</v>
      </c>
      <c r="G18" s="435" t="s">
        <v>12</v>
      </c>
      <c r="H18" t="s">
        <v>182</v>
      </c>
      <c r="P18" s="76"/>
      <c r="Q18" s="76"/>
      <c r="R18" s="76"/>
      <c r="S18" s="76"/>
      <c r="T18" s="76"/>
      <c r="U18" s="76"/>
      <c r="AA18" t="s">
        <v>200</v>
      </c>
      <c r="AC18" t="s">
        <v>2</v>
      </c>
      <c r="AD18" s="80"/>
      <c r="AE18" s="81"/>
      <c r="AF18" s="81"/>
      <c r="AG18" s="81"/>
      <c r="AH18" s="81"/>
      <c r="AI18" s="81"/>
    </row>
    <row r="19" spans="4:35">
      <c r="D19" t="s">
        <v>79</v>
      </c>
      <c r="E19" s="435" t="s">
        <v>1869</v>
      </c>
      <c r="G19" s="435" t="s">
        <v>12</v>
      </c>
      <c r="H19" t="s">
        <v>182</v>
      </c>
      <c r="P19" s="76"/>
      <c r="Q19" s="76"/>
      <c r="R19" s="76"/>
      <c r="S19" s="76"/>
      <c r="T19" s="76"/>
      <c r="U19" s="76"/>
      <c r="AA19" t="s">
        <v>2708</v>
      </c>
      <c r="AC19" t="s">
        <v>2</v>
      </c>
      <c r="AD19" s="80"/>
      <c r="AE19" s="93">
        <f>SUM(AE13:AE18)</f>
        <v>0</v>
      </c>
      <c r="AF19" s="93">
        <f>SUM(AF13:AF18)</f>
        <v>0</v>
      </c>
      <c r="AG19" s="93">
        <f>SUM(AG13:AG18)</f>
        <v>0</v>
      </c>
      <c r="AH19" s="93">
        <f>SUM(AH13:AH18)</f>
        <v>0</v>
      </c>
      <c r="AI19" s="93">
        <f>SUM(AI13:AI18)</f>
        <v>0</v>
      </c>
    </row>
    <row r="20" spans="4:35">
      <c r="D20" t="s">
        <v>79</v>
      </c>
      <c r="E20" s="435" t="s">
        <v>1869</v>
      </c>
      <c r="G20" s="435" t="s">
        <v>12</v>
      </c>
      <c r="H20" t="s">
        <v>182</v>
      </c>
      <c r="P20" s="76"/>
      <c r="Q20" s="76"/>
      <c r="R20" s="76"/>
      <c r="S20" s="76"/>
      <c r="T20" s="76"/>
      <c r="U20" s="76"/>
      <c r="Z20" s="435" t="s">
        <v>949</v>
      </c>
      <c r="AA20" s="435" t="s">
        <v>196</v>
      </c>
      <c r="AC20" t="s">
        <v>2</v>
      </c>
      <c r="AD20" s="80"/>
      <c r="AE20" s="81"/>
      <c r="AF20" s="81"/>
      <c r="AG20" s="81"/>
      <c r="AH20" s="81"/>
      <c r="AI20" s="81"/>
    </row>
    <row r="21" spans="4:35">
      <c r="D21" t="s">
        <v>79</v>
      </c>
      <c r="E21" s="435" t="s">
        <v>1869</v>
      </c>
      <c r="G21" s="435" t="s">
        <v>12</v>
      </c>
      <c r="H21" t="s">
        <v>182</v>
      </c>
      <c r="P21" s="76"/>
      <c r="Q21" s="76"/>
      <c r="R21" s="76"/>
      <c r="S21" s="76"/>
      <c r="T21" s="76"/>
      <c r="U21" s="76"/>
      <c r="AA21" s="435" t="s">
        <v>2707</v>
      </c>
      <c r="AC21" t="s">
        <v>2</v>
      </c>
      <c r="AD21" s="80"/>
      <c r="AE21" s="81"/>
      <c r="AF21" s="81"/>
      <c r="AG21" s="81"/>
      <c r="AH21" s="81"/>
      <c r="AI21" s="81"/>
    </row>
    <row r="22" spans="4:35">
      <c r="D22" t="s">
        <v>79</v>
      </c>
      <c r="E22" s="435" t="s">
        <v>1869</v>
      </c>
      <c r="G22" s="435" t="s">
        <v>12</v>
      </c>
      <c r="H22" t="s">
        <v>182</v>
      </c>
      <c r="P22" s="76"/>
      <c r="Q22" s="76"/>
      <c r="R22" s="76"/>
      <c r="S22" s="76"/>
      <c r="T22" s="76"/>
      <c r="U22" s="76"/>
      <c r="AA22" s="435" t="s">
        <v>197</v>
      </c>
      <c r="AC22" t="s">
        <v>2</v>
      </c>
      <c r="AD22" s="80"/>
      <c r="AE22" s="81"/>
      <c r="AF22" s="81"/>
      <c r="AG22" s="81"/>
      <c r="AH22" s="81"/>
      <c r="AI22" s="81"/>
    </row>
    <row r="23" spans="4:35">
      <c r="D23" t="s">
        <v>79</v>
      </c>
      <c r="E23" s="435" t="s">
        <v>1869</v>
      </c>
      <c r="G23" s="435" t="s">
        <v>12</v>
      </c>
      <c r="H23" t="s">
        <v>182</v>
      </c>
      <c r="P23" s="76"/>
      <c r="Q23" s="76"/>
      <c r="R23" s="76"/>
      <c r="S23" s="76"/>
      <c r="T23" s="76"/>
      <c r="U23" s="76"/>
      <c r="AA23" s="435" t="s">
        <v>198</v>
      </c>
      <c r="AC23" t="s">
        <v>2</v>
      </c>
      <c r="AD23" s="80"/>
      <c r="AE23" s="81"/>
      <c r="AF23" s="81"/>
      <c r="AG23" s="81"/>
      <c r="AH23" s="81"/>
      <c r="AI23" s="81"/>
    </row>
    <row r="24" spans="4:35">
      <c r="D24" t="s">
        <v>79</v>
      </c>
      <c r="E24" s="435" t="s">
        <v>1869</v>
      </c>
      <c r="G24" s="435" t="s">
        <v>12</v>
      </c>
      <c r="H24" t="s">
        <v>182</v>
      </c>
      <c r="P24" s="76"/>
      <c r="Q24" s="76"/>
      <c r="R24" s="76"/>
      <c r="S24" s="76"/>
      <c r="T24" s="76"/>
      <c r="U24" s="76"/>
      <c r="AA24" s="435" t="s">
        <v>199</v>
      </c>
      <c r="AC24" t="s">
        <v>2</v>
      </c>
      <c r="AD24" s="80"/>
      <c r="AE24" s="81"/>
      <c r="AF24" s="81"/>
      <c r="AG24" s="81"/>
      <c r="AH24" s="81"/>
      <c r="AI24" s="81"/>
    </row>
    <row r="25" spans="4:35">
      <c r="D25" t="s">
        <v>79</v>
      </c>
      <c r="E25" s="435" t="s">
        <v>1869</v>
      </c>
      <c r="G25" s="435" t="s">
        <v>12</v>
      </c>
      <c r="H25" t="s">
        <v>182</v>
      </c>
      <c r="P25" s="76"/>
      <c r="Q25" s="76"/>
      <c r="R25" s="76"/>
      <c r="S25" s="76"/>
      <c r="T25" s="76"/>
      <c r="U25" s="76"/>
      <c r="AA25" s="435" t="s">
        <v>200</v>
      </c>
      <c r="AC25" t="s">
        <v>2</v>
      </c>
      <c r="AD25" s="80"/>
      <c r="AE25" s="81"/>
      <c r="AF25" s="81"/>
      <c r="AG25" s="81"/>
      <c r="AH25" s="81"/>
      <c r="AI25" s="81"/>
    </row>
    <row r="26" spans="4:35">
      <c r="D26" t="s">
        <v>79</v>
      </c>
      <c r="E26" s="435" t="s">
        <v>1869</v>
      </c>
      <c r="G26" s="435" t="s">
        <v>12</v>
      </c>
      <c r="H26" t="s">
        <v>182</v>
      </c>
      <c r="P26" s="76"/>
      <c r="Q26" s="76"/>
      <c r="R26" s="76"/>
      <c r="S26" s="76"/>
      <c r="T26" s="76"/>
      <c r="U26" s="76"/>
      <c r="AA26" s="435" t="s">
        <v>2708</v>
      </c>
      <c r="AC26" t="s">
        <v>2</v>
      </c>
      <c r="AD26" s="80"/>
      <c r="AE26" s="93">
        <f>SUM(AE20:AE25)</f>
        <v>0</v>
      </c>
      <c r="AF26" s="93">
        <f>SUM(AF20:AF25)</f>
        <v>0</v>
      </c>
      <c r="AG26" s="93">
        <f>SUM(AG20:AG25)</f>
        <v>0</v>
      </c>
      <c r="AH26" s="93">
        <f>SUM(AH20:AH25)</f>
        <v>0</v>
      </c>
      <c r="AI26" s="93">
        <f>SUM(AI20:AI25)</f>
        <v>0</v>
      </c>
    </row>
    <row r="27" spans="4:35">
      <c r="D27" t="s">
        <v>79</v>
      </c>
      <c r="E27" s="435" t="s">
        <v>1869</v>
      </c>
      <c r="G27" s="435" t="s">
        <v>12</v>
      </c>
      <c r="H27" t="s">
        <v>182</v>
      </c>
      <c r="P27" s="76"/>
      <c r="Q27" s="76"/>
      <c r="R27" s="76"/>
      <c r="S27" s="76"/>
      <c r="T27" s="76"/>
      <c r="U27" s="76"/>
      <c r="Z27" s="435" t="s">
        <v>950</v>
      </c>
      <c r="AA27" s="435" t="s">
        <v>196</v>
      </c>
      <c r="AC27" t="s">
        <v>2</v>
      </c>
      <c r="AD27" s="80"/>
      <c r="AE27" s="81"/>
      <c r="AF27" s="81"/>
      <c r="AG27" s="81"/>
      <c r="AH27" s="81"/>
      <c r="AI27" s="81"/>
    </row>
    <row r="28" spans="4:35">
      <c r="D28" t="s">
        <v>79</v>
      </c>
      <c r="E28" s="435" t="s">
        <v>1869</v>
      </c>
      <c r="G28" s="435" t="s">
        <v>12</v>
      </c>
      <c r="H28" t="s">
        <v>182</v>
      </c>
      <c r="P28" s="76"/>
      <c r="Q28" s="76"/>
      <c r="R28" s="76"/>
      <c r="S28" s="76"/>
      <c r="T28" s="76"/>
      <c r="U28" s="76"/>
      <c r="AA28" s="435" t="s">
        <v>2707</v>
      </c>
      <c r="AC28" t="s">
        <v>2</v>
      </c>
      <c r="AD28" s="80"/>
      <c r="AE28" s="81"/>
      <c r="AF28" s="81"/>
      <c r="AG28" s="81"/>
      <c r="AH28" s="81"/>
      <c r="AI28" s="81"/>
    </row>
    <row r="29" spans="4:35">
      <c r="D29" t="s">
        <v>79</v>
      </c>
      <c r="E29" s="435" t="s">
        <v>1869</v>
      </c>
      <c r="G29" s="435" t="s">
        <v>12</v>
      </c>
      <c r="H29" t="s">
        <v>182</v>
      </c>
      <c r="P29" s="76"/>
      <c r="Q29" s="76"/>
      <c r="R29" s="76"/>
      <c r="S29" s="76"/>
      <c r="T29" s="76"/>
      <c r="U29" s="76"/>
      <c r="AA29" s="435" t="s">
        <v>197</v>
      </c>
      <c r="AC29" t="s">
        <v>2</v>
      </c>
      <c r="AD29" s="80"/>
      <c r="AE29" s="81"/>
      <c r="AF29" s="81"/>
      <c r="AG29" s="81"/>
      <c r="AH29" s="81"/>
      <c r="AI29" s="81"/>
    </row>
    <row r="30" spans="4:35">
      <c r="D30" t="s">
        <v>79</v>
      </c>
      <c r="E30" s="435" t="s">
        <v>1869</v>
      </c>
      <c r="G30" s="435" t="s">
        <v>12</v>
      </c>
      <c r="H30" t="s">
        <v>182</v>
      </c>
      <c r="P30" s="76"/>
      <c r="Q30" s="76"/>
      <c r="R30" s="76"/>
      <c r="S30" s="76"/>
      <c r="T30" s="76"/>
      <c r="U30" s="76"/>
      <c r="AA30" s="435" t="s">
        <v>198</v>
      </c>
      <c r="AC30" t="s">
        <v>2</v>
      </c>
      <c r="AD30" s="80"/>
      <c r="AE30" s="81"/>
      <c r="AF30" s="81"/>
      <c r="AG30" s="81"/>
      <c r="AH30" s="81"/>
      <c r="AI30" s="81"/>
    </row>
    <row r="31" spans="4:35">
      <c r="D31" t="s">
        <v>79</v>
      </c>
      <c r="E31" s="435" t="s">
        <v>1869</v>
      </c>
      <c r="G31" s="435" t="s">
        <v>12</v>
      </c>
      <c r="H31" t="s">
        <v>182</v>
      </c>
      <c r="P31" s="76"/>
      <c r="Q31" s="76"/>
      <c r="R31" s="76"/>
      <c r="S31" s="76"/>
      <c r="T31" s="76"/>
      <c r="U31" s="76"/>
      <c r="AA31" s="435" t="s">
        <v>199</v>
      </c>
      <c r="AC31" t="s">
        <v>2</v>
      </c>
      <c r="AD31" s="80"/>
      <c r="AE31" s="81"/>
      <c r="AF31" s="81"/>
      <c r="AG31" s="81"/>
      <c r="AH31" s="81"/>
      <c r="AI31" s="81"/>
    </row>
    <row r="32" spans="4:35">
      <c r="D32" t="s">
        <v>79</v>
      </c>
      <c r="E32" s="435" t="s">
        <v>1869</v>
      </c>
      <c r="G32" s="435" t="s">
        <v>12</v>
      </c>
      <c r="H32" t="s">
        <v>182</v>
      </c>
      <c r="P32" s="76"/>
      <c r="Q32" s="76"/>
      <c r="R32" s="76"/>
      <c r="S32" s="76"/>
      <c r="T32" s="76"/>
      <c r="U32" s="76"/>
      <c r="AA32" s="435" t="s">
        <v>200</v>
      </c>
      <c r="AC32" t="s">
        <v>2</v>
      </c>
      <c r="AD32" s="80"/>
      <c r="AE32" s="81"/>
      <c r="AF32" s="81"/>
      <c r="AG32" s="81"/>
      <c r="AH32" s="81"/>
      <c r="AI32" s="81"/>
    </row>
    <row r="33" spans="4:35">
      <c r="D33" t="s">
        <v>79</v>
      </c>
      <c r="E33" s="435" t="s">
        <v>1869</v>
      </c>
      <c r="G33" s="435" t="s">
        <v>12</v>
      </c>
      <c r="H33" t="s">
        <v>182</v>
      </c>
      <c r="P33" s="76"/>
      <c r="Q33" s="76"/>
      <c r="R33" s="76"/>
      <c r="S33" s="76"/>
      <c r="T33" s="76"/>
      <c r="U33" s="76"/>
      <c r="AA33" s="435" t="s">
        <v>2708</v>
      </c>
      <c r="AC33" t="s">
        <v>2</v>
      </c>
      <c r="AD33" s="80"/>
      <c r="AE33" s="93">
        <f>SUM(AE27:AE32)</f>
        <v>0</v>
      </c>
      <c r="AF33" s="93">
        <f>SUM(AF27:AF32)</f>
        <v>0</v>
      </c>
      <c r="AG33" s="93">
        <f>SUM(AG27:AG32)</f>
        <v>0</v>
      </c>
      <c r="AH33" s="93">
        <f>SUM(AH27:AH32)</f>
        <v>0</v>
      </c>
      <c r="AI33" s="93">
        <f>SUM(AI27:AI32)</f>
        <v>0</v>
      </c>
    </row>
    <row r="34" spans="4:35">
      <c r="D34" t="s">
        <v>79</v>
      </c>
      <c r="E34" s="435" t="s">
        <v>1869</v>
      </c>
      <c r="G34" s="435" t="s">
        <v>12</v>
      </c>
      <c r="H34" t="s">
        <v>182</v>
      </c>
      <c r="P34" s="76"/>
      <c r="Q34" s="76"/>
      <c r="R34" s="76"/>
      <c r="S34" s="76"/>
      <c r="T34" s="76"/>
      <c r="U34" s="76"/>
      <c r="Z34" s="435" t="s">
        <v>951</v>
      </c>
      <c r="AA34" s="435" t="s">
        <v>196</v>
      </c>
      <c r="AC34" t="s">
        <v>2</v>
      </c>
      <c r="AD34" s="80"/>
      <c r="AE34" s="81"/>
      <c r="AF34" s="81"/>
      <c r="AG34" s="81"/>
      <c r="AH34" s="81"/>
      <c r="AI34" s="81"/>
    </row>
    <row r="35" spans="4:35">
      <c r="D35" t="s">
        <v>79</v>
      </c>
      <c r="E35" s="435" t="s">
        <v>1869</v>
      </c>
      <c r="G35" s="435" t="s">
        <v>12</v>
      </c>
      <c r="H35" t="s">
        <v>182</v>
      </c>
      <c r="P35" s="76"/>
      <c r="Q35" s="76"/>
      <c r="R35" s="76"/>
      <c r="S35" s="76"/>
      <c r="T35" s="76"/>
      <c r="U35" s="76"/>
      <c r="AA35" s="435" t="s">
        <v>2707</v>
      </c>
      <c r="AC35" t="s">
        <v>2</v>
      </c>
      <c r="AD35" s="80"/>
      <c r="AE35" s="81"/>
      <c r="AF35" s="81"/>
      <c r="AG35" s="81"/>
      <c r="AH35" s="81"/>
      <c r="AI35" s="81"/>
    </row>
    <row r="36" spans="4:35">
      <c r="D36" t="s">
        <v>79</v>
      </c>
      <c r="E36" s="435" t="s">
        <v>1869</v>
      </c>
      <c r="G36" s="435" t="s">
        <v>12</v>
      </c>
      <c r="H36" t="s">
        <v>182</v>
      </c>
      <c r="P36" s="76"/>
      <c r="Q36" s="76"/>
      <c r="R36" s="76"/>
      <c r="S36" s="76"/>
      <c r="T36" s="76"/>
      <c r="U36" s="76"/>
      <c r="AA36" s="435" t="s">
        <v>197</v>
      </c>
      <c r="AC36" t="s">
        <v>2</v>
      </c>
      <c r="AD36" s="80"/>
      <c r="AE36" s="81"/>
      <c r="AF36" s="81"/>
      <c r="AG36" s="81"/>
      <c r="AH36" s="81"/>
      <c r="AI36" s="81"/>
    </row>
    <row r="37" spans="4:35">
      <c r="D37" t="s">
        <v>79</v>
      </c>
      <c r="E37" s="435" t="s">
        <v>1869</v>
      </c>
      <c r="G37" s="435" t="s">
        <v>12</v>
      </c>
      <c r="H37" t="s">
        <v>182</v>
      </c>
      <c r="P37" s="76"/>
      <c r="Q37" s="76"/>
      <c r="R37" s="76"/>
      <c r="S37" s="76"/>
      <c r="T37" s="76"/>
      <c r="U37" s="76"/>
      <c r="AA37" s="435" t="s">
        <v>198</v>
      </c>
      <c r="AC37" t="s">
        <v>2</v>
      </c>
      <c r="AD37" s="80"/>
      <c r="AE37" s="81"/>
      <c r="AF37" s="81"/>
      <c r="AG37" s="81"/>
      <c r="AH37" s="81"/>
      <c r="AI37" s="81"/>
    </row>
    <row r="38" spans="4:35">
      <c r="D38" t="s">
        <v>79</v>
      </c>
      <c r="E38" s="435" t="s">
        <v>1869</v>
      </c>
      <c r="G38" s="435" t="s">
        <v>12</v>
      </c>
      <c r="H38" t="s">
        <v>182</v>
      </c>
      <c r="P38" s="76"/>
      <c r="Q38" s="76"/>
      <c r="R38" s="76"/>
      <c r="S38" s="76"/>
      <c r="T38" s="76"/>
      <c r="U38" s="76"/>
      <c r="AA38" s="435" t="s">
        <v>199</v>
      </c>
      <c r="AC38" t="s">
        <v>2</v>
      </c>
      <c r="AD38" s="80"/>
      <c r="AE38" s="81"/>
      <c r="AF38" s="81"/>
      <c r="AG38" s="81"/>
      <c r="AH38" s="81"/>
      <c r="AI38" s="81"/>
    </row>
    <row r="39" spans="4:35">
      <c r="D39" t="s">
        <v>79</v>
      </c>
      <c r="E39" s="435" t="s">
        <v>1869</v>
      </c>
      <c r="G39" s="435" t="s">
        <v>12</v>
      </c>
      <c r="H39" t="s">
        <v>182</v>
      </c>
      <c r="P39" s="76"/>
      <c r="Q39" s="76"/>
      <c r="R39" s="76"/>
      <c r="S39" s="76"/>
      <c r="T39" s="76"/>
      <c r="U39" s="76"/>
      <c r="AA39" s="435" t="s">
        <v>200</v>
      </c>
      <c r="AC39" t="s">
        <v>2</v>
      </c>
      <c r="AD39" s="80"/>
      <c r="AE39" s="81"/>
      <c r="AF39" s="81"/>
      <c r="AG39" s="81"/>
      <c r="AH39" s="81"/>
      <c r="AI39" s="81"/>
    </row>
    <row r="40" spans="4:35">
      <c r="D40" t="s">
        <v>79</v>
      </c>
      <c r="E40" s="435" t="s">
        <v>1869</v>
      </c>
      <c r="G40" s="435" t="s">
        <v>12</v>
      </c>
      <c r="H40" t="s">
        <v>182</v>
      </c>
      <c r="P40" s="76"/>
      <c r="Q40" s="76"/>
      <c r="R40" s="76"/>
      <c r="S40" s="76"/>
      <c r="T40" s="76"/>
      <c r="U40" s="76"/>
      <c r="AA40" s="435" t="s">
        <v>2708</v>
      </c>
      <c r="AC40" t="s">
        <v>2</v>
      </c>
      <c r="AD40" s="80"/>
      <c r="AE40" s="93">
        <f>SUM(AE34:AE39)</f>
        <v>0</v>
      </c>
      <c r="AF40" s="93">
        <f>SUM(AF34:AF39)</f>
        <v>0</v>
      </c>
      <c r="AG40" s="93">
        <f>SUM(AG34:AG39)</f>
        <v>0</v>
      </c>
      <c r="AH40" s="93">
        <f>SUM(AH34:AH39)</f>
        <v>0</v>
      </c>
      <c r="AI40" s="93">
        <f>SUM(AI34:AI39)</f>
        <v>0</v>
      </c>
    </row>
    <row r="41" spans="4:35">
      <c r="D41" t="s">
        <v>79</v>
      </c>
      <c r="E41" s="435" t="s">
        <v>1869</v>
      </c>
      <c r="G41" s="435" t="s">
        <v>12</v>
      </c>
      <c r="H41" t="s">
        <v>182</v>
      </c>
      <c r="P41" s="76"/>
      <c r="Q41" s="76"/>
      <c r="R41" s="76"/>
      <c r="S41" s="76"/>
      <c r="T41" s="76"/>
      <c r="U41" s="76"/>
      <c r="Z41" s="435" t="s">
        <v>952</v>
      </c>
      <c r="AA41" s="435" t="s">
        <v>196</v>
      </c>
      <c r="AC41" t="s">
        <v>2</v>
      </c>
      <c r="AD41" s="80"/>
      <c r="AE41" s="81"/>
      <c r="AF41" s="81"/>
      <c r="AG41" s="81"/>
      <c r="AH41" s="81"/>
      <c r="AI41" s="81"/>
    </row>
    <row r="42" spans="4:35">
      <c r="D42" t="s">
        <v>79</v>
      </c>
      <c r="E42" s="435" t="s">
        <v>1869</v>
      </c>
      <c r="G42" s="435" t="s">
        <v>12</v>
      </c>
      <c r="H42" t="s">
        <v>182</v>
      </c>
      <c r="P42" s="76"/>
      <c r="Q42" s="76"/>
      <c r="R42" s="76"/>
      <c r="S42" s="76"/>
      <c r="T42" s="76"/>
      <c r="U42" s="76"/>
      <c r="AA42" s="435" t="s">
        <v>2707</v>
      </c>
      <c r="AC42" t="s">
        <v>2</v>
      </c>
      <c r="AD42" s="80"/>
      <c r="AE42" s="81"/>
      <c r="AF42" s="81"/>
      <c r="AG42" s="81"/>
      <c r="AH42" s="81"/>
      <c r="AI42" s="81"/>
    </row>
    <row r="43" spans="4:35">
      <c r="D43" t="s">
        <v>79</v>
      </c>
      <c r="E43" s="435" t="s">
        <v>1869</v>
      </c>
      <c r="G43" s="435" t="s">
        <v>12</v>
      </c>
      <c r="H43" t="s">
        <v>182</v>
      </c>
      <c r="P43" s="76"/>
      <c r="Q43" s="76"/>
      <c r="R43" s="76"/>
      <c r="S43" s="76"/>
      <c r="T43" s="76"/>
      <c r="U43" s="76"/>
      <c r="AA43" s="435" t="s">
        <v>197</v>
      </c>
      <c r="AC43" t="s">
        <v>2</v>
      </c>
      <c r="AD43" s="80"/>
      <c r="AE43" s="81"/>
      <c r="AF43" s="81"/>
      <c r="AG43" s="81"/>
      <c r="AH43" s="81"/>
      <c r="AI43" s="81"/>
    </row>
    <row r="44" spans="4:35">
      <c r="D44" t="s">
        <v>79</v>
      </c>
      <c r="E44" s="435" t="s">
        <v>1869</v>
      </c>
      <c r="G44" s="435" t="s">
        <v>12</v>
      </c>
      <c r="H44" t="s">
        <v>182</v>
      </c>
      <c r="P44" s="76"/>
      <c r="Q44" s="76"/>
      <c r="R44" s="76"/>
      <c r="S44" s="76"/>
      <c r="T44" s="76"/>
      <c r="U44" s="76"/>
      <c r="AA44" s="435" t="s">
        <v>198</v>
      </c>
      <c r="AC44" t="s">
        <v>2</v>
      </c>
      <c r="AD44" s="80"/>
      <c r="AE44" s="81"/>
      <c r="AF44" s="81"/>
      <c r="AG44" s="81"/>
      <c r="AH44" s="81"/>
      <c r="AI44" s="81"/>
    </row>
    <row r="45" spans="4:35">
      <c r="D45" t="s">
        <v>79</v>
      </c>
      <c r="E45" s="435" t="s">
        <v>1869</v>
      </c>
      <c r="G45" s="435" t="s">
        <v>12</v>
      </c>
      <c r="H45" t="s">
        <v>182</v>
      </c>
      <c r="P45" s="76"/>
      <c r="Q45" s="76"/>
      <c r="R45" s="76"/>
      <c r="S45" s="76"/>
      <c r="T45" s="76"/>
      <c r="U45" s="76"/>
      <c r="AA45" s="435" t="s">
        <v>199</v>
      </c>
      <c r="AC45" t="s">
        <v>2</v>
      </c>
      <c r="AD45" s="80"/>
      <c r="AE45" s="81"/>
      <c r="AF45" s="81"/>
      <c r="AG45" s="81"/>
      <c r="AH45" s="81"/>
      <c r="AI45" s="81"/>
    </row>
    <row r="46" spans="4:35">
      <c r="D46" t="s">
        <v>79</v>
      </c>
      <c r="E46" s="435" t="s">
        <v>1869</v>
      </c>
      <c r="G46" s="435" t="s">
        <v>12</v>
      </c>
      <c r="H46" t="s">
        <v>182</v>
      </c>
      <c r="P46" s="76"/>
      <c r="Q46" s="76"/>
      <c r="R46" s="76"/>
      <c r="S46" s="76"/>
      <c r="T46" s="76"/>
      <c r="U46" s="76"/>
      <c r="AA46" s="435" t="s">
        <v>200</v>
      </c>
      <c r="AC46" t="s">
        <v>2</v>
      </c>
      <c r="AD46" s="80"/>
      <c r="AE46" s="81"/>
      <c r="AF46" s="81"/>
      <c r="AG46" s="81"/>
      <c r="AH46" s="81"/>
      <c r="AI46" s="81"/>
    </row>
    <row r="47" spans="4:35">
      <c r="D47" t="s">
        <v>79</v>
      </c>
      <c r="E47" s="435" t="s">
        <v>1869</v>
      </c>
      <c r="G47" s="435" t="s">
        <v>12</v>
      </c>
      <c r="H47" t="s">
        <v>182</v>
      </c>
      <c r="P47" s="76"/>
      <c r="Q47" s="76"/>
      <c r="R47" s="76"/>
      <c r="S47" s="76"/>
      <c r="T47" s="76"/>
      <c r="U47" s="76"/>
      <c r="AA47" s="435" t="s">
        <v>2708</v>
      </c>
      <c r="AC47" t="s">
        <v>2</v>
      </c>
      <c r="AD47" s="80"/>
      <c r="AE47" s="93">
        <f>SUM(AE41:AE46)</f>
        <v>0</v>
      </c>
      <c r="AF47" s="93">
        <f>SUM(AF41:AF46)</f>
        <v>0</v>
      </c>
      <c r="AG47" s="93">
        <f>SUM(AG41:AG46)</f>
        <v>0</v>
      </c>
      <c r="AH47" s="93">
        <f>SUM(AH41:AH46)</f>
        <v>0</v>
      </c>
      <c r="AI47" s="93">
        <f>SUM(AI41:AI46)</f>
        <v>0</v>
      </c>
    </row>
    <row r="48" spans="4:35">
      <c r="D48" t="s">
        <v>79</v>
      </c>
      <c r="E48" s="435" t="s">
        <v>1869</v>
      </c>
      <c r="G48" s="435" t="s">
        <v>12</v>
      </c>
      <c r="H48" t="s">
        <v>182</v>
      </c>
      <c r="P48" s="76"/>
      <c r="Q48" s="76"/>
      <c r="R48" s="76"/>
      <c r="S48" s="76"/>
      <c r="T48" s="76"/>
      <c r="U48" s="76"/>
      <c r="Z48" s="81"/>
      <c r="AA48" s="435" t="s">
        <v>196</v>
      </c>
      <c r="AC48" t="s">
        <v>2</v>
      </c>
      <c r="AD48" s="80"/>
      <c r="AE48" s="81"/>
      <c r="AF48" s="81"/>
      <c r="AG48" s="81"/>
      <c r="AH48" s="81"/>
      <c r="AI48" s="81"/>
    </row>
    <row r="49" spans="1:35">
      <c r="D49" t="s">
        <v>79</v>
      </c>
      <c r="E49" s="435" t="s">
        <v>1869</v>
      </c>
      <c r="G49" s="435" t="s">
        <v>12</v>
      </c>
      <c r="H49" t="s">
        <v>182</v>
      </c>
      <c r="P49" s="76"/>
      <c r="Q49" s="76"/>
      <c r="R49" s="76"/>
      <c r="S49" s="76"/>
      <c r="T49" s="76"/>
      <c r="U49" s="76"/>
      <c r="AA49" s="435" t="s">
        <v>2707</v>
      </c>
      <c r="AC49" t="s">
        <v>2</v>
      </c>
      <c r="AD49" s="80"/>
      <c r="AE49" s="81"/>
      <c r="AF49" s="81"/>
      <c r="AG49" s="81"/>
      <c r="AH49" s="81"/>
      <c r="AI49" s="81"/>
    </row>
    <row r="50" spans="1:35">
      <c r="D50" t="s">
        <v>79</v>
      </c>
      <c r="E50" s="435" t="s">
        <v>1869</v>
      </c>
      <c r="G50" s="435" t="s">
        <v>12</v>
      </c>
      <c r="H50" t="s">
        <v>182</v>
      </c>
      <c r="P50" s="76"/>
      <c r="Q50" s="76"/>
      <c r="R50" s="76"/>
      <c r="S50" s="76"/>
      <c r="T50" s="76"/>
      <c r="U50" s="76"/>
      <c r="AA50" s="435" t="s">
        <v>197</v>
      </c>
      <c r="AC50" t="s">
        <v>2</v>
      </c>
      <c r="AD50" s="80"/>
      <c r="AE50" s="81"/>
      <c r="AF50" s="81"/>
      <c r="AG50" s="81"/>
      <c r="AH50" s="81"/>
      <c r="AI50" s="81"/>
    </row>
    <row r="51" spans="1:35">
      <c r="D51" t="s">
        <v>79</v>
      </c>
      <c r="E51" s="435" t="s">
        <v>1869</v>
      </c>
      <c r="G51" s="435" t="s">
        <v>12</v>
      </c>
      <c r="H51" t="s">
        <v>182</v>
      </c>
      <c r="P51" s="76"/>
      <c r="Q51" s="76"/>
      <c r="R51" s="76"/>
      <c r="S51" s="76"/>
      <c r="T51" s="76"/>
      <c r="U51" s="76"/>
      <c r="AA51" s="435" t="s">
        <v>198</v>
      </c>
      <c r="AC51" t="s">
        <v>2</v>
      </c>
      <c r="AD51" s="80"/>
      <c r="AE51" s="81"/>
      <c r="AF51" s="81"/>
      <c r="AG51" s="81"/>
      <c r="AH51" s="81"/>
      <c r="AI51" s="81"/>
    </row>
    <row r="52" spans="1:35">
      <c r="D52" t="s">
        <v>79</v>
      </c>
      <c r="E52" s="435" t="s">
        <v>1869</v>
      </c>
      <c r="G52" s="435" t="s">
        <v>12</v>
      </c>
      <c r="H52" t="s">
        <v>182</v>
      </c>
      <c r="P52" s="76"/>
      <c r="Q52" s="76"/>
      <c r="R52" s="76"/>
      <c r="S52" s="76"/>
      <c r="T52" s="76"/>
      <c r="U52" s="76"/>
      <c r="AA52" s="435" t="s">
        <v>199</v>
      </c>
      <c r="AC52" t="s">
        <v>2</v>
      </c>
      <c r="AD52" s="80"/>
      <c r="AE52" s="81"/>
      <c r="AF52" s="81"/>
      <c r="AG52" s="81"/>
      <c r="AH52" s="81"/>
      <c r="AI52" s="81"/>
    </row>
    <row r="53" spans="1:35">
      <c r="D53" t="s">
        <v>79</v>
      </c>
      <c r="E53" s="435" t="s">
        <v>1869</v>
      </c>
      <c r="G53" s="435" t="s">
        <v>12</v>
      </c>
      <c r="H53" t="s">
        <v>182</v>
      </c>
      <c r="P53" s="76"/>
      <c r="Q53" s="76"/>
      <c r="R53" s="76"/>
      <c r="S53" s="76"/>
      <c r="T53" s="76"/>
      <c r="U53" s="76"/>
      <c r="AA53" s="435" t="s">
        <v>200</v>
      </c>
      <c r="AC53" t="s">
        <v>2</v>
      </c>
      <c r="AD53" s="80"/>
      <c r="AE53" s="81"/>
      <c r="AF53" s="81"/>
      <c r="AG53" s="81"/>
      <c r="AH53" s="81"/>
      <c r="AI53" s="81"/>
    </row>
    <row r="54" spans="1:35">
      <c r="D54" t="s">
        <v>79</v>
      </c>
      <c r="E54" s="435" t="s">
        <v>1869</v>
      </c>
      <c r="G54" s="435" t="s">
        <v>12</v>
      </c>
      <c r="H54" t="s">
        <v>182</v>
      </c>
      <c r="P54" s="76"/>
      <c r="Q54" s="76"/>
      <c r="R54" s="76"/>
      <c r="S54" s="76"/>
      <c r="T54" s="76"/>
      <c r="U54" s="76"/>
      <c r="AA54" s="435" t="s">
        <v>2708</v>
      </c>
      <c r="AC54" t="s">
        <v>2</v>
      </c>
      <c r="AD54" s="80"/>
      <c r="AE54" s="93">
        <f>SUM(AE48:AE53)</f>
        <v>0</v>
      </c>
      <c r="AF54" s="93">
        <f>SUM(AF48:AF53)</f>
        <v>0</v>
      </c>
      <c r="AG54" s="93">
        <f>SUM(AG48:AG53)</f>
        <v>0</v>
      </c>
      <c r="AH54" s="93">
        <f>SUM(AH48:AH53)</f>
        <v>0</v>
      </c>
      <c r="AI54" s="93">
        <f>SUM(AI48:AI53)</f>
        <v>0</v>
      </c>
    </row>
    <row r="55" spans="1:35">
      <c r="D55" t="s">
        <v>79</v>
      </c>
      <c r="E55" s="435" t="s">
        <v>1869</v>
      </c>
      <c r="G55" s="435" t="s">
        <v>12</v>
      </c>
      <c r="H55" t="s">
        <v>182</v>
      </c>
      <c r="P55" s="76"/>
      <c r="Q55" s="76"/>
      <c r="R55" s="76"/>
      <c r="S55" s="76"/>
      <c r="T55" s="76"/>
      <c r="U55" s="76"/>
      <c r="Z55" s="81"/>
      <c r="AA55" s="435" t="s">
        <v>196</v>
      </c>
      <c r="AC55" t="s">
        <v>2</v>
      </c>
      <c r="AD55" s="80"/>
      <c r="AE55" s="81"/>
      <c r="AF55" s="81"/>
      <c r="AG55" s="81"/>
      <c r="AH55" s="81"/>
      <c r="AI55" s="81"/>
    </row>
    <row r="56" spans="1:35">
      <c r="D56" t="s">
        <v>79</v>
      </c>
      <c r="E56" s="435" t="s">
        <v>1869</v>
      </c>
      <c r="G56" s="435" t="s">
        <v>12</v>
      </c>
      <c r="H56" t="s">
        <v>182</v>
      </c>
      <c r="P56" s="76"/>
      <c r="Q56" s="76"/>
      <c r="R56" s="76"/>
      <c r="S56" s="76"/>
      <c r="T56" s="76"/>
      <c r="U56" s="76"/>
      <c r="AA56" s="435" t="s">
        <v>2707</v>
      </c>
      <c r="AC56" t="s">
        <v>2</v>
      </c>
      <c r="AD56" s="80"/>
      <c r="AE56" s="81"/>
      <c r="AF56" s="81"/>
      <c r="AG56" s="81"/>
      <c r="AH56" s="81"/>
      <c r="AI56" s="81"/>
    </row>
    <row r="57" spans="1:35">
      <c r="D57" t="s">
        <v>79</v>
      </c>
      <c r="E57" s="435" t="s">
        <v>1869</v>
      </c>
      <c r="G57" s="435" t="s">
        <v>12</v>
      </c>
      <c r="H57" t="s">
        <v>182</v>
      </c>
      <c r="P57" s="76"/>
      <c r="Q57" s="76"/>
      <c r="R57" s="76"/>
      <c r="S57" s="76"/>
      <c r="T57" s="76"/>
      <c r="U57" s="76"/>
      <c r="AA57" s="435" t="s">
        <v>197</v>
      </c>
      <c r="AC57" t="s">
        <v>2</v>
      </c>
      <c r="AD57" s="80"/>
      <c r="AE57" s="81"/>
      <c r="AF57" s="81"/>
      <c r="AG57" s="81"/>
      <c r="AH57" s="81"/>
      <c r="AI57" s="81"/>
    </row>
    <row r="58" spans="1:35">
      <c r="D58" t="s">
        <v>79</v>
      </c>
      <c r="E58" s="435" t="s">
        <v>1869</v>
      </c>
      <c r="G58" s="435" t="s">
        <v>12</v>
      </c>
      <c r="H58" t="s">
        <v>182</v>
      </c>
      <c r="P58" s="76"/>
      <c r="Q58" s="76"/>
      <c r="R58" s="76"/>
      <c r="S58" s="76"/>
      <c r="T58" s="76"/>
      <c r="U58" s="76"/>
      <c r="AA58" s="435" t="s">
        <v>198</v>
      </c>
      <c r="AC58" t="s">
        <v>2</v>
      </c>
      <c r="AD58" s="80"/>
      <c r="AE58" s="81"/>
      <c r="AF58" s="81"/>
      <c r="AG58" s="81"/>
      <c r="AH58" s="81"/>
      <c r="AI58" s="81"/>
    </row>
    <row r="59" spans="1:35">
      <c r="D59" t="s">
        <v>79</v>
      </c>
      <c r="E59" s="435" t="s">
        <v>1869</v>
      </c>
      <c r="G59" s="435" t="s">
        <v>12</v>
      </c>
      <c r="H59" t="s">
        <v>182</v>
      </c>
      <c r="P59" s="76"/>
      <c r="Q59" s="76"/>
      <c r="R59" s="76"/>
      <c r="S59" s="76"/>
      <c r="T59" s="76"/>
      <c r="U59" s="76"/>
      <c r="AA59" s="435" t="s">
        <v>199</v>
      </c>
      <c r="AC59" t="s">
        <v>2</v>
      </c>
      <c r="AD59" s="80"/>
      <c r="AE59" s="81"/>
      <c r="AF59" s="81"/>
      <c r="AG59" s="81"/>
      <c r="AH59" s="81"/>
      <c r="AI59" s="81"/>
    </row>
    <row r="60" spans="1:35">
      <c r="D60" t="s">
        <v>79</v>
      </c>
      <c r="E60" s="435" t="s">
        <v>1869</v>
      </c>
      <c r="G60" s="435" t="s">
        <v>12</v>
      </c>
      <c r="H60" t="s">
        <v>182</v>
      </c>
      <c r="P60" s="76"/>
      <c r="Q60" s="76"/>
      <c r="R60" s="76"/>
      <c r="S60" s="76"/>
      <c r="T60" s="76"/>
      <c r="U60" s="76"/>
      <c r="AA60" s="435" t="s">
        <v>200</v>
      </c>
      <c r="AC60" t="s">
        <v>2</v>
      </c>
      <c r="AD60" s="80"/>
      <c r="AE60" s="81"/>
      <c r="AF60" s="81"/>
      <c r="AG60" s="81"/>
      <c r="AH60" s="81"/>
      <c r="AI60" s="81"/>
    </row>
    <row r="61" spans="1:35" s="67" customFormat="1">
      <c r="D61" t="s">
        <v>79</v>
      </c>
      <c r="E61" s="435" t="s">
        <v>1869</v>
      </c>
      <c r="F61" s="435"/>
      <c r="G61" s="435" t="s">
        <v>12</v>
      </c>
      <c r="H61" t="s">
        <v>182</v>
      </c>
      <c r="I61"/>
      <c r="J61"/>
      <c r="K61"/>
      <c r="L61"/>
      <c r="M61"/>
      <c r="N61"/>
      <c r="O61"/>
      <c r="P61" s="76"/>
      <c r="Q61" s="76"/>
      <c r="R61" s="76"/>
      <c r="S61" s="76"/>
      <c r="T61" s="76"/>
      <c r="U61" s="76"/>
      <c r="V61"/>
      <c r="W61"/>
      <c r="X61"/>
      <c r="Y61"/>
      <c r="Z61" s="435"/>
      <c r="AA61" s="435" t="s">
        <v>2708</v>
      </c>
      <c r="AB61"/>
      <c r="AC61" t="s">
        <v>2</v>
      </c>
      <c r="AD61" s="80"/>
      <c r="AE61" s="93">
        <f>SUM(AE55:AE60)</f>
        <v>0</v>
      </c>
      <c r="AF61" s="93">
        <f>SUM(AF55:AF60)</f>
        <v>0</v>
      </c>
      <c r="AG61" s="93">
        <f>SUM(AG55:AG60)</f>
        <v>0</v>
      </c>
      <c r="AH61" s="93">
        <f>SUM(AH55:AH60)</f>
        <v>0</v>
      </c>
      <c r="AI61" s="93">
        <f>SUM(AI55:AI60)</f>
        <v>0</v>
      </c>
    </row>
    <row r="63" spans="1:35" s="1" customFormat="1" ht="13.9">
      <c r="A63" s="66"/>
      <c r="B63" s="78" t="s">
        <v>1753</v>
      </c>
    </row>
    <row r="65" spans="4:35">
      <c r="D65" t="s">
        <v>185</v>
      </c>
      <c r="E65" s="435" t="s">
        <v>1869</v>
      </c>
      <c r="F65" s="435" t="s">
        <v>274</v>
      </c>
      <c r="G65" s="435" t="s">
        <v>12</v>
      </c>
      <c r="H65" t="s">
        <v>182</v>
      </c>
      <c r="P65" s="76"/>
      <c r="Q65" s="76"/>
      <c r="R65" s="76"/>
      <c r="S65" s="76"/>
      <c r="T65" s="76"/>
      <c r="U65" s="76"/>
      <c r="Z65" s="435" t="s">
        <v>948</v>
      </c>
      <c r="AA65" s="435" t="s">
        <v>196</v>
      </c>
      <c r="AC65" t="s">
        <v>2</v>
      </c>
      <c r="AD65" s="80"/>
      <c r="AE65" s="81"/>
      <c r="AF65" s="81"/>
      <c r="AG65" s="81"/>
      <c r="AH65" s="81"/>
      <c r="AI65" s="81"/>
    </row>
    <row r="66" spans="4:35">
      <c r="D66" t="s">
        <v>185</v>
      </c>
      <c r="E66" s="435" t="s">
        <v>1869</v>
      </c>
      <c r="F66" s="435" t="s">
        <v>274</v>
      </c>
      <c r="G66" s="435" t="s">
        <v>12</v>
      </c>
      <c r="H66" t="s">
        <v>182</v>
      </c>
      <c r="P66" s="76"/>
      <c r="Q66" s="76"/>
      <c r="R66" s="76"/>
      <c r="S66" s="76"/>
      <c r="T66" s="76"/>
      <c r="U66" s="76"/>
      <c r="AA66" s="435" t="s">
        <v>2707</v>
      </c>
      <c r="AC66" t="s">
        <v>2</v>
      </c>
      <c r="AD66" s="80"/>
      <c r="AE66" s="81"/>
      <c r="AF66" s="81"/>
      <c r="AG66" s="81"/>
      <c r="AH66" s="81"/>
      <c r="AI66" s="81"/>
    </row>
    <row r="67" spans="4:35">
      <c r="D67" t="s">
        <v>185</v>
      </c>
      <c r="E67" s="435" t="s">
        <v>1869</v>
      </c>
      <c r="F67" s="435" t="s">
        <v>274</v>
      </c>
      <c r="G67" s="435" t="s">
        <v>12</v>
      </c>
      <c r="H67" t="s">
        <v>182</v>
      </c>
      <c r="P67" s="76"/>
      <c r="Q67" s="76"/>
      <c r="R67" s="76"/>
      <c r="S67" s="76"/>
      <c r="T67" s="76"/>
      <c r="U67" s="76"/>
      <c r="AA67" s="435" t="s">
        <v>197</v>
      </c>
      <c r="AC67" t="s">
        <v>2</v>
      </c>
      <c r="AD67" s="80"/>
      <c r="AE67" s="81"/>
      <c r="AF67" s="81"/>
      <c r="AG67" s="81"/>
      <c r="AH67" s="81"/>
      <c r="AI67" s="81"/>
    </row>
    <row r="68" spans="4:35">
      <c r="D68" t="s">
        <v>185</v>
      </c>
      <c r="E68" s="435" t="s">
        <v>1869</v>
      </c>
      <c r="F68" s="435" t="s">
        <v>274</v>
      </c>
      <c r="G68" s="435" t="s">
        <v>12</v>
      </c>
      <c r="H68" t="s">
        <v>182</v>
      </c>
      <c r="P68" s="76"/>
      <c r="Q68" s="76"/>
      <c r="R68" s="76"/>
      <c r="S68" s="76"/>
      <c r="T68" s="76"/>
      <c r="U68" s="76"/>
      <c r="AA68" s="435" t="s">
        <v>198</v>
      </c>
      <c r="AC68" t="s">
        <v>2</v>
      </c>
      <c r="AD68" s="80"/>
      <c r="AE68" s="81"/>
      <c r="AF68" s="81"/>
      <c r="AG68" s="81"/>
      <c r="AH68" s="81"/>
      <c r="AI68" s="81"/>
    </row>
    <row r="69" spans="4:35">
      <c r="D69" t="s">
        <v>185</v>
      </c>
      <c r="E69" s="435" t="s">
        <v>1869</v>
      </c>
      <c r="F69" s="435" t="s">
        <v>274</v>
      </c>
      <c r="G69" s="435" t="s">
        <v>12</v>
      </c>
      <c r="H69" t="s">
        <v>182</v>
      </c>
      <c r="P69" s="76"/>
      <c r="Q69" s="76"/>
      <c r="R69" s="76"/>
      <c r="S69" s="76"/>
      <c r="T69" s="76"/>
      <c r="U69" s="76"/>
      <c r="AA69" s="435" t="s">
        <v>199</v>
      </c>
      <c r="AC69" t="s">
        <v>2</v>
      </c>
      <c r="AD69" s="80"/>
      <c r="AE69" s="81"/>
      <c r="AF69" s="81"/>
      <c r="AG69" s="81"/>
      <c r="AH69" s="81"/>
      <c r="AI69" s="81"/>
    </row>
    <row r="70" spans="4:35">
      <c r="D70" t="s">
        <v>185</v>
      </c>
      <c r="E70" s="435" t="s">
        <v>1869</v>
      </c>
      <c r="F70" s="435" t="s">
        <v>274</v>
      </c>
      <c r="G70" s="435" t="s">
        <v>12</v>
      </c>
      <c r="H70" t="s">
        <v>182</v>
      </c>
      <c r="P70" s="76"/>
      <c r="Q70" s="76"/>
      <c r="R70" s="76"/>
      <c r="S70" s="76"/>
      <c r="T70" s="76"/>
      <c r="U70" s="76"/>
      <c r="AA70" s="435" t="s">
        <v>200</v>
      </c>
      <c r="AC70" t="s">
        <v>2</v>
      </c>
      <c r="AD70" s="80"/>
      <c r="AE70" s="81"/>
      <c r="AF70" s="81"/>
      <c r="AG70" s="81"/>
      <c r="AH70" s="81"/>
      <c r="AI70" s="81"/>
    </row>
    <row r="71" spans="4:35">
      <c r="D71" t="s">
        <v>185</v>
      </c>
      <c r="E71" s="435" t="s">
        <v>1869</v>
      </c>
      <c r="F71" s="435" t="s">
        <v>274</v>
      </c>
      <c r="G71" s="435" t="s">
        <v>12</v>
      </c>
      <c r="H71" t="s">
        <v>182</v>
      </c>
      <c r="P71" s="76"/>
      <c r="Q71" s="76"/>
      <c r="R71" s="76"/>
      <c r="S71" s="76"/>
      <c r="T71" s="76"/>
      <c r="U71" s="76"/>
      <c r="AA71" s="435" t="s">
        <v>2708</v>
      </c>
      <c r="AC71" t="s">
        <v>2</v>
      </c>
      <c r="AD71" s="80"/>
      <c r="AE71" s="93">
        <f>SUM(AE65:AE70)</f>
        <v>0</v>
      </c>
      <c r="AF71" s="93">
        <f>SUM(AF65:AF70)</f>
        <v>0</v>
      </c>
      <c r="AG71" s="93">
        <f>SUM(AG65:AG70)</f>
        <v>0</v>
      </c>
      <c r="AH71" s="93">
        <f>SUM(AH65:AH70)</f>
        <v>0</v>
      </c>
      <c r="AI71" s="93">
        <f>SUM(AI65:AI70)</f>
        <v>0</v>
      </c>
    </row>
    <row r="72" spans="4:35">
      <c r="D72" t="s">
        <v>185</v>
      </c>
      <c r="E72" s="435" t="s">
        <v>1869</v>
      </c>
      <c r="F72" s="435" t="s">
        <v>274</v>
      </c>
      <c r="G72" s="435" t="s">
        <v>12</v>
      </c>
      <c r="H72" t="s">
        <v>182</v>
      </c>
      <c r="P72" s="76"/>
      <c r="Q72" s="76"/>
      <c r="R72" s="76"/>
      <c r="S72" s="76"/>
      <c r="T72" s="76"/>
      <c r="U72" s="76"/>
      <c r="Z72" s="435" t="s">
        <v>949</v>
      </c>
      <c r="AA72" s="435" t="s">
        <v>196</v>
      </c>
      <c r="AC72" t="s">
        <v>2</v>
      </c>
      <c r="AD72" s="80"/>
      <c r="AE72" s="81"/>
      <c r="AF72" s="81"/>
      <c r="AG72" s="81"/>
      <c r="AH72" s="81"/>
      <c r="AI72" s="81"/>
    </row>
    <row r="73" spans="4:35">
      <c r="D73" t="s">
        <v>185</v>
      </c>
      <c r="E73" s="435" t="s">
        <v>1869</v>
      </c>
      <c r="F73" s="435" t="s">
        <v>274</v>
      </c>
      <c r="G73" s="435" t="s">
        <v>12</v>
      </c>
      <c r="H73" t="s">
        <v>182</v>
      </c>
      <c r="P73" s="76"/>
      <c r="Q73" s="76"/>
      <c r="R73" s="76"/>
      <c r="S73" s="76"/>
      <c r="T73" s="76"/>
      <c r="U73" s="76"/>
      <c r="AA73" s="435" t="s">
        <v>2707</v>
      </c>
      <c r="AC73" t="s">
        <v>2</v>
      </c>
      <c r="AD73" s="80"/>
      <c r="AE73" s="81"/>
      <c r="AF73" s="81"/>
      <c r="AG73" s="81"/>
      <c r="AH73" s="81"/>
      <c r="AI73" s="81"/>
    </row>
    <row r="74" spans="4:35">
      <c r="D74" t="s">
        <v>185</v>
      </c>
      <c r="E74" s="435" t="s">
        <v>1869</v>
      </c>
      <c r="F74" s="435" t="s">
        <v>274</v>
      </c>
      <c r="G74" s="435" t="s">
        <v>12</v>
      </c>
      <c r="H74" t="s">
        <v>182</v>
      </c>
      <c r="P74" s="76"/>
      <c r="Q74" s="76"/>
      <c r="R74" s="76"/>
      <c r="S74" s="76"/>
      <c r="T74" s="76"/>
      <c r="U74" s="76"/>
      <c r="AA74" s="435" t="s">
        <v>197</v>
      </c>
      <c r="AC74" t="s">
        <v>2</v>
      </c>
      <c r="AD74" s="80"/>
      <c r="AE74" s="81"/>
      <c r="AF74" s="81"/>
      <c r="AG74" s="81"/>
      <c r="AH74" s="81"/>
      <c r="AI74" s="81"/>
    </row>
    <row r="75" spans="4:35">
      <c r="D75" t="s">
        <v>185</v>
      </c>
      <c r="E75" s="435" t="s">
        <v>1869</v>
      </c>
      <c r="F75" s="435" t="s">
        <v>274</v>
      </c>
      <c r="G75" s="435" t="s">
        <v>12</v>
      </c>
      <c r="H75" t="s">
        <v>182</v>
      </c>
      <c r="P75" s="76"/>
      <c r="Q75" s="76"/>
      <c r="R75" s="76"/>
      <c r="S75" s="76"/>
      <c r="T75" s="76"/>
      <c r="U75" s="76"/>
      <c r="AA75" s="435" t="s">
        <v>198</v>
      </c>
      <c r="AC75" t="s">
        <v>2</v>
      </c>
      <c r="AD75" s="80"/>
      <c r="AE75" s="81"/>
      <c r="AF75" s="81"/>
      <c r="AG75" s="81"/>
      <c r="AH75" s="81"/>
      <c r="AI75" s="81"/>
    </row>
    <row r="76" spans="4:35">
      <c r="D76" t="s">
        <v>185</v>
      </c>
      <c r="E76" s="435" t="s">
        <v>1869</v>
      </c>
      <c r="F76" s="435" t="s">
        <v>274</v>
      </c>
      <c r="G76" s="435" t="s">
        <v>12</v>
      </c>
      <c r="H76" t="s">
        <v>182</v>
      </c>
      <c r="P76" s="76"/>
      <c r="Q76" s="76"/>
      <c r="R76" s="76"/>
      <c r="S76" s="76"/>
      <c r="T76" s="76"/>
      <c r="U76" s="76"/>
      <c r="AA76" s="435" t="s">
        <v>199</v>
      </c>
      <c r="AC76" t="s">
        <v>2</v>
      </c>
      <c r="AD76" s="80"/>
      <c r="AE76" s="81"/>
      <c r="AF76" s="81"/>
      <c r="AG76" s="81"/>
      <c r="AH76" s="81"/>
      <c r="AI76" s="81"/>
    </row>
    <row r="77" spans="4:35">
      <c r="D77" t="s">
        <v>185</v>
      </c>
      <c r="E77" s="435" t="s">
        <v>1869</v>
      </c>
      <c r="F77" s="435" t="s">
        <v>274</v>
      </c>
      <c r="G77" s="435" t="s">
        <v>12</v>
      </c>
      <c r="H77" t="s">
        <v>182</v>
      </c>
      <c r="P77" s="76"/>
      <c r="Q77" s="76"/>
      <c r="R77" s="76"/>
      <c r="S77" s="76"/>
      <c r="T77" s="76"/>
      <c r="U77" s="76"/>
      <c r="AA77" s="435" t="s">
        <v>200</v>
      </c>
      <c r="AC77" t="s">
        <v>2</v>
      </c>
      <c r="AD77" s="80"/>
      <c r="AE77" s="81"/>
      <c r="AF77" s="81"/>
      <c r="AG77" s="81"/>
      <c r="AH77" s="81"/>
      <c r="AI77" s="81"/>
    </row>
    <row r="78" spans="4:35">
      <c r="D78" t="s">
        <v>185</v>
      </c>
      <c r="E78" s="435" t="s">
        <v>1869</v>
      </c>
      <c r="F78" s="435" t="s">
        <v>274</v>
      </c>
      <c r="G78" s="435" t="s">
        <v>12</v>
      </c>
      <c r="H78" t="s">
        <v>182</v>
      </c>
      <c r="P78" s="76"/>
      <c r="Q78" s="76"/>
      <c r="R78" s="76"/>
      <c r="S78" s="76"/>
      <c r="T78" s="76"/>
      <c r="U78" s="76"/>
      <c r="AA78" s="435" t="s">
        <v>2708</v>
      </c>
      <c r="AC78" t="s">
        <v>2</v>
      </c>
      <c r="AD78" s="80"/>
      <c r="AE78" s="93">
        <f>SUM(AE72:AE77)</f>
        <v>0</v>
      </c>
      <c r="AF78" s="93">
        <f>SUM(AF72:AF77)</f>
        <v>0</v>
      </c>
      <c r="AG78" s="93">
        <f>SUM(AG72:AG77)</f>
        <v>0</v>
      </c>
      <c r="AH78" s="93">
        <f>SUM(AH72:AH77)</f>
        <v>0</v>
      </c>
      <c r="AI78" s="93">
        <f>SUM(AI72:AI77)</f>
        <v>0</v>
      </c>
    </row>
    <row r="79" spans="4:35">
      <c r="D79" t="s">
        <v>185</v>
      </c>
      <c r="E79" s="435" t="s">
        <v>1869</v>
      </c>
      <c r="F79" s="435" t="s">
        <v>274</v>
      </c>
      <c r="G79" s="435" t="s">
        <v>12</v>
      </c>
      <c r="H79" t="s">
        <v>182</v>
      </c>
      <c r="P79" s="76"/>
      <c r="Q79" s="76"/>
      <c r="R79" s="76"/>
      <c r="S79" s="76"/>
      <c r="T79" s="76"/>
      <c r="U79" s="76"/>
      <c r="Z79" s="435" t="s">
        <v>950</v>
      </c>
      <c r="AA79" s="435" t="s">
        <v>196</v>
      </c>
      <c r="AC79" t="s">
        <v>2</v>
      </c>
      <c r="AD79" s="80"/>
      <c r="AE79" s="81"/>
      <c r="AF79" s="81"/>
      <c r="AG79" s="81"/>
      <c r="AH79" s="81"/>
      <c r="AI79" s="81"/>
    </row>
    <row r="80" spans="4:35">
      <c r="D80" t="s">
        <v>185</v>
      </c>
      <c r="E80" s="435" t="s">
        <v>1869</v>
      </c>
      <c r="F80" s="435" t="s">
        <v>274</v>
      </c>
      <c r="G80" s="435" t="s">
        <v>12</v>
      </c>
      <c r="H80" t="s">
        <v>182</v>
      </c>
      <c r="P80" s="76"/>
      <c r="Q80" s="76"/>
      <c r="R80" s="76"/>
      <c r="S80" s="76"/>
      <c r="T80" s="76"/>
      <c r="U80" s="76"/>
      <c r="AA80" s="435" t="s">
        <v>2707</v>
      </c>
      <c r="AC80" t="s">
        <v>2</v>
      </c>
      <c r="AD80" s="80"/>
      <c r="AE80" s="81"/>
      <c r="AF80" s="81"/>
      <c r="AG80" s="81"/>
      <c r="AH80" s="81"/>
      <c r="AI80" s="81"/>
    </row>
    <row r="81" spans="4:35">
      <c r="D81" t="s">
        <v>185</v>
      </c>
      <c r="E81" s="435" t="s">
        <v>1869</v>
      </c>
      <c r="F81" s="435" t="s">
        <v>274</v>
      </c>
      <c r="G81" s="435" t="s">
        <v>12</v>
      </c>
      <c r="H81" t="s">
        <v>182</v>
      </c>
      <c r="P81" s="76"/>
      <c r="Q81" s="76"/>
      <c r="R81" s="76"/>
      <c r="S81" s="76"/>
      <c r="T81" s="76"/>
      <c r="U81" s="76"/>
      <c r="AA81" s="435" t="s">
        <v>197</v>
      </c>
      <c r="AC81" t="s">
        <v>2</v>
      </c>
      <c r="AD81" s="80"/>
      <c r="AE81" s="81"/>
      <c r="AF81" s="81"/>
      <c r="AG81" s="81"/>
      <c r="AH81" s="81"/>
      <c r="AI81" s="81"/>
    </row>
    <row r="82" spans="4:35">
      <c r="D82" t="s">
        <v>185</v>
      </c>
      <c r="E82" s="435" t="s">
        <v>1869</v>
      </c>
      <c r="F82" s="435" t="s">
        <v>274</v>
      </c>
      <c r="G82" s="435" t="s">
        <v>12</v>
      </c>
      <c r="H82" t="s">
        <v>182</v>
      </c>
      <c r="P82" s="76"/>
      <c r="Q82" s="76"/>
      <c r="R82" s="76"/>
      <c r="S82" s="76"/>
      <c r="T82" s="76"/>
      <c r="U82" s="76"/>
      <c r="AA82" s="435" t="s">
        <v>198</v>
      </c>
      <c r="AC82" t="s">
        <v>2</v>
      </c>
      <c r="AD82" s="80"/>
      <c r="AE82" s="81"/>
      <c r="AF82" s="81"/>
      <c r="AG82" s="81"/>
      <c r="AH82" s="81"/>
      <c r="AI82" s="81"/>
    </row>
    <row r="83" spans="4:35">
      <c r="D83" t="s">
        <v>185</v>
      </c>
      <c r="E83" s="435" t="s">
        <v>1869</v>
      </c>
      <c r="F83" s="435" t="s">
        <v>274</v>
      </c>
      <c r="G83" s="435" t="s">
        <v>12</v>
      </c>
      <c r="H83" t="s">
        <v>182</v>
      </c>
      <c r="P83" s="76"/>
      <c r="Q83" s="76"/>
      <c r="R83" s="76"/>
      <c r="S83" s="76"/>
      <c r="T83" s="76"/>
      <c r="U83" s="76"/>
      <c r="AA83" s="435" t="s">
        <v>199</v>
      </c>
      <c r="AC83" t="s">
        <v>2</v>
      </c>
      <c r="AD83" s="80"/>
      <c r="AE83" s="81"/>
      <c r="AF83" s="81"/>
      <c r="AG83" s="81"/>
      <c r="AH83" s="81"/>
      <c r="AI83" s="81"/>
    </row>
    <row r="84" spans="4:35">
      <c r="D84" t="s">
        <v>185</v>
      </c>
      <c r="E84" s="435" t="s">
        <v>1869</v>
      </c>
      <c r="F84" s="435" t="s">
        <v>274</v>
      </c>
      <c r="G84" s="435" t="s">
        <v>12</v>
      </c>
      <c r="H84" t="s">
        <v>182</v>
      </c>
      <c r="P84" s="76"/>
      <c r="Q84" s="76"/>
      <c r="R84" s="76"/>
      <c r="S84" s="76"/>
      <c r="T84" s="76"/>
      <c r="U84" s="76"/>
      <c r="AA84" s="435" t="s">
        <v>200</v>
      </c>
      <c r="AC84" t="s">
        <v>2</v>
      </c>
      <c r="AD84" s="80"/>
      <c r="AE84" s="81"/>
      <c r="AF84" s="81"/>
      <c r="AG84" s="81"/>
      <c r="AH84" s="81"/>
      <c r="AI84" s="81"/>
    </row>
    <row r="85" spans="4:35">
      <c r="D85" t="s">
        <v>185</v>
      </c>
      <c r="E85" s="435" t="s">
        <v>1869</v>
      </c>
      <c r="F85" s="435" t="s">
        <v>274</v>
      </c>
      <c r="G85" s="435" t="s">
        <v>12</v>
      </c>
      <c r="H85" t="s">
        <v>182</v>
      </c>
      <c r="P85" s="76"/>
      <c r="Q85" s="76"/>
      <c r="R85" s="76"/>
      <c r="S85" s="76"/>
      <c r="T85" s="76"/>
      <c r="U85" s="76"/>
      <c r="AA85" s="435" t="s">
        <v>2708</v>
      </c>
      <c r="AC85" t="s">
        <v>2</v>
      </c>
      <c r="AD85" s="80"/>
      <c r="AE85" s="93">
        <f>SUM(AE79:AE84)</f>
        <v>0</v>
      </c>
      <c r="AF85" s="93">
        <f>SUM(AF79:AF84)</f>
        <v>0</v>
      </c>
      <c r="AG85" s="93">
        <f>SUM(AG79:AG84)</f>
        <v>0</v>
      </c>
      <c r="AH85" s="93">
        <f>SUM(AH79:AH84)</f>
        <v>0</v>
      </c>
      <c r="AI85" s="93">
        <f>SUM(AI79:AI84)</f>
        <v>0</v>
      </c>
    </row>
    <row r="86" spans="4:35">
      <c r="D86" t="s">
        <v>185</v>
      </c>
      <c r="E86" s="435" t="s">
        <v>1869</v>
      </c>
      <c r="F86" s="435" t="s">
        <v>274</v>
      </c>
      <c r="G86" s="435" t="s">
        <v>12</v>
      </c>
      <c r="H86" t="s">
        <v>182</v>
      </c>
      <c r="P86" s="76"/>
      <c r="Q86" s="76"/>
      <c r="R86" s="76"/>
      <c r="S86" s="76"/>
      <c r="T86" s="76"/>
      <c r="U86" s="76"/>
      <c r="Z86" s="435" t="s">
        <v>951</v>
      </c>
      <c r="AA86" s="435" t="s">
        <v>196</v>
      </c>
      <c r="AC86" t="s">
        <v>2</v>
      </c>
      <c r="AD86" s="80"/>
      <c r="AE86" s="81"/>
      <c r="AF86" s="81"/>
      <c r="AG86" s="81"/>
      <c r="AH86" s="81"/>
      <c r="AI86" s="81"/>
    </row>
    <row r="87" spans="4:35">
      <c r="D87" t="s">
        <v>185</v>
      </c>
      <c r="E87" s="435" t="s">
        <v>1869</v>
      </c>
      <c r="F87" s="435" t="s">
        <v>274</v>
      </c>
      <c r="G87" s="435" t="s">
        <v>12</v>
      </c>
      <c r="H87" t="s">
        <v>182</v>
      </c>
      <c r="P87" s="76"/>
      <c r="Q87" s="76"/>
      <c r="R87" s="76"/>
      <c r="S87" s="76"/>
      <c r="T87" s="76"/>
      <c r="U87" s="76"/>
      <c r="AA87" s="435" t="s">
        <v>2707</v>
      </c>
      <c r="AC87" t="s">
        <v>2</v>
      </c>
      <c r="AD87" s="80"/>
      <c r="AE87" s="81"/>
      <c r="AF87" s="81"/>
      <c r="AG87" s="81"/>
      <c r="AH87" s="81"/>
      <c r="AI87" s="81"/>
    </row>
    <row r="88" spans="4:35">
      <c r="D88" t="s">
        <v>185</v>
      </c>
      <c r="E88" s="435" t="s">
        <v>1869</v>
      </c>
      <c r="F88" s="435" t="s">
        <v>274</v>
      </c>
      <c r="G88" s="435" t="s">
        <v>12</v>
      </c>
      <c r="H88" t="s">
        <v>182</v>
      </c>
      <c r="P88" s="76"/>
      <c r="Q88" s="76"/>
      <c r="R88" s="76"/>
      <c r="S88" s="76"/>
      <c r="T88" s="76"/>
      <c r="U88" s="76"/>
      <c r="AA88" s="435" t="s">
        <v>197</v>
      </c>
      <c r="AC88" t="s">
        <v>2</v>
      </c>
      <c r="AD88" s="80"/>
      <c r="AE88" s="81"/>
      <c r="AF88" s="81"/>
      <c r="AG88" s="81"/>
      <c r="AH88" s="81"/>
      <c r="AI88" s="81"/>
    </row>
    <row r="89" spans="4:35">
      <c r="D89" t="s">
        <v>185</v>
      </c>
      <c r="E89" s="435" t="s">
        <v>1869</v>
      </c>
      <c r="F89" s="435" t="s">
        <v>274</v>
      </c>
      <c r="G89" s="435" t="s">
        <v>12</v>
      </c>
      <c r="H89" t="s">
        <v>182</v>
      </c>
      <c r="P89" s="76"/>
      <c r="Q89" s="76"/>
      <c r="R89" s="76"/>
      <c r="S89" s="76"/>
      <c r="T89" s="76"/>
      <c r="U89" s="76"/>
      <c r="AA89" s="435" t="s">
        <v>198</v>
      </c>
      <c r="AC89" t="s">
        <v>2</v>
      </c>
      <c r="AD89" s="80"/>
      <c r="AE89" s="81"/>
      <c r="AF89" s="81"/>
      <c r="AG89" s="81"/>
      <c r="AH89" s="81"/>
      <c r="AI89" s="81"/>
    </row>
    <row r="90" spans="4:35">
      <c r="D90" t="s">
        <v>185</v>
      </c>
      <c r="E90" s="435" t="s">
        <v>1869</v>
      </c>
      <c r="F90" s="435" t="s">
        <v>274</v>
      </c>
      <c r="G90" s="435" t="s">
        <v>12</v>
      </c>
      <c r="H90" t="s">
        <v>182</v>
      </c>
      <c r="P90" s="76"/>
      <c r="Q90" s="76"/>
      <c r="R90" s="76"/>
      <c r="S90" s="76"/>
      <c r="T90" s="76"/>
      <c r="U90" s="76"/>
      <c r="AA90" s="435" t="s">
        <v>199</v>
      </c>
      <c r="AC90" t="s">
        <v>2</v>
      </c>
      <c r="AD90" s="80"/>
      <c r="AE90" s="81"/>
      <c r="AF90" s="81"/>
      <c r="AG90" s="81"/>
      <c r="AH90" s="81"/>
      <c r="AI90" s="81"/>
    </row>
    <row r="91" spans="4:35">
      <c r="D91" t="s">
        <v>185</v>
      </c>
      <c r="E91" s="435" t="s">
        <v>1869</v>
      </c>
      <c r="F91" s="435" t="s">
        <v>274</v>
      </c>
      <c r="G91" s="435" t="s">
        <v>12</v>
      </c>
      <c r="H91" t="s">
        <v>182</v>
      </c>
      <c r="P91" s="76"/>
      <c r="Q91" s="76"/>
      <c r="R91" s="76"/>
      <c r="S91" s="76"/>
      <c r="T91" s="76"/>
      <c r="U91" s="76"/>
      <c r="AA91" s="435" t="s">
        <v>200</v>
      </c>
      <c r="AC91" t="s">
        <v>2</v>
      </c>
      <c r="AD91" s="80"/>
      <c r="AE91" s="81"/>
      <c r="AF91" s="81"/>
      <c r="AG91" s="81"/>
      <c r="AH91" s="81"/>
      <c r="AI91" s="81"/>
    </row>
    <row r="92" spans="4:35">
      <c r="D92" t="s">
        <v>185</v>
      </c>
      <c r="E92" s="435" t="s">
        <v>1869</v>
      </c>
      <c r="F92" s="435" t="s">
        <v>274</v>
      </c>
      <c r="G92" s="435" t="s">
        <v>12</v>
      </c>
      <c r="H92" t="s">
        <v>182</v>
      </c>
      <c r="P92" s="76"/>
      <c r="Q92" s="76"/>
      <c r="R92" s="76"/>
      <c r="S92" s="76"/>
      <c r="T92" s="76"/>
      <c r="U92" s="76"/>
      <c r="AA92" s="435" t="s">
        <v>2708</v>
      </c>
      <c r="AC92" t="s">
        <v>2</v>
      </c>
      <c r="AD92" s="80"/>
      <c r="AE92" s="93">
        <f>SUM(AE86:AE91)</f>
        <v>0</v>
      </c>
      <c r="AF92" s="93">
        <f>SUM(AF86:AF91)</f>
        <v>0</v>
      </c>
      <c r="AG92" s="93">
        <f>SUM(AG86:AG91)</f>
        <v>0</v>
      </c>
      <c r="AH92" s="93">
        <f>SUM(AH86:AH91)</f>
        <v>0</v>
      </c>
      <c r="AI92" s="93">
        <f>SUM(AI86:AI91)</f>
        <v>0</v>
      </c>
    </row>
    <row r="93" spans="4:35">
      <c r="D93" t="s">
        <v>185</v>
      </c>
      <c r="E93" s="435" t="s">
        <v>1869</v>
      </c>
      <c r="F93" s="435" t="s">
        <v>274</v>
      </c>
      <c r="G93" s="435" t="s">
        <v>12</v>
      </c>
      <c r="H93" t="s">
        <v>182</v>
      </c>
      <c r="P93" s="76"/>
      <c r="Q93" s="76"/>
      <c r="R93" s="76"/>
      <c r="S93" s="76"/>
      <c r="T93" s="76"/>
      <c r="U93" s="76"/>
      <c r="Z93" s="435" t="s">
        <v>952</v>
      </c>
      <c r="AA93" s="435" t="s">
        <v>196</v>
      </c>
      <c r="AC93" t="s">
        <v>2</v>
      </c>
      <c r="AD93" s="80"/>
      <c r="AE93" s="81"/>
      <c r="AF93" s="81"/>
      <c r="AG93" s="81"/>
      <c r="AH93" s="81"/>
      <c r="AI93" s="81"/>
    </row>
    <row r="94" spans="4:35">
      <c r="D94" t="s">
        <v>185</v>
      </c>
      <c r="E94" s="435" t="s">
        <v>1869</v>
      </c>
      <c r="F94" s="435" t="s">
        <v>274</v>
      </c>
      <c r="G94" s="435" t="s">
        <v>12</v>
      </c>
      <c r="H94" t="s">
        <v>182</v>
      </c>
      <c r="P94" s="76"/>
      <c r="Q94" s="76"/>
      <c r="R94" s="76"/>
      <c r="S94" s="76"/>
      <c r="T94" s="76"/>
      <c r="U94" s="76"/>
      <c r="AA94" s="435" t="s">
        <v>2707</v>
      </c>
      <c r="AC94" t="s">
        <v>2</v>
      </c>
      <c r="AD94" s="80"/>
      <c r="AE94" s="81"/>
      <c r="AF94" s="81"/>
      <c r="AG94" s="81"/>
      <c r="AH94" s="81"/>
      <c r="AI94" s="81"/>
    </row>
    <row r="95" spans="4:35">
      <c r="D95" t="s">
        <v>185</v>
      </c>
      <c r="E95" s="435" t="s">
        <v>1869</v>
      </c>
      <c r="F95" s="435" t="s">
        <v>274</v>
      </c>
      <c r="G95" s="435" t="s">
        <v>12</v>
      </c>
      <c r="H95" t="s">
        <v>182</v>
      </c>
      <c r="P95" s="76"/>
      <c r="Q95" s="76"/>
      <c r="R95" s="76"/>
      <c r="S95" s="76"/>
      <c r="T95" s="76"/>
      <c r="U95" s="76"/>
      <c r="AA95" s="435" t="s">
        <v>197</v>
      </c>
      <c r="AC95" t="s">
        <v>2</v>
      </c>
      <c r="AD95" s="80"/>
      <c r="AE95" s="81"/>
      <c r="AF95" s="81"/>
      <c r="AG95" s="81"/>
      <c r="AH95" s="81"/>
      <c r="AI95" s="81"/>
    </row>
    <row r="96" spans="4:35">
      <c r="D96" t="s">
        <v>185</v>
      </c>
      <c r="E96" s="435" t="s">
        <v>1869</v>
      </c>
      <c r="F96" s="435" t="s">
        <v>274</v>
      </c>
      <c r="G96" s="435" t="s">
        <v>12</v>
      </c>
      <c r="H96" t="s">
        <v>182</v>
      </c>
      <c r="P96" s="76"/>
      <c r="Q96" s="76"/>
      <c r="R96" s="76"/>
      <c r="S96" s="76"/>
      <c r="T96" s="76"/>
      <c r="U96" s="76"/>
      <c r="AA96" s="435" t="s">
        <v>198</v>
      </c>
      <c r="AC96" t="s">
        <v>2</v>
      </c>
      <c r="AD96" s="80"/>
      <c r="AE96" s="81"/>
      <c r="AF96" s="81"/>
      <c r="AG96" s="81"/>
      <c r="AH96" s="81"/>
      <c r="AI96" s="81"/>
    </row>
    <row r="97" spans="4:35">
      <c r="D97" t="s">
        <v>185</v>
      </c>
      <c r="E97" s="435" t="s">
        <v>1869</v>
      </c>
      <c r="F97" s="435" t="s">
        <v>274</v>
      </c>
      <c r="G97" s="435" t="s">
        <v>12</v>
      </c>
      <c r="H97" t="s">
        <v>182</v>
      </c>
      <c r="P97" s="76"/>
      <c r="Q97" s="76"/>
      <c r="R97" s="76"/>
      <c r="S97" s="76"/>
      <c r="T97" s="76"/>
      <c r="U97" s="76"/>
      <c r="AA97" s="435" t="s">
        <v>199</v>
      </c>
      <c r="AC97" t="s">
        <v>2</v>
      </c>
      <c r="AD97" s="80"/>
      <c r="AE97" s="81"/>
      <c r="AF97" s="81"/>
      <c r="AG97" s="81"/>
      <c r="AH97" s="81"/>
      <c r="AI97" s="81"/>
    </row>
    <row r="98" spans="4:35">
      <c r="D98" t="s">
        <v>185</v>
      </c>
      <c r="E98" s="435" t="s">
        <v>1869</v>
      </c>
      <c r="F98" s="435" t="s">
        <v>274</v>
      </c>
      <c r="G98" s="435" t="s">
        <v>12</v>
      </c>
      <c r="H98" t="s">
        <v>182</v>
      </c>
      <c r="P98" s="76"/>
      <c r="Q98" s="76"/>
      <c r="R98" s="76"/>
      <c r="S98" s="76"/>
      <c r="T98" s="76"/>
      <c r="U98" s="76"/>
      <c r="AA98" s="435" t="s">
        <v>200</v>
      </c>
      <c r="AC98" t="s">
        <v>2</v>
      </c>
      <c r="AD98" s="80"/>
      <c r="AE98" s="81"/>
      <c r="AF98" s="81"/>
      <c r="AG98" s="81"/>
      <c r="AH98" s="81"/>
      <c r="AI98" s="81"/>
    </row>
    <row r="99" spans="4:35">
      <c r="D99" t="s">
        <v>185</v>
      </c>
      <c r="E99" s="435" t="s">
        <v>1869</v>
      </c>
      <c r="F99" s="435" t="s">
        <v>274</v>
      </c>
      <c r="G99" s="435" t="s">
        <v>12</v>
      </c>
      <c r="H99" t="s">
        <v>182</v>
      </c>
      <c r="P99" s="76"/>
      <c r="Q99" s="76"/>
      <c r="R99" s="76"/>
      <c r="S99" s="76"/>
      <c r="T99" s="76"/>
      <c r="U99" s="76"/>
      <c r="AA99" s="435" t="s">
        <v>2708</v>
      </c>
      <c r="AC99" t="s">
        <v>2</v>
      </c>
      <c r="AD99" s="80"/>
      <c r="AE99" s="93">
        <f>SUM(AE93:AE98)</f>
        <v>0</v>
      </c>
      <c r="AF99" s="93">
        <f>SUM(AF93:AF98)</f>
        <v>0</v>
      </c>
      <c r="AG99" s="93">
        <f>SUM(AG93:AG98)</f>
        <v>0</v>
      </c>
      <c r="AH99" s="93">
        <f>SUM(AH93:AH98)</f>
        <v>0</v>
      </c>
      <c r="AI99" s="93">
        <f>SUM(AI93:AI98)</f>
        <v>0</v>
      </c>
    </row>
    <row r="100" spans="4:35">
      <c r="D100" t="s">
        <v>185</v>
      </c>
      <c r="E100" s="435" t="s">
        <v>1869</v>
      </c>
      <c r="F100" s="435" t="s">
        <v>274</v>
      </c>
      <c r="G100" s="435" t="s">
        <v>12</v>
      </c>
      <c r="H100" t="s">
        <v>182</v>
      </c>
      <c r="P100" s="76"/>
      <c r="Q100" s="76"/>
      <c r="R100" s="76"/>
      <c r="S100" s="76"/>
      <c r="T100" s="76"/>
      <c r="U100" s="76"/>
      <c r="Z100" s="81"/>
      <c r="AA100" s="435" t="s">
        <v>196</v>
      </c>
      <c r="AC100" t="s">
        <v>2</v>
      </c>
      <c r="AD100" s="80"/>
      <c r="AE100" s="81"/>
      <c r="AF100" s="81"/>
      <c r="AG100" s="81"/>
      <c r="AH100" s="81"/>
      <c r="AI100" s="81"/>
    </row>
    <row r="101" spans="4:35">
      <c r="D101" t="s">
        <v>185</v>
      </c>
      <c r="E101" s="435" t="s">
        <v>1869</v>
      </c>
      <c r="F101" s="435" t="s">
        <v>274</v>
      </c>
      <c r="G101" s="435" t="s">
        <v>12</v>
      </c>
      <c r="H101" t="s">
        <v>182</v>
      </c>
      <c r="P101" s="76"/>
      <c r="Q101" s="76"/>
      <c r="R101" s="76"/>
      <c r="S101" s="76"/>
      <c r="T101" s="76"/>
      <c r="U101" s="76"/>
      <c r="AA101" s="435" t="s">
        <v>2707</v>
      </c>
      <c r="AC101" t="s">
        <v>2</v>
      </c>
      <c r="AD101" s="80"/>
      <c r="AE101" s="81"/>
      <c r="AF101" s="81"/>
      <c r="AG101" s="81"/>
      <c r="AH101" s="81"/>
      <c r="AI101" s="81"/>
    </row>
    <row r="102" spans="4:35">
      <c r="D102" t="s">
        <v>185</v>
      </c>
      <c r="E102" s="435" t="s">
        <v>1869</v>
      </c>
      <c r="F102" s="435" t="s">
        <v>274</v>
      </c>
      <c r="G102" s="435" t="s">
        <v>12</v>
      </c>
      <c r="H102" t="s">
        <v>182</v>
      </c>
      <c r="P102" s="76"/>
      <c r="Q102" s="76"/>
      <c r="R102" s="76"/>
      <c r="S102" s="76"/>
      <c r="T102" s="76"/>
      <c r="U102" s="76"/>
      <c r="AA102" s="435" t="s">
        <v>197</v>
      </c>
      <c r="AC102" t="s">
        <v>2</v>
      </c>
      <c r="AD102" s="80"/>
      <c r="AE102" s="81"/>
      <c r="AF102" s="81"/>
      <c r="AG102" s="81"/>
      <c r="AH102" s="81"/>
      <c r="AI102" s="81"/>
    </row>
    <row r="103" spans="4:35">
      <c r="D103" t="s">
        <v>185</v>
      </c>
      <c r="E103" s="435" t="s">
        <v>1869</v>
      </c>
      <c r="F103" s="435" t="s">
        <v>274</v>
      </c>
      <c r="G103" s="435" t="s">
        <v>12</v>
      </c>
      <c r="H103" t="s">
        <v>182</v>
      </c>
      <c r="P103" s="76"/>
      <c r="Q103" s="76"/>
      <c r="R103" s="76"/>
      <c r="S103" s="76"/>
      <c r="T103" s="76"/>
      <c r="U103" s="76"/>
      <c r="AA103" s="435" t="s">
        <v>198</v>
      </c>
      <c r="AC103" t="s">
        <v>2</v>
      </c>
      <c r="AD103" s="80"/>
      <c r="AE103" s="81"/>
      <c r="AF103" s="81"/>
      <c r="AG103" s="81"/>
      <c r="AH103" s="81"/>
      <c r="AI103" s="81"/>
    </row>
    <row r="104" spans="4:35">
      <c r="D104" t="s">
        <v>185</v>
      </c>
      <c r="E104" s="435" t="s">
        <v>1869</v>
      </c>
      <c r="F104" s="435" t="s">
        <v>274</v>
      </c>
      <c r="G104" s="435" t="s">
        <v>12</v>
      </c>
      <c r="H104" t="s">
        <v>182</v>
      </c>
      <c r="P104" s="76"/>
      <c r="Q104" s="76"/>
      <c r="R104" s="76"/>
      <c r="S104" s="76"/>
      <c r="T104" s="76"/>
      <c r="U104" s="76"/>
      <c r="AA104" s="435" t="s">
        <v>199</v>
      </c>
      <c r="AC104" t="s">
        <v>2</v>
      </c>
      <c r="AD104" s="80"/>
      <c r="AE104" s="81"/>
      <c r="AF104" s="81"/>
      <c r="AG104" s="81"/>
      <c r="AH104" s="81"/>
      <c r="AI104" s="81"/>
    </row>
    <row r="105" spans="4:35">
      <c r="D105" t="s">
        <v>185</v>
      </c>
      <c r="E105" s="435" t="s">
        <v>1869</v>
      </c>
      <c r="F105" s="435" t="s">
        <v>274</v>
      </c>
      <c r="G105" s="435" t="s">
        <v>12</v>
      </c>
      <c r="H105" t="s">
        <v>182</v>
      </c>
      <c r="P105" s="76"/>
      <c r="Q105" s="76"/>
      <c r="R105" s="76"/>
      <c r="S105" s="76"/>
      <c r="T105" s="76"/>
      <c r="U105" s="76"/>
      <c r="AA105" s="435" t="s">
        <v>200</v>
      </c>
      <c r="AC105" t="s">
        <v>2</v>
      </c>
      <c r="AD105" s="80"/>
      <c r="AE105" s="81"/>
      <c r="AF105" s="81"/>
      <c r="AG105" s="81"/>
      <c r="AH105" s="81"/>
      <c r="AI105" s="81"/>
    </row>
    <row r="106" spans="4:35">
      <c r="D106" t="s">
        <v>185</v>
      </c>
      <c r="E106" s="435" t="s">
        <v>1869</v>
      </c>
      <c r="F106" s="435" t="s">
        <v>274</v>
      </c>
      <c r="G106" s="435" t="s">
        <v>12</v>
      </c>
      <c r="H106" t="s">
        <v>182</v>
      </c>
      <c r="P106" s="76"/>
      <c r="Q106" s="76"/>
      <c r="R106" s="76"/>
      <c r="S106" s="76"/>
      <c r="T106" s="76"/>
      <c r="U106" s="76"/>
      <c r="AA106" s="435" t="s">
        <v>2708</v>
      </c>
      <c r="AC106" t="s">
        <v>2</v>
      </c>
      <c r="AD106" s="80"/>
      <c r="AE106" s="93">
        <f>SUM(AE100:AE105)</f>
        <v>0</v>
      </c>
      <c r="AF106" s="93">
        <f>SUM(AF100:AF105)</f>
        <v>0</v>
      </c>
      <c r="AG106" s="93">
        <f>SUM(AG100:AG105)</f>
        <v>0</v>
      </c>
      <c r="AH106" s="93">
        <f>SUM(AH100:AH105)</f>
        <v>0</v>
      </c>
      <c r="AI106" s="93">
        <f>SUM(AI100:AI105)</f>
        <v>0</v>
      </c>
    </row>
    <row r="107" spans="4:35">
      <c r="D107" t="s">
        <v>185</v>
      </c>
      <c r="E107" s="435" t="s">
        <v>1869</v>
      </c>
      <c r="F107" s="435" t="s">
        <v>274</v>
      </c>
      <c r="G107" s="435" t="s">
        <v>12</v>
      </c>
      <c r="H107" t="s">
        <v>182</v>
      </c>
      <c r="P107" s="76"/>
      <c r="Q107" s="76"/>
      <c r="R107" s="76"/>
      <c r="S107" s="76"/>
      <c r="T107" s="76"/>
      <c r="U107" s="76"/>
      <c r="Z107" s="81"/>
      <c r="AA107" s="435" t="s">
        <v>196</v>
      </c>
      <c r="AC107" t="s">
        <v>2</v>
      </c>
      <c r="AD107" s="80"/>
      <c r="AE107" s="81"/>
      <c r="AF107" s="81"/>
      <c r="AG107" s="81"/>
      <c r="AH107" s="81"/>
      <c r="AI107" s="81"/>
    </row>
    <row r="108" spans="4:35">
      <c r="D108" t="s">
        <v>185</v>
      </c>
      <c r="E108" s="435" t="s">
        <v>1869</v>
      </c>
      <c r="F108" s="435" t="s">
        <v>274</v>
      </c>
      <c r="G108" s="435" t="s">
        <v>12</v>
      </c>
      <c r="H108" t="s">
        <v>182</v>
      </c>
      <c r="P108" s="76"/>
      <c r="Q108" s="76"/>
      <c r="R108" s="76"/>
      <c r="S108" s="76"/>
      <c r="T108" s="76"/>
      <c r="U108" s="76"/>
      <c r="AA108" s="435" t="s">
        <v>2707</v>
      </c>
      <c r="AC108" t="s">
        <v>2</v>
      </c>
      <c r="AD108" s="80"/>
      <c r="AE108" s="81"/>
      <c r="AF108" s="81"/>
      <c r="AG108" s="81"/>
      <c r="AH108" s="81"/>
      <c r="AI108" s="81"/>
    </row>
    <row r="109" spans="4:35">
      <c r="D109" t="s">
        <v>185</v>
      </c>
      <c r="E109" s="435" t="s">
        <v>1869</v>
      </c>
      <c r="F109" s="435" t="s">
        <v>274</v>
      </c>
      <c r="G109" s="435" t="s">
        <v>12</v>
      </c>
      <c r="H109" t="s">
        <v>182</v>
      </c>
      <c r="P109" s="76"/>
      <c r="Q109" s="76"/>
      <c r="R109" s="76"/>
      <c r="S109" s="76"/>
      <c r="T109" s="76"/>
      <c r="U109" s="76"/>
      <c r="AA109" s="435" t="s">
        <v>197</v>
      </c>
      <c r="AC109" t="s">
        <v>2</v>
      </c>
      <c r="AD109" s="80"/>
      <c r="AE109" s="81"/>
      <c r="AF109" s="81"/>
      <c r="AG109" s="81"/>
      <c r="AH109" s="81"/>
      <c r="AI109" s="81"/>
    </row>
    <row r="110" spans="4:35">
      <c r="D110" t="s">
        <v>185</v>
      </c>
      <c r="E110" s="435" t="s">
        <v>1869</v>
      </c>
      <c r="F110" s="435" t="s">
        <v>274</v>
      </c>
      <c r="G110" s="435" t="s">
        <v>12</v>
      </c>
      <c r="H110" t="s">
        <v>182</v>
      </c>
      <c r="P110" s="76"/>
      <c r="Q110" s="76"/>
      <c r="R110" s="76"/>
      <c r="S110" s="76"/>
      <c r="T110" s="76"/>
      <c r="U110" s="76"/>
      <c r="AA110" s="435" t="s">
        <v>198</v>
      </c>
      <c r="AC110" t="s">
        <v>2</v>
      </c>
      <c r="AD110" s="80"/>
      <c r="AE110" s="81"/>
      <c r="AF110" s="81"/>
      <c r="AG110" s="81"/>
      <c r="AH110" s="81"/>
      <c r="AI110" s="81"/>
    </row>
    <row r="111" spans="4:35">
      <c r="D111" t="s">
        <v>185</v>
      </c>
      <c r="E111" s="435" t="s">
        <v>1869</v>
      </c>
      <c r="F111" s="435" t="s">
        <v>274</v>
      </c>
      <c r="G111" s="435" t="s">
        <v>12</v>
      </c>
      <c r="H111" t="s">
        <v>182</v>
      </c>
      <c r="P111" s="76"/>
      <c r="Q111" s="76"/>
      <c r="R111" s="76"/>
      <c r="S111" s="76"/>
      <c r="T111" s="76"/>
      <c r="U111" s="76"/>
      <c r="AA111" s="435" t="s">
        <v>199</v>
      </c>
      <c r="AC111" t="s">
        <v>2</v>
      </c>
      <c r="AD111" s="80"/>
      <c r="AE111" s="81"/>
      <c r="AF111" s="81"/>
      <c r="AG111" s="81"/>
      <c r="AH111" s="81"/>
      <c r="AI111" s="81"/>
    </row>
    <row r="112" spans="4:35">
      <c r="D112" t="s">
        <v>185</v>
      </c>
      <c r="E112" s="435" t="s">
        <v>1869</v>
      </c>
      <c r="F112" s="435" t="s">
        <v>274</v>
      </c>
      <c r="G112" s="435" t="s">
        <v>12</v>
      </c>
      <c r="H112" t="s">
        <v>182</v>
      </c>
      <c r="P112" s="76"/>
      <c r="Q112" s="76"/>
      <c r="R112" s="76"/>
      <c r="S112" s="76"/>
      <c r="T112" s="76"/>
      <c r="U112" s="76"/>
      <c r="AA112" s="435" t="s">
        <v>200</v>
      </c>
      <c r="AC112" t="s">
        <v>2</v>
      </c>
      <c r="AD112" s="80"/>
      <c r="AE112" s="81"/>
      <c r="AF112" s="81"/>
      <c r="AG112" s="81"/>
      <c r="AH112" s="81"/>
      <c r="AI112" s="81"/>
    </row>
    <row r="113" spans="1:35" s="67" customFormat="1">
      <c r="D113" t="s">
        <v>185</v>
      </c>
      <c r="E113" s="435" t="s">
        <v>1869</v>
      </c>
      <c r="F113" s="435" t="s">
        <v>274</v>
      </c>
      <c r="G113" s="435" t="s">
        <v>12</v>
      </c>
      <c r="H113" t="s">
        <v>182</v>
      </c>
      <c r="I113"/>
      <c r="J113"/>
      <c r="K113"/>
      <c r="L113"/>
      <c r="M113"/>
      <c r="N113"/>
      <c r="O113"/>
      <c r="P113" s="76"/>
      <c r="Q113" s="76"/>
      <c r="R113" s="76"/>
      <c r="S113" s="76"/>
      <c r="T113" s="76"/>
      <c r="U113" s="76"/>
      <c r="V113"/>
      <c r="W113"/>
      <c r="X113"/>
      <c r="Y113"/>
      <c r="Z113" s="435"/>
      <c r="AA113" s="435" t="s">
        <v>2708</v>
      </c>
      <c r="AB113"/>
      <c r="AC113" t="s">
        <v>2</v>
      </c>
      <c r="AD113" s="80"/>
      <c r="AE113" s="93">
        <f>SUM(AE107:AE112)</f>
        <v>0</v>
      </c>
      <c r="AF113" s="93">
        <f>SUM(AF107:AF112)</f>
        <v>0</v>
      </c>
      <c r="AG113" s="93">
        <f>SUM(AG107:AG112)</f>
        <v>0</v>
      </c>
      <c r="AH113" s="93">
        <f>SUM(AH107:AH112)</f>
        <v>0</v>
      </c>
      <c r="AI113" s="93">
        <f>SUM(AI107:AI112)</f>
        <v>0</v>
      </c>
    </row>
    <row r="115" spans="1:35" s="73" customFormat="1" ht="18">
      <c r="A115" s="74" t="s">
        <v>76</v>
      </c>
    </row>
  </sheetData>
  <mergeCells count="1">
    <mergeCell ref="AE6:AI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K121"/>
  <sheetViews>
    <sheetView zoomScale="80" zoomScaleNormal="80" workbookViewId="0">
      <pane ySplit="8" topLeftCell="A9" activePane="bottomLeft" state="frozen"/>
      <selection activeCell="F13" sqref="F13"/>
      <selection pane="bottomLeft"/>
    </sheetView>
  </sheetViews>
  <sheetFormatPr defaultRowHeight="14.25"/>
  <cols>
    <col min="1" max="3" width="1.73046875" customWidth="1"/>
    <col min="4" max="4" width="8.1328125" bestFit="1" customWidth="1"/>
    <col min="5" max="5" width="5" bestFit="1" customWidth="1"/>
    <col min="6" max="7" width="5" style="435" customWidth="1"/>
    <col min="8" max="8" width="25.73046875" bestFit="1" customWidth="1"/>
    <col min="9" max="9" width="9.3984375" bestFit="1" customWidth="1"/>
    <col min="10" max="10" width="10.73046875" bestFit="1" customWidth="1"/>
    <col min="11" max="11" width="31.3984375" bestFit="1" customWidth="1"/>
    <col min="12" max="14" width="1.73046875" customWidth="1"/>
    <col min="15" max="15" width="14.86328125" bestFit="1" customWidth="1"/>
    <col min="16" max="17" width="1.73046875" customWidth="1"/>
    <col min="18" max="18" width="29.265625" bestFit="1" customWidth="1"/>
    <col min="19" max="28" width="1.73046875" hidden="1" customWidth="1"/>
    <col min="29" max="29" width="5" bestFit="1" customWidth="1"/>
    <col min="30" max="30" width="7.73046875" customWidth="1"/>
  </cols>
  <sheetData>
    <row r="1" spans="1:37" s="73" customFormat="1" ht="23.25">
      <c r="A1" s="89" t="str">
        <f>'1.1 Cover'!A2</f>
        <v>Regulatory Reporting Pack</v>
      </c>
    </row>
    <row r="2" spans="1:37" s="73" customFormat="1" ht="23.25">
      <c r="A2" s="89" t="str">
        <f>'1.1 Cover'!A3</f>
        <v>Price base - 2018/19</v>
      </c>
    </row>
    <row r="3" spans="1:37" s="73" customFormat="1" ht="23.25">
      <c r="A3" s="89" t="str">
        <f>'1.1 Cover'!A4</f>
        <v>Regulatory Year: April 2021 - March 2022</v>
      </c>
    </row>
    <row r="4" spans="1:37" s="73" customFormat="1" ht="23.25">
      <c r="A4" s="89" t="s">
        <v>248</v>
      </c>
    </row>
    <row r="6" spans="1:37">
      <c r="AD6" s="80"/>
      <c r="AE6" s="1362" t="s">
        <v>112</v>
      </c>
      <c r="AF6" s="1363"/>
      <c r="AG6" s="1363"/>
      <c r="AH6" s="1363"/>
      <c r="AI6" s="1364"/>
    </row>
    <row r="7" spans="1:37" s="67" customFormat="1">
      <c r="D7" s="87" t="s">
        <v>111</v>
      </c>
      <c r="E7" s="87" t="s">
        <v>68</v>
      </c>
      <c r="F7" s="87" t="s">
        <v>2692</v>
      </c>
      <c r="G7" s="87" t="s">
        <v>2681</v>
      </c>
      <c r="H7" s="87" t="s">
        <v>110</v>
      </c>
      <c r="I7" s="87" t="s">
        <v>109</v>
      </c>
      <c r="J7" s="87" t="s">
        <v>108</v>
      </c>
      <c r="K7" s="87" t="s">
        <v>107</v>
      </c>
      <c r="L7" s="87" t="s">
        <v>106</v>
      </c>
      <c r="M7" s="87" t="s">
        <v>105</v>
      </c>
      <c r="N7" s="87"/>
      <c r="O7" s="87" t="s">
        <v>103</v>
      </c>
      <c r="P7" s="87"/>
      <c r="Q7" s="87"/>
      <c r="R7" s="67" t="s">
        <v>190</v>
      </c>
      <c r="S7" s="86" t="s">
        <v>100</v>
      </c>
      <c r="T7" s="86" t="s">
        <v>99</v>
      </c>
      <c r="U7" s="86" t="s">
        <v>98</v>
      </c>
      <c r="V7" s="86" t="s">
        <v>97</v>
      </c>
      <c r="W7" s="86" t="s">
        <v>96</v>
      </c>
      <c r="X7" s="86" t="s">
        <v>95</v>
      </c>
      <c r="Y7" s="86" t="s">
        <v>94</v>
      </c>
      <c r="Z7" s="86" t="s">
        <v>93</v>
      </c>
      <c r="AA7" s="86" t="s">
        <v>92</v>
      </c>
      <c r="AB7" s="86" t="s">
        <v>91</v>
      </c>
      <c r="AC7" s="67" t="s">
        <v>5</v>
      </c>
      <c r="AD7" s="80"/>
      <c r="AE7" s="90">
        <v>2022</v>
      </c>
      <c r="AF7" s="91">
        <v>2023</v>
      </c>
      <c r="AG7" s="91">
        <v>2024</v>
      </c>
      <c r="AH7" s="91">
        <v>2025</v>
      </c>
      <c r="AI7" s="92">
        <v>2026</v>
      </c>
    </row>
    <row r="8" spans="1:37">
      <c r="R8" s="67"/>
      <c r="S8" s="67"/>
      <c r="T8" s="67"/>
      <c r="U8" s="67"/>
    </row>
    <row r="9" spans="1:37" s="1" customFormat="1" ht="17.649999999999999">
      <c r="B9" s="2" t="s">
        <v>6</v>
      </c>
    </row>
    <row r="11" spans="1:37" s="1" customFormat="1" ht="13.9">
      <c r="A11" s="66"/>
      <c r="B11" s="78" t="s">
        <v>165</v>
      </c>
    </row>
    <row r="13" spans="1:37">
      <c r="D13" s="435" t="s">
        <v>1869</v>
      </c>
      <c r="E13" s="435" t="s">
        <v>1869</v>
      </c>
      <c r="F13" s="435" t="s">
        <v>274</v>
      </c>
      <c r="G13" s="435" t="s">
        <v>12</v>
      </c>
      <c r="H13" t="s">
        <v>77</v>
      </c>
      <c r="I13" t="s">
        <v>1</v>
      </c>
      <c r="J13" t="s">
        <v>121</v>
      </c>
      <c r="K13" t="s">
        <v>122</v>
      </c>
      <c r="O13" t="s">
        <v>77</v>
      </c>
      <c r="R13" t="s">
        <v>191</v>
      </c>
      <c r="AC13" t="s">
        <v>2</v>
      </c>
      <c r="AD13" s="80"/>
      <c r="AE13" s="81"/>
      <c r="AF13" s="81"/>
      <c r="AG13" s="81"/>
      <c r="AH13" s="81"/>
      <c r="AI13" s="81"/>
    </row>
    <row r="14" spans="1:37">
      <c r="D14" s="435" t="s">
        <v>79</v>
      </c>
      <c r="E14" s="435" t="s">
        <v>1869</v>
      </c>
      <c r="F14" s="435" t="s">
        <v>274</v>
      </c>
      <c r="G14" s="435" t="s">
        <v>12</v>
      </c>
      <c r="H14" t="s">
        <v>77</v>
      </c>
      <c r="I14" t="s">
        <v>1</v>
      </c>
      <c r="J14" t="s">
        <v>121</v>
      </c>
      <c r="K14" t="s">
        <v>122</v>
      </c>
      <c r="O14" t="s">
        <v>77</v>
      </c>
      <c r="R14" t="s">
        <v>193</v>
      </c>
      <c r="AC14" t="s">
        <v>2</v>
      </c>
      <c r="AD14" s="80"/>
      <c r="AE14" s="81"/>
      <c r="AF14" s="81"/>
      <c r="AG14" s="81"/>
      <c r="AH14" s="81"/>
      <c r="AI14" s="81"/>
      <c r="AK14" s="435"/>
    </row>
    <row r="15" spans="1:37">
      <c r="D15" s="435" t="s">
        <v>185</v>
      </c>
      <c r="E15" s="435" t="s">
        <v>1869</v>
      </c>
      <c r="F15" s="435" t="s">
        <v>274</v>
      </c>
      <c r="G15" s="435" t="s">
        <v>12</v>
      </c>
      <c r="H15" t="s">
        <v>77</v>
      </c>
      <c r="I15" t="s">
        <v>1</v>
      </c>
      <c r="J15" t="s">
        <v>121</v>
      </c>
      <c r="K15" t="s">
        <v>122</v>
      </c>
      <c r="O15" t="s">
        <v>77</v>
      </c>
      <c r="R15" t="s">
        <v>194</v>
      </c>
      <c r="AC15" t="s">
        <v>2</v>
      </c>
      <c r="AD15" s="80"/>
      <c r="AE15" s="81"/>
      <c r="AF15" s="81"/>
      <c r="AG15" s="81"/>
      <c r="AH15" s="81"/>
      <c r="AI15" s="81"/>
    </row>
    <row r="16" spans="1:37">
      <c r="D16" s="435" t="s">
        <v>1869</v>
      </c>
      <c r="E16" s="435" t="s">
        <v>1869</v>
      </c>
      <c r="F16" s="435" t="s">
        <v>274</v>
      </c>
      <c r="G16" s="435" t="s">
        <v>12</v>
      </c>
      <c r="H16" t="s">
        <v>77</v>
      </c>
      <c r="I16" t="s">
        <v>1</v>
      </c>
      <c r="J16" t="s">
        <v>121</v>
      </c>
      <c r="K16" t="s">
        <v>122</v>
      </c>
      <c r="O16" t="s">
        <v>77</v>
      </c>
      <c r="R16" t="s">
        <v>192</v>
      </c>
      <c r="AC16" t="s">
        <v>2</v>
      </c>
      <c r="AD16" s="80"/>
      <c r="AE16" s="81"/>
      <c r="AF16" s="81"/>
      <c r="AG16" s="81"/>
      <c r="AH16" s="81"/>
      <c r="AI16" s="81"/>
    </row>
    <row r="17" spans="1:35">
      <c r="D17" s="435" t="s">
        <v>1869</v>
      </c>
      <c r="E17" s="435" t="s">
        <v>1869</v>
      </c>
      <c r="F17" s="435" t="s">
        <v>274</v>
      </c>
      <c r="G17" s="435" t="s">
        <v>12</v>
      </c>
      <c r="H17" t="s">
        <v>77</v>
      </c>
      <c r="I17" t="s">
        <v>1</v>
      </c>
      <c r="J17" t="s">
        <v>121</v>
      </c>
      <c r="K17" t="s">
        <v>122</v>
      </c>
      <c r="O17" t="s">
        <v>77</v>
      </c>
      <c r="R17" t="s">
        <v>204</v>
      </c>
      <c r="AC17" t="s">
        <v>2</v>
      </c>
      <c r="AD17" s="80"/>
      <c r="AE17" s="81"/>
      <c r="AF17" s="81"/>
      <c r="AG17" s="81"/>
      <c r="AH17" s="81"/>
      <c r="AI17" s="81"/>
    </row>
    <row r="18" spans="1:35">
      <c r="D18" s="435" t="s">
        <v>1869</v>
      </c>
      <c r="E18" s="435" t="s">
        <v>1869</v>
      </c>
      <c r="F18" s="435" t="s">
        <v>274</v>
      </c>
      <c r="G18" s="435" t="s">
        <v>12</v>
      </c>
      <c r="H18" t="s">
        <v>77</v>
      </c>
      <c r="I18" t="s">
        <v>1</v>
      </c>
      <c r="J18" t="s">
        <v>121</v>
      </c>
      <c r="K18" t="s">
        <v>122</v>
      </c>
      <c r="O18" t="s">
        <v>77</v>
      </c>
      <c r="R18" t="s">
        <v>205</v>
      </c>
      <c r="AC18" t="s">
        <v>2</v>
      </c>
      <c r="AD18" s="80"/>
      <c r="AE18" s="81"/>
      <c r="AF18" s="81"/>
      <c r="AG18" s="81"/>
      <c r="AH18" s="81"/>
      <c r="AI18" s="81"/>
    </row>
    <row r="20" spans="1:35" s="1" customFormat="1" ht="13.9">
      <c r="A20" s="66"/>
      <c r="B20" s="78" t="s">
        <v>203</v>
      </c>
    </row>
    <row r="22" spans="1:35">
      <c r="D22" s="435" t="s">
        <v>1869</v>
      </c>
      <c r="E22" s="435" t="s">
        <v>1869</v>
      </c>
      <c r="F22" s="435" t="s">
        <v>274</v>
      </c>
      <c r="G22" s="435" t="s">
        <v>12</v>
      </c>
      <c r="H22" t="s">
        <v>77</v>
      </c>
      <c r="I22" t="s">
        <v>1</v>
      </c>
      <c r="J22" t="s">
        <v>121</v>
      </c>
      <c r="K22" t="s">
        <v>123</v>
      </c>
      <c r="O22" t="s">
        <v>77</v>
      </c>
      <c r="R22" t="s">
        <v>191</v>
      </c>
      <c r="AC22" t="s">
        <v>2</v>
      </c>
      <c r="AD22" s="80"/>
      <c r="AE22" s="81"/>
      <c r="AF22" s="81"/>
      <c r="AG22" s="81"/>
      <c r="AH22" s="81"/>
      <c r="AI22" s="81"/>
    </row>
    <row r="23" spans="1:35">
      <c r="D23" s="435" t="s">
        <v>79</v>
      </c>
      <c r="E23" s="435" t="s">
        <v>1869</v>
      </c>
      <c r="F23" s="435" t="s">
        <v>274</v>
      </c>
      <c r="G23" s="435" t="s">
        <v>12</v>
      </c>
      <c r="H23" t="s">
        <v>77</v>
      </c>
      <c r="I23" t="s">
        <v>1</v>
      </c>
      <c r="J23" t="s">
        <v>121</v>
      </c>
      <c r="K23" t="s">
        <v>123</v>
      </c>
      <c r="O23" t="s">
        <v>77</v>
      </c>
      <c r="R23" t="s">
        <v>193</v>
      </c>
      <c r="AC23" t="s">
        <v>2</v>
      </c>
      <c r="AD23" s="80"/>
      <c r="AE23" s="81"/>
      <c r="AF23" s="81"/>
      <c r="AG23" s="81"/>
      <c r="AH23" s="81"/>
      <c r="AI23" s="81"/>
    </row>
    <row r="24" spans="1:35">
      <c r="D24" s="435" t="s">
        <v>185</v>
      </c>
      <c r="E24" s="435" t="s">
        <v>1869</v>
      </c>
      <c r="F24" s="435" t="s">
        <v>274</v>
      </c>
      <c r="G24" s="435" t="s">
        <v>12</v>
      </c>
      <c r="H24" t="s">
        <v>77</v>
      </c>
      <c r="I24" t="s">
        <v>1</v>
      </c>
      <c r="J24" t="s">
        <v>121</v>
      </c>
      <c r="K24" t="s">
        <v>123</v>
      </c>
      <c r="O24" t="s">
        <v>77</v>
      </c>
      <c r="R24" t="s">
        <v>194</v>
      </c>
      <c r="AC24" t="s">
        <v>2</v>
      </c>
      <c r="AD24" s="80"/>
      <c r="AE24" s="81"/>
      <c r="AF24" s="81"/>
      <c r="AG24" s="81"/>
      <c r="AH24" s="81"/>
      <c r="AI24" s="81"/>
    </row>
    <row r="25" spans="1:35">
      <c r="D25" s="435" t="s">
        <v>1869</v>
      </c>
      <c r="E25" s="435" t="s">
        <v>1869</v>
      </c>
      <c r="F25" s="435" t="s">
        <v>274</v>
      </c>
      <c r="G25" s="435" t="s">
        <v>12</v>
      </c>
      <c r="H25" t="s">
        <v>77</v>
      </c>
      <c r="I25" t="s">
        <v>1</v>
      </c>
      <c r="J25" t="s">
        <v>121</v>
      </c>
      <c r="K25" t="s">
        <v>123</v>
      </c>
      <c r="O25" t="s">
        <v>77</v>
      </c>
      <c r="R25" t="s">
        <v>192</v>
      </c>
      <c r="AC25" t="s">
        <v>2</v>
      </c>
      <c r="AD25" s="80"/>
      <c r="AE25" s="81"/>
      <c r="AF25" s="81"/>
      <c r="AG25" s="81"/>
      <c r="AH25" s="81"/>
      <c r="AI25" s="81"/>
    </row>
    <row r="26" spans="1:35">
      <c r="D26" s="435" t="s">
        <v>1869</v>
      </c>
      <c r="E26" s="435" t="s">
        <v>1869</v>
      </c>
      <c r="F26" s="435" t="s">
        <v>274</v>
      </c>
      <c r="G26" s="435" t="s">
        <v>12</v>
      </c>
      <c r="H26" t="s">
        <v>77</v>
      </c>
      <c r="I26" t="s">
        <v>1</v>
      </c>
      <c r="J26" t="s">
        <v>121</v>
      </c>
      <c r="K26" t="s">
        <v>123</v>
      </c>
      <c r="O26" t="s">
        <v>77</v>
      </c>
      <c r="R26" t="s">
        <v>204</v>
      </c>
      <c r="AC26" t="s">
        <v>2</v>
      </c>
      <c r="AD26" s="80"/>
      <c r="AE26" s="81"/>
      <c r="AF26" s="81"/>
      <c r="AG26" s="81"/>
      <c r="AH26" s="81"/>
      <c r="AI26" s="81"/>
    </row>
    <row r="27" spans="1:35">
      <c r="D27" s="435" t="s">
        <v>1869</v>
      </c>
      <c r="E27" s="435" t="s">
        <v>1869</v>
      </c>
      <c r="F27" s="435" t="s">
        <v>274</v>
      </c>
      <c r="G27" s="435" t="s">
        <v>12</v>
      </c>
      <c r="H27" t="s">
        <v>77</v>
      </c>
      <c r="I27" t="s">
        <v>1</v>
      </c>
      <c r="J27" t="s">
        <v>121</v>
      </c>
      <c r="K27" t="s">
        <v>123</v>
      </c>
      <c r="O27" t="s">
        <v>77</v>
      </c>
      <c r="R27" t="s">
        <v>205</v>
      </c>
      <c r="AC27" t="s">
        <v>2</v>
      </c>
      <c r="AD27" s="80"/>
      <c r="AE27" s="81"/>
      <c r="AF27" s="81"/>
      <c r="AG27" s="81"/>
      <c r="AH27" s="81"/>
      <c r="AI27" s="81"/>
    </row>
    <row r="29" spans="1:35" s="1" customFormat="1" ht="13.9">
      <c r="A29" s="66"/>
      <c r="B29" s="78" t="s">
        <v>206</v>
      </c>
    </row>
    <row r="31" spans="1:35">
      <c r="D31" s="435" t="s">
        <v>1869</v>
      </c>
      <c r="E31" s="435" t="s">
        <v>1869</v>
      </c>
      <c r="F31" s="435" t="s">
        <v>274</v>
      </c>
      <c r="G31" s="435" t="s">
        <v>12</v>
      </c>
      <c r="H31" t="s">
        <v>77</v>
      </c>
      <c r="I31" t="s">
        <v>1</v>
      </c>
      <c r="J31" t="s">
        <v>121</v>
      </c>
      <c r="K31" t="s">
        <v>124</v>
      </c>
      <c r="O31" t="s">
        <v>77</v>
      </c>
      <c r="R31" t="s">
        <v>191</v>
      </c>
      <c r="AC31" t="s">
        <v>2</v>
      </c>
      <c r="AD31" s="80"/>
      <c r="AE31" s="81"/>
      <c r="AF31" s="81"/>
      <c r="AG31" s="81"/>
      <c r="AH31" s="81"/>
      <c r="AI31" s="81"/>
    </row>
    <row r="32" spans="1:35">
      <c r="D32" s="435" t="s">
        <v>79</v>
      </c>
      <c r="E32" s="435" t="s">
        <v>1869</v>
      </c>
      <c r="F32" s="435" t="s">
        <v>274</v>
      </c>
      <c r="G32" s="435" t="s">
        <v>12</v>
      </c>
      <c r="H32" t="s">
        <v>77</v>
      </c>
      <c r="I32" t="s">
        <v>1</v>
      </c>
      <c r="J32" t="s">
        <v>121</v>
      </c>
      <c r="K32" t="s">
        <v>124</v>
      </c>
      <c r="O32" t="s">
        <v>77</v>
      </c>
      <c r="R32" t="s">
        <v>193</v>
      </c>
      <c r="AC32" t="s">
        <v>2</v>
      </c>
      <c r="AD32" s="80"/>
      <c r="AE32" s="81"/>
      <c r="AF32" s="81"/>
      <c r="AG32" s="81"/>
      <c r="AH32" s="81"/>
      <c r="AI32" s="81"/>
    </row>
    <row r="33" spans="1:35">
      <c r="D33" s="435" t="s">
        <v>185</v>
      </c>
      <c r="E33" s="435" t="s">
        <v>1869</v>
      </c>
      <c r="F33" s="435" t="s">
        <v>274</v>
      </c>
      <c r="G33" s="435" t="s">
        <v>12</v>
      </c>
      <c r="H33" t="s">
        <v>77</v>
      </c>
      <c r="I33" t="s">
        <v>1</v>
      </c>
      <c r="J33" t="s">
        <v>121</v>
      </c>
      <c r="K33" t="s">
        <v>124</v>
      </c>
      <c r="O33" t="s">
        <v>77</v>
      </c>
      <c r="R33" t="s">
        <v>194</v>
      </c>
      <c r="AC33" t="s">
        <v>2</v>
      </c>
      <c r="AD33" s="80"/>
      <c r="AE33" s="81"/>
      <c r="AF33" s="81"/>
      <c r="AG33" s="81"/>
      <c r="AH33" s="81"/>
      <c r="AI33" s="81"/>
    </row>
    <row r="34" spans="1:35">
      <c r="D34" s="435" t="s">
        <v>1869</v>
      </c>
      <c r="E34" s="435" t="s">
        <v>1869</v>
      </c>
      <c r="F34" s="435" t="s">
        <v>274</v>
      </c>
      <c r="G34" s="435" t="s">
        <v>12</v>
      </c>
      <c r="H34" t="s">
        <v>77</v>
      </c>
      <c r="I34" t="s">
        <v>1</v>
      </c>
      <c r="J34" t="s">
        <v>121</v>
      </c>
      <c r="K34" t="s">
        <v>124</v>
      </c>
      <c r="O34" t="s">
        <v>77</v>
      </c>
      <c r="R34" t="s">
        <v>192</v>
      </c>
      <c r="AC34" t="s">
        <v>2</v>
      </c>
      <c r="AD34" s="80"/>
      <c r="AE34" s="81"/>
      <c r="AF34" s="81"/>
      <c r="AG34" s="81"/>
      <c r="AH34" s="81"/>
      <c r="AI34" s="81"/>
    </row>
    <row r="35" spans="1:35">
      <c r="D35" s="435" t="s">
        <v>1869</v>
      </c>
      <c r="E35" s="435" t="s">
        <v>1869</v>
      </c>
      <c r="F35" s="435" t="s">
        <v>274</v>
      </c>
      <c r="G35" s="435" t="s">
        <v>12</v>
      </c>
      <c r="H35" t="s">
        <v>77</v>
      </c>
      <c r="I35" t="s">
        <v>1</v>
      </c>
      <c r="J35" t="s">
        <v>121</v>
      </c>
      <c r="K35" t="s">
        <v>124</v>
      </c>
      <c r="O35" t="s">
        <v>77</v>
      </c>
      <c r="R35" t="s">
        <v>204</v>
      </c>
      <c r="AC35" t="s">
        <v>2</v>
      </c>
      <c r="AD35" s="80"/>
      <c r="AE35" s="81"/>
      <c r="AF35" s="81"/>
      <c r="AG35" s="81"/>
      <c r="AH35" s="81"/>
      <c r="AI35" s="81"/>
    </row>
    <row r="36" spans="1:35">
      <c r="D36" s="435" t="s">
        <v>1869</v>
      </c>
      <c r="E36" s="435" t="s">
        <v>1869</v>
      </c>
      <c r="F36" s="435" t="s">
        <v>274</v>
      </c>
      <c r="G36" s="435" t="s">
        <v>12</v>
      </c>
      <c r="H36" t="s">
        <v>77</v>
      </c>
      <c r="I36" t="s">
        <v>1</v>
      </c>
      <c r="J36" t="s">
        <v>121</v>
      </c>
      <c r="K36" t="s">
        <v>124</v>
      </c>
      <c r="O36" t="s">
        <v>77</v>
      </c>
      <c r="R36" t="s">
        <v>205</v>
      </c>
      <c r="AC36" t="s">
        <v>2</v>
      </c>
      <c r="AD36" s="80"/>
      <c r="AE36" s="81"/>
      <c r="AF36" s="81"/>
      <c r="AG36" s="81"/>
      <c r="AH36" s="81"/>
      <c r="AI36" s="81"/>
    </row>
    <row r="37" spans="1:35">
      <c r="AE37" s="76"/>
      <c r="AF37" s="76"/>
      <c r="AG37" s="76"/>
      <c r="AH37" s="76"/>
      <c r="AI37" s="76"/>
    </row>
    <row r="38" spans="1:35" s="1" customFormat="1" ht="13.9">
      <c r="A38" s="66"/>
      <c r="B38" s="78" t="s">
        <v>125</v>
      </c>
    </row>
    <row r="40" spans="1:35">
      <c r="D40" s="435" t="s">
        <v>1869</v>
      </c>
      <c r="E40" s="435" t="s">
        <v>1869</v>
      </c>
      <c r="F40" s="435" t="s">
        <v>274</v>
      </c>
      <c r="G40" s="435" t="s">
        <v>12</v>
      </c>
      <c r="H40" t="s">
        <v>77</v>
      </c>
      <c r="I40" t="s">
        <v>1</v>
      </c>
      <c r="J40" t="s">
        <v>121</v>
      </c>
      <c r="K40" t="s">
        <v>125</v>
      </c>
      <c r="O40" t="s">
        <v>77</v>
      </c>
      <c r="R40" t="s">
        <v>191</v>
      </c>
      <c r="AC40" t="s">
        <v>2</v>
      </c>
      <c r="AD40" s="80"/>
      <c r="AE40" s="81"/>
      <c r="AF40" s="81"/>
      <c r="AG40" s="81"/>
      <c r="AH40" s="81"/>
      <c r="AI40" s="81"/>
    </row>
    <row r="41" spans="1:35">
      <c r="D41" s="435" t="s">
        <v>79</v>
      </c>
      <c r="E41" s="435" t="s">
        <v>1869</v>
      </c>
      <c r="F41" s="435" t="s">
        <v>274</v>
      </c>
      <c r="G41" s="435" t="s">
        <v>12</v>
      </c>
      <c r="H41" t="s">
        <v>77</v>
      </c>
      <c r="I41" t="s">
        <v>1</v>
      </c>
      <c r="J41" t="s">
        <v>121</v>
      </c>
      <c r="K41" t="s">
        <v>125</v>
      </c>
      <c r="O41" t="s">
        <v>77</v>
      </c>
      <c r="R41" t="s">
        <v>193</v>
      </c>
      <c r="AC41" t="s">
        <v>2</v>
      </c>
      <c r="AD41" s="80"/>
      <c r="AE41" s="81"/>
      <c r="AF41" s="81"/>
      <c r="AG41" s="81"/>
      <c r="AH41" s="81"/>
      <c r="AI41" s="81"/>
    </row>
    <row r="42" spans="1:35">
      <c r="D42" s="435" t="s">
        <v>185</v>
      </c>
      <c r="E42" s="435" t="s">
        <v>1869</v>
      </c>
      <c r="F42" s="435" t="s">
        <v>274</v>
      </c>
      <c r="G42" s="435" t="s">
        <v>12</v>
      </c>
      <c r="H42" t="s">
        <v>77</v>
      </c>
      <c r="I42" t="s">
        <v>1</v>
      </c>
      <c r="J42" t="s">
        <v>121</v>
      </c>
      <c r="K42" t="s">
        <v>125</v>
      </c>
      <c r="O42" t="s">
        <v>77</v>
      </c>
      <c r="R42" t="s">
        <v>194</v>
      </c>
      <c r="AC42" t="s">
        <v>2</v>
      </c>
      <c r="AD42" s="80"/>
      <c r="AE42" s="81"/>
      <c r="AF42" s="81"/>
      <c r="AG42" s="81"/>
      <c r="AH42" s="81"/>
      <c r="AI42" s="81"/>
    </row>
    <row r="43" spans="1:35">
      <c r="D43" s="435" t="s">
        <v>1869</v>
      </c>
      <c r="E43" s="435" t="s">
        <v>1869</v>
      </c>
      <c r="F43" s="435" t="s">
        <v>274</v>
      </c>
      <c r="G43" s="435" t="s">
        <v>12</v>
      </c>
      <c r="H43" t="s">
        <v>77</v>
      </c>
      <c r="I43" t="s">
        <v>1</v>
      </c>
      <c r="J43" t="s">
        <v>121</v>
      </c>
      <c r="K43" t="s">
        <v>125</v>
      </c>
      <c r="O43" t="s">
        <v>77</v>
      </c>
      <c r="R43" t="s">
        <v>192</v>
      </c>
      <c r="AC43" t="s">
        <v>2</v>
      </c>
      <c r="AD43" s="80"/>
      <c r="AE43" s="81"/>
      <c r="AF43" s="81"/>
      <c r="AG43" s="81"/>
      <c r="AH43" s="81"/>
      <c r="AI43" s="81"/>
    </row>
    <row r="44" spans="1:35">
      <c r="D44" s="435" t="s">
        <v>1869</v>
      </c>
      <c r="E44" s="435" t="s">
        <v>1869</v>
      </c>
      <c r="F44" s="435" t="s">
        <v>274</v>
      </c>
      <c r="G44" s="435" t="s">
        <v>12</v>
      </c>
      <c r="H44" t="s">
        <v>77</v>
      </c>
      <c r="I44" t="s">
        <v>1</v>
      </c>
      <c r="J44" t="s">
        <v>121</v>
      </c>
      <c r="K44" t="s">
        <v>125</v>
      </c>
      <c r="O44" t="s">
        <v>77</v>
      </c>
      <c r="R44" t="s">
        <v>204</v>
      </c>
      <c r="AC44" t="s">
        <v>2</v>
      </c>
      <c r="AD44" s="80"/>
      <c r="AE44" s="81"/>
      <c r="AF44" s="81"/>
      <c r="AG44" s="81"/>
      <c r="AH44" s="81"/>
      <c r="AI44" s="81"/>
    </row>
    <row r="45" spans="1:35">
      <c r="D45" s="435" t="s">
        <v>1869</v>
      </c>
      <c r="E45" s="435" t="s">
        <v>1869</v>
      </c>
      <c r="F45" s="435" t="s">
        <v>274</v>
      </c>
      <c r="G45" s="435" t="s">
        <v>12</v>
      </c>
      <c r="H45" t="s">
        <v>77</v>
      </c>
      <c r="I45" t="s">
        <v>1</v>
      </c>
      <c r="J45" t="s">
        <v>121</v>
      </c>
      <c r="K45" t="s">
        <v>125</v>
      </c>
      <c r="O45" t="s">
        <v>77</v>
      </c>
      <c r="R45" t="s">
        <v>205</v>
      </c>
      <c r="AC45" t="s">
        <v>2</v>
      </c>
      <c r="AD45" s="80"/>
      <c r="AE45" s="81"/>
      <c r="AF45" s="81"/>
      <c r="AG45" s="81"/>
      <c r="AH45" s="81"/>
      <c r="AI45" s="81"/>
    </row>
    <row r="47" spans="1:35" s="1" customFormat="1" ht="13.9">
      <c r="A47" s="66"/>
      <c r="B47" s="78" t="s">
        <v>126</v>
      </c>
    </row>
    <row r="49" spans="1:35">
      <c r="D49" s="435" t="s">
        <v>1869</v>
      </c>
      <c r="E49" s="435" t="s">
        <v>1869</v>
      </c>
      <c r="F49" s="435" t="s">
        <v>274</v>
      </c>
      <c r="G49" s="435" t="s">
        <v>12</v>
      </c>
      <c r="H49" t="s">
        <v>77</v>
      </c>
      <c r="I49" t="s">
        <v>1</v>
      </c>
      <c r="J49" t="s">
        <v>121</v>
      </c>
      <c r="K49" t="s">
        <v>126</v>
      </c>
      <c r="O49" t="s">
        <v>77</v>
      </c>
      <c r="R49" t="s">
        <v>191</v>
      </c>
      <c r="AC49" t="s">
        <v>2</v>
      </c>
      <c r="AD49" s="80"/>
      <c r="AE49" s="81"/>
      <c r="AF49" s="81"/>
      <c r="AG49" s="81"/>
      <c r="AH49" s="81"/>
      <c r="AI49" s="81"/>
    </row>
    <row r="50" spans="1:35">
      <c r="D50" s="435" t="s">
        <v>79</v>
      </c>
      <c r="E50" s="435" t="s">
        <v>1869</v>
      </c>
      <c r="F50" s="435" t="s">
        <v>274</v>
      </c>
      <c r="G50" s="435" t="s">
        <v>12</v>
      </c>
      <c r="H50" t="s">
        <v>77</v>
      </c>
      <c r="I50" t="s">
        <v>1</v>
      </c>
      <c r="J50" t="s">
        <v>121</v>
      </c>
      <c r="K50" t="s">
        <v>126</v>
      </c>
      <c r="O50" t="s">
        <v>77</v>
      </c>
      <c r="R50" t="s">
        <v>193</v>
      </c>
      <c r="AC50" t="s">
        <v>2</v>
      </c>
      <c r="AD50" s="80"/>
      <c r="AE50" s="81"/>
      <c r="AF50" s="81"/>
      <c r="AG50" s="81"/>
      <c r="AH50" s="81"/>
      <c r="AI50" s="81"/>
    </row>
    <row r="51" spans="1:35">
      <c r="D51" s="435" t="s">
        <v>185</v>
      </c>
      <c r="E51" s="435" t="s">
        <v>1869</v>
      </c>
      <c r="F51" s="435" t="s">
        <v>274</v>
      </c>
      <c r="G51" s="435" t="s">
        <v>12</v>
      </c>
      <c r="H51" t="s">
        <v>77</v>
      </c>
      <c r="I51" t="s">
        <v>1</v>
      </c>
      <c r="J51" t="s">
        <v>121</v>
      </c>
      <c r="K51" t="s">
        <v>126</v>
      </c>
      <c r="O51" t="s">
        <v>77</v>
      </c>
      <c r="R51" t="s">
        <v>194</v>
      </c>
      <c r="AC51" t="s">
        <v>2</v>
      </c>
      <c r="AD51" s="80"/>
      <c r="AE51" s="81"/>
      <c r="AF51" s="81"/>
      <c r="AG51" s="81"/>
      <c r="AH51" s="81"/>
      <c r="AI51" s="81"/>
    </row>
    <row r="52" spans="1:35">
      <c r="D52" s="435" t="s">
        <v>1869</v>
      </c>
      <c r="E52" s="435" t="s">
        <v>1869</v>
      </c>
      <c r="F52" s="435" t="s">
        <v>274</v>
      </c>
      <c r="G52" s="435" t="s">
        <v>12</v>
      </c>
      <c r="H52" t="s">
        <v>77</v>
      </c>
      <c r="I52" t="s">
        <v>1</v>
      </c>
      <c r="J52" t="s">
        <v>121</v>
      </c>
      <c r="K52" t="s">
        <v>126</v>
      </c>
      <c r="O52" t="s">
        <v>77</v>
      </c>
      <c r="R52" t="s">
        <v>192</v>
      </c>
      <c r="AC52" t="s">
        <v>2</v>
      </c>
      <c r="AD52" s="80"/>
      <c r="AE52" s="81"/>
      <c r="AF52" s="81"/>
      <c r="AG52" s="81"/>
      <c r="AH52" s="81"/>
      <c r="AI52" s="81"/>
    </row>
    <row r="53" spans="1:35">
      <c r="D53" s="435" t="s">
        <v>1869</v>
      </c>
      <c r="E53" s="435" t="s">
        <v>1869</v>
      </c>
      <c r="F53" s="435" t="s">
        <v>274</v>
      </c>
      <c r="G53" s="435" t="s">
        <v>12</v>
      </c>
      <c r="H53" t="s">
        <v>77</v>
      </c>
      <c r="I53" t="s">
        <v>1</v>
      </c>
      <c r="J53" t="s">
        <v>121</v>
      </c>
      <c r="K53" t="s">
        <v>126</v>
      </c>
      <c r="O53" t="s">
        <v>77</v>
      </c>
      <c r="R53" t="s">
        <v>204</v>
      </c>
      <c r="AC53" t="s">
        <v>2</v>
      </c>
      <c r="AD53" s="80"/>
      <c r="AE53" s="81"/>
      <c r="AF53" s="81"/>
      <c r="AG53" s="81"/>
      <c r="AH53" s="81"/>
      <c r="AI53" s="81"/>
    </row>
    <row r="54" spans="1:35">
      <c r="D54" s="435" t="s">
        <v>1869</v>
      </c>
      <c r="E54" s="435" t="s">
        <v>1869</v>
      </c>
      <c r="F54" s="435" t="s">
        <v>274</v>
      </c>
      <c r="G54" s="435" t="s">
        <v>12</v>
      </c>
      <c r="H54" t="s">
        <v>77</v>
      </c>
      <c r="I54" t="s">
        <v>1</v>
      </c>
      <c r="J54" t="s">
        <v>121</v>
      </c>
      <c r="K54" t="s">
        <v>126</v>
      </c>
      <c r="O54" t="s">
        <v>77</v>
      </c>
      <c r="R54" t="s">
        <v>205</v>
      </c>
      <c r="AC54" t="s">
        <v>2</v>
      </c>
      <c r="AD54" s="80"/>
      <c r="AE54" s="81"/>
      <c r="AF54" s="81"/>
      <c r="AG54" s="81"/>
      <c r="AH54" s="81"/>
      <c r="AI54" s="81"/>
    </row>
    <row r="56" spans="1:35" s="1" customFormat="1" ht="13.9">
      <c r="A56" s="66"/>
      <c r="B56" s="78" t="s">
        <v>127</v>
      </c>
    </row>
    <row r="58" spans="1:35">
      <c r="D58" s="435" t="s">
        <v>1869</v>
      </c>
      <c r="E58" s="435" t="s">
        <v>1869</v>
      </c>
      <c r="F58" s="435" t="s">
        <v>274</v>
      </c>
      <c r="G58" s="435" t="s">
        <v>12</v>
      </c>
      <c r="H58" t="s">
        <v>77</v>
      </c>
      <c r="I58" t="s">
        <v>1</v>
      </c>
      <c r="J58" t="s">
        <v>121</v>
      </c>
      <c r="K58" t="s">
        <v>127</v>
      </c>
      <c r="O58" t="s">
        <v>77</v>
      </c>
      <c r="R58" t="s">
        <v>191</v>
      </c>
      <c r="AC58" t="s">
        <v>2</v>
      </c>
      <c r="AD58" s="80"/>
      <c r="AE58" s="81"/>
      <c r="AF58" s="81"/>
      <c r="AG58" s="81"/>
      <c r="AH58" s="81"/>
      <c r="AI58" s="81"/>
    </row>
    <row r="59" spans="1:35">
      <c r="D59" s="435" t="s">
        <v>79</v>
      </c>
      <c r="E59" s="435" t="s">
        <v>1869</v>
      </c>
      <c r="F59" s="435" t="s">
        <v>274</v>
      </c>
      <c r="G59" s="435" t="s">
        <v>12</v>
      </c>
      <c r="H59" t="s">
        <v>77</v>
      </c>
      <c r="I59" t="s">
        <v>1</v>
      </c>
      <c r="J59" t="s">
        <v>121</v>
      </c>
      <c r="K59" t="s">
        <v>127</v>
      </c>
      <c r="O59" t="s">
        <v>77</v>
      </c>
      <c r="R59" t="s">
        <v>193</v>
      </c>
      <c r="AC59" t="s">
        <v>2</v>
      </c>
      <c r="AD59" s="80"/>
      <c r="AE59" s="81"/>
      <c r="AF59" s="81"/>
      <c r="AG59" s="81"/>
      <c r="AH59" s="81"/>
      <c r="AI59" s="81"/>
    </row>
    <row r="60" spans="1:35">
      <c r="D60" s="435" t="s">
        <v>185</v>
      </c>
      <c r="E60" s="435" t="s">
        <v>1869</v>
      </c>
      <c r="F60" s="435" t="s">
        <v>274</v>
      </c>
      <c r="G60" s="435" t="s">
        <v>12</v>
      </c>
      <c r="H60" t="s">
        <v>77</v>
      </c>
      <c r="I60" t="s">
        <v>1</v>
      </c>
      <c r="J60" t="s">
        <v>121</v>
      </c>
      <c r="K60" t="s">
        <v>127</v>
      </c>
      <c r="O60" t="s">
        <v>77</v>
      </c>
      <c r="R60" t="s">
        <v>194</v>
      </c>
      <c r="AC60" t="s">
        <v>2</v>
      </c>
      <c r="AD60" s="80"/>
      <c r="AE60" s="81"/>
      <c r="AF60" s="81"/>
      <c r="AG60" s="81"/>
      <c r="AH60" s="81"/>
      <c r="AI60" s="81"/>
    </row>
    <row r="61" spans="1:35">
      <c r="D61" s="435" t="s">
        <v>1869</v>
      </c>
      <c r="E61" s="435" t="s">
        <v>1869</v>
      </c>
      <c r="F61" s="435" t="s">
        <v>274</v>
      </c>
      <c r="G61" s="435" t="s">
        <v>12</v>
      </c>
      <c r="H61" t="s">
        <v>77</v>
      </c>
      <c r="I61" t="s">
        <v>1</v>
      </c>
      <c r="J61" t="s">
        <v>121</v>
      </c>
      <c r="K61" t="s">
        <v>127</v>
      </c>
      <c r="O61" t="s">
        <v>77</v>
      </c>
      <c r="R61" t="s">
        <v>192</v>
      </c>
      <c r="AC61" t="s">
        <v>2</v>
      </c>
      <c r="AD61" s="80"/>
      <c r="AE61" s="81"/>
      <c r="AF61" s="81"/>
      <c r="AG61" s="81"/>
      <c r="AH61" s="81"/>
      <c r="AI61" s="81"/>
    </row>
    <row r="62" spans="1:35">
      <c r="D62" s="435" t="s">
        <v>1869</v>
      </c>
      <c r="E62" s="435" t="s">
        <v>1869</v>
      </c>
      <c r="F62" s="435" t="s">
        <v>274</v>
      </c>
      <c r="G62" s="435" t="s">
        <v>12</v>
      </c>
      <c r="H62" t="s">
        <v>77</v>
      </c>
      <c r="I62" t="s">
        <v>1</v>
      </c>
      <c r="J62" t="s">
        <v>121</v>
      </c>
      <c r="K62" t="s">
        <v>127</v>
      </c>
      <c r="O62" t="s">
        <v>77</v>
      </c>
      <c r="R62" t="s">
        <v>204</v>
      </c>
      <c r="AC62" t="s">
        <v>2</v>
      </c>
      <c r="AD62" s="80"/>
      <c r="AE62" s="81"/>
      <c r="AF62" s="81"/>
      <c r="AG62" s="81"/>
      <c r="AH62" s="81"/>
      <c r="AI62" s="81"/>
    </row>
    <row r="63" spans="1:35">
      <c r="D63" s="435" t="s">
        <v>1869</v>
      </c>
      <c r="E63" s="435" t="s">
        <v>1869</v>
      </c>
      <c r="F63" s="435" t="s">
        <v>274</v>
      </c>
      <c r="G63" s="435" t="s">
        <v>12</v>
      </c>
      <c r="H63" t="s">
        <v>77</v>
      </c>
      <c r="I63" t="s">
        <v>1</v>
      </c>
      <c r="J63" t="s">
        <v>121</v>
      </c>
      <c r="K63" t="s">
        <v>127</v>
      </c>
      <c r="O63" t="s">
        <v>77</v>
      </c>
      <c r="R63" t="s">
        <v>205</v>
      </c>
      <c r="AC63" t="s">
        <v>2</v>
      </c>
      <c r="AD63" s="80"/>
      <c r="AE63" s="81"/>
      <c r="AF63" s="81"/>
      <c r="AG63" s="81"/>
      <c r="AH63" s="81"/>
      <c r="AI63" s="81"/>
    </row>
    <row r="65" spans="1:35" s="1" customFormat="1" ht="17.649999999999999">
      <c r="B65" s="2" t="s">
        <v>63</v>
      </c>
    </row>
    <row r="67" spans="1:35" s="1" customFormat="1" ht="13.9">
      <c r="A67" s="66"/>
      <c r="B67" s="78" t="s">
        <v>165</v>
      </c>
    </row>
    <row r="69" spans="1:35">
      <c r="D69" s="435" t="s">
        <v>1869</v>
      </c>
      <c r="E69" s="435" t="s">
        <v>1869</v>
      </c>
      <c r="F69" s="435" t="s">
        <v>274</v>
      </c>
      <c r="G69" s="435" t="s">
        <v>12</v>
      </c>
      <c r="H69" t="s">
        <v>77</v>
      </c>
      <c r="I69" t="s">
        <v>1</v>
      </c>
      <c r="J69" t="s">
        <v>121</v>
      </c>
      <c r="K69" t="s">
        <v>122</v>
      </c>
      <c r="O69" t="s">
        <v>77</v>
      </c>
      <c r="R69" t="s">
        <v>191</v>
      </c>
      <c r="AC69" t="s">
        <v>2</v>
      </c>
      <c r="AD69" s="80"/>
      <c r="AE69" s="81"/>
      <c r="AF69" s="81"/>
      <c r="AG69" s="81"/>
      <c r="AH69" s="81"/>
      <c r="AI69" s="81"/>
    </row>
    <row r="70" spans="1:35">
      <c r="D70" s="435" t="s">
        <v>79</v>
      </c>
      <c r="E70" s="435" t="s">
        <v>1869</v>
      </c>
      <c r="F70" s="435" t="s">
        <v>274</v>
      </c>
      <c r="G70" s="435" t="s">
        <v>12</v>
      </c>
      <c r="H70" t="s">
        <v>77</v>
      </c>
      <c r="I70" t="s">
        <v>1</v>
      </c>
      <c r="J70" t="s">
        <v>121</v>
      </c>
      <c r="K70" t="s">
        <v>122</v>
      </c>
      <c r="O70" t="s">
        <v>77</v>
      </c>
      <c r="R70" t="s">
        <v>193</v>
      </c>
      <c r="AC70" t="s">
        <v>2</v>
      </c>
      <c r="AD70" s="80"/>
      <c r="AE70" s="81"/>
      <c r="AF70" s="81"/>
      <c r="AG70" s="81"/>
      <c r="AH70" s="81"/>
      <c r="AI70" s="81"/>
    </row>
    <row r="71" spans="1:35">
      <c r="D71" s="435" t="s">
        <v>185</v>
      </c>
      <c r="E71" s="435" t="s">
        <v>1869</v>
      </c>
      <c r="F71" s="435" t="s">
        <v>274</v>
      </c>
      <c r="G71" s="435" t="s">
        <v>12</v>
      </c>
      <c r="H71" t="s">
        <v>77</v>
      </c>
      <c r="I71" t="s">
        <v>1</v>
      </c>
      <c r="J71" t="s">
        <v>121</v>
      </c>
      <c r="K71" t="s">
        <v>122</v>
      </c>
      <c r="O71" t="s">
        <v>77</v>
      </c>
      <c r="R71" t="s">
        <v>194</v>
      </c>
      <c r="AC71" t="s">
        <v>2</v>
      </c>
      <c r="AD71" s="80"/>
      <c r="AE71" s="81"/>
      <c r="AF71" s="81"/>
      <c r="AG71" s="81"/>
      <c r="AH71" s="81"/>
      <c r="AI71" s="81"/>
    </row>
    <row r="72" spans="1:35">
      <c r="D72" s="435" t="s">
        <v>1869</v>
      </c>
      <c r="E72" s="435" t="s">
        <v>1869</v>
      </c>
      <c r="F72" s="435" t="s">
        <v>274</v>
      </c>
      <c r="G72" s="435" t="s">
        <v>12</v>
      </c>
      <c r="H72" t="s">
        <v>77</v>
      </c>
      <c r="I72" t="s">
        <v>1</v>
      </c>
      <c r="J72" t="s">
        <v>121</v>
      </c>
      <c r="K72" t="s">
        <v>122</v>
      </c>
      <c r="O72" t="s">
        <v>77</v>
      </c>
      <c r="R72" t="s">
        <v>192</v>
      </c>
      <c r="AC72" t="s">
        <v>2</v>
      </c>
      <c r="AD72" s="80"/>
      <c r="AE72" s="81"/>
      <c r="AF72" s="81"/>
      <c r="AG72" s="81"/>
      <c r="AH72" s="81"/>
      <c r="AI72" s="81"/>
    </row>
    <row r="73" spans="1:35">
      <c r="D73" s="435" t="s">
        <v>1869</v>
      </c>
      <c r="E73" s="435" t="s">
        <v>1869</v>
      </c>
      <c r="F73" s="435" t="s">
        <v>274</v>
      </c>
      <c r="G73" s="435" t="s">
        <v>12</v>
      </c>
      <c r="H73" t="s">
        <v>77</v>
      </c>
      <c r="I73" t="s">
        <v>1</v>
      </c>
      <c r="J73" t="s">
        <v>121</v>
      </c>
      <c r="K73" t="s">
        <v>122</v>
      </c>
      <c r="O73" t="s">
        <v>77</v>
      </c>
      <c r="R73" t="s">
        <v>204</v>
      </c>
      <c r="AC73" t="s">
        <v>2</v>
      </c>
      <c r="AD73" s="80"/>
      <c r="AE73" s="81"/>
      <c r="AF73" s="81"/>
      <c r="AG73" s="81"/>
      <c r="AH73" s="81"/>
      <c r="AI73" s="81"/>
    </row>
    <row r="74" spans="1:35">
      <c r="D74" s="435" t="s">
        <v>1869</v>
      </c>
      <c r="E74" s="435" t="s">
        <v>1869</v>
      </c>
      <c r="F74" s="435" t="s">
        <v>274</v>
      </c>
      <c r="G74" s="435" t="s">
        <v>12</v>
      </c>
      <c r="H74" t="s">
        <v>77</v>
      </c>
      <c r="I74" t="s">
        <v>1</v>
      </c>
      <c r="J74" t="s">
        <v>121</v>
      </c>
      <c r="K74" t="s">
        <v>122</v>
      </c>
      <c r="O74" t="s">
        <v>77</v>
      </c>
      <c r="R74" t="s">
        <v>205</v>
      </c>
      <c r="AC74" t="s">
        <v>2</v>
      </c>
      <c r="AD74" s="80"/>
      <c r="AE74" s="81"/>
      <c r="AF74" s="81"/>
      <c r="AG74" s="81"/>
      <c r="AH74" s="81"/>
      <c r="AI74" s="81"/>
    </row>
    <row r="76" spans="1:35" s="1" customFormat="1" ht="13.9">
      <c r="A76" s="66"/>
      <c r="B76" s="78" t="s">
        <v>203</v>
      </c>
    </row>
    <row r="78" spans="1:35">
      <c r="D78" s="435" t="s">
        <v>1869</v>
      </c>
      <c r="E78" s="435" t="s">
        <v>1869</v>
      </c>
      <c r="F78" s="435" t="s">
        <v>274</v>
      </c>
      <c r="G78" s="435" t="s">
        <v>12</v>
      </c>
      <c r="H78" t="s">
        <v>77</v>
      </c>
      <c r="I78" t="s">
        <v>1</v>
      </c>
      <c r="J78" t="s">
        <v>121</v>
      </c>
      <c r="K78" t="s">
        <v>123</v>
      </c>
      <c r="O78" t="s">
        <v>77</v>
      </c>
      <c r="R78" t="s">
        <v>191</v>
      </c>
      <c r="AC78" t="s">
        <v>2</v>
      </c>
      <c r="AD78" s="80"/>
      <c r="AE78" s="81"/>
      <c r="AF78" s="81"/>
      <c r="AG78" s="81"/>
      <c r="AH78" s="81"/>
      <c r="AI78" s="81"/>
    </row>
    <row r="79" spans="1:35">
      <c r="D79" s="435" t="s">
        <v>79</v>
      </c>
      <c r="E79" s="435" t="s">
        <v>1869</v>
      </c>
      <c r="F79" s="435" t="s">
        <v>274</v>
      </c>
      <c r="G79" s="435" t="s">
        <v>12</v>
      </c>
      <c r="H79" t="s">
        <v>77</v>
      </c>
      <c r="I79" t="s">
        <v>1</v>
      </c>
      <c r="J79" t="s">
        <v>121</v>
      </c>
      <c r="K79" t="s">
        <v>123</v>
      </c>
      <c r="O79" t="s">
        <v>77</v>
      </c>
      <c r="R79" t="s">
        <v>193</v>
      </c>
      <c r="AC79" t="s">
        <v>2</v>
      </c>
      <c r="AD79" s="80"/>
      <c r="AE79" s="81"/>
      <c r="AF79" s="81"/>
      <c r="AG79" s="81"/>
      <c r="AH79" s="81"/>
      <c r="AI79" s="81"/>
    </row>
    <row r="80" spans="1:35">
      <c r="D80" s="435" t="s">
        <v>185</v>
      </c>
      <c r="E80" s="435" t="s">
        <v>1869</v>
      </c>
      <c r="F80" s="435" t="s">
        <v>274</v>
      </c>
      <c r="G80" s="435" t="s">
        <v>12</v>
      </c>
      <c r="H80" t="s">
        <v>77</v>
      </c>
      <c r="I80" t="s">
        <v>1</v>
      </c>
      <c r="J80" t="s">
        <v>121</v>
      </c>
      <c r="K80" t="s">
        <v>123</v>
      </c>
      <c r="O80" t="s">
        <v>77</v>
      </c>
      <c r="R80" t="s">
        <v>194</v>
      </c>
      <c r="AC80" t="s">
        <v>2</v>
      </c>
      <c r="AD80" s="80"/>
      <c r="AE80" s="81"/>
      <c r="AF80" s="81"/>
      <c r="AG80" s="81"/>
      <c r="AH80" s="81"/>
      <c r="AI80" s="81"/>
    </row>
    <row r="81" spans="1:35">
      <c r="D81" s="435" t="s">
        <v>1869</v>
      </c>
      <c r="E81" s="435" t="s">
        <v>1869</v>
      </c>
      <c r="F81" s="435" t="s">
        <v>274</v>
      </c>
      <c r="G81" s="435" t="s">
        <v>12</v>
      </c>
      <c r="H81" t="s">
        <v>77</v>
      </c>
      <c r="I81" t="s">
        <v>1</v>
      </c>
      <c r="J81" t="s">
        <v>121</v>
      </c>
      <c r="K81" t="s">
        <v>123</v>
      </c>
      <c r="O81" t="s">
        <v>77</v>
      </c>
      <c r="R81" t="s">
        <v>192</v>
      </c>
      <c r="AC81" t="s">
        <v>2</v>
      </c>
      <c r="AD81" s="80"/>
      <c r="AE81" s="81"/>
      <c r="AF81" s="81"/>
      <c r="AG81" s="81"/>
      <c r="AH81" s="81"/>
      <c r="AI81" s="81"/>
    </row>
    <row r="82" spans="1:35">
      <c r="D82" s="435" t="s">
        <v>1869</v>
      </c>
      <c r="E82" s="435" t="s">
        <v>1869</v>
      </c>
      <c r="F82" s="435" t="s">
        <v>274</v>
      </c>
      <c r="G82" s="435" t="s">
        <v>12</v>
      </c>
      <c r="H82" t="s">
        <v>77</v>
      </c>
      <c r="I82" t="s">
        <v>1</v>
      </c>
      <c r="J82" t="s">
        <v>121</v>
      </c>
      <c r="K82" t="s">
        <v>123</v>
      </c>
      <c r="O82" t="s">
        <v>77</v>
      </c>
      <c r="R82" t="s">
        <v>204</v>
      </c>
      <c r="AC82" t="s">
        <v>2</v>
      </c>
      <c r="AD82" s="80"/>
      <c r="AE82" s="81"/>
      <c r="AF82" s="81"/>
      <c r="AG82" s="81"/>
      <c r="AH82" s="81"/>
      <c r="AI82" s="81"/>
    </row>
    <row r="83" spans="1:35">
      <c r="D83" s="435" t="s">
        <v>1869</v>
      </c>
      <c r="E83" s="435" t="s">
        <v>1869</v>
      </c>
      <c r="F83" s="435" t="s">
        <v>274</v>
      </c>
      <c r="G83" s="435" t="s">
        <v>12</v>
      </c>
      <c r="H83" t="s">
        <v>77</v>
      </c>
      <c r="I83" t="s">
        <v>1</v>
      </c>
      <c r="J83" t="s">
        <v>121</v>
      </c>
      <c r="K83" t="s">
        <v>123</v>
      </c>
      <c r="O83" t="s">
        <v>77</v>
      </c>
      <c r="R83" t="s">
        <v>205</v>
      </c>
      <c r="AC83" t="s">
        <v>2</v>
      </c>
      <c r="AD83" s="80"/>
      <c r="AE83" s="81"/>
      <c r="AF83" s="81"/>
      <c r="AG83" s="81"/>
      <c r="AH83" s="81"/>
      <c r="AI83" s="81"/>
    </row>
    <row r="85" spans="1:35" s="1" customFormat="1" ht="13.9">
      <c r="A85" s="66"/>
      <c r="B85" s="78" t="s">
        <v>206</v>
      </c>
    </row>
    <row r="87" spans="1:35">
      <c r="D87" s="435" t="s">
        <v>1869</v>
      </c>
      <c r="E87" s="435" t="s">
        <v>1869</v>
      </c>
      <c r="F87" s="435" t="s">
        <v>274</v>
      </c>
      <c r="G87" s="435" t="s">
        <v>12</v>
      </c>
      <c r="H87" t="s">
        <v>77</v>
      </c>
      <c r="I87" t="s">
        <v>1</v>
      </c>
      <c r="J87" t="s">
        <v>121</v>
      </c>
      <c r="K87" t="s">
        <v>124</v>
      </c>
      <c r="O87" t="s">
        <v>77</v>
      </c>
      <c r="R87" t="s">
        <v>191</v>
      </c>
      <c r="AC87" t="s">
        <v>2</v>
      </c>
      <c r="AD87" s="80"/>
      <c r="AE87" s="81"/>
      <c r="AF87" s="81"/>
      <c r="AG87" s="81"/>
      <c r="AH87" s="81"/>
      <c r="AI87" s="81"/>
    </row>
    <row r="88" spans="1:35">
      <c r="D88" s="435" t="s">
        <v>79</v>
      </c>
      <c r="E88" s="435" t="s">
        <v>1869</v>
      </c>
      <c r="F88" s="435" t="s">
        <v>274</v>
      </c>
      <c r="G88" s="435" t="s">
        <v>12</v>
      </c>
      <c r="H88" t="s">
        <v>77</v>
      </c>
      <c r="I88" t="s">
        <v>1</v>
      </c>
      <c r="J88" t="s">
        <v>121</v>
      </c>
      <c r="K88" t="s">
        <v>124</v>
      </c>
      <c r="O88" t="s">
        <v>77</v>
      </c>
      <c r="R88" t="s">
        <v>193</v>
      </c>
      <c r="AC88" t="s">
        <v>2</v>
      </c>
      <c r="AD88" s="80"/>
      <c r="AE88" s="81"/>
      <c r="AF88" s="81"/>
      <c r="AG88" s="81"/>
      <c r="AH88" s="81"/>
      <c r="AI88" s="81"/>
    </row>
    <row r="89" spans="1:35">
      <c r="D89" s="435" t="s">
        <v>185</v>
      </c>
      <c r="E89" s="435" t="s">
        <v>1869</v>
      </c>
      <c r="F89" s="435" t="s">
        <v>274</v>
      </c>
      <c r="G89" s="435" t="s">
        <v>12</v>
      </c>
      <c r="H89" t="s">
        <v>77</v>
      </c>
      <c r="I89" t="s">
        <v>1</v>
      </c>
      <c r="J89" t="s">
        <v>121</v>
      </c>
      <c r="K89" t="s">
        <v>124</v>
      </c>
      <c r="O89" t="s">
        <v>77</v>
      </c>
      <c r="R89" t="s">
        <v>194</v>
      </c>
      <c r="AC89" t="s">
        <v>2</v>
      </c>
      <c r="AD89" s="80"/>
      <c r="AE89" s="81"/>
      <c r="AF89" s="81"/>
      <c r="AG89" s="81"/>
      <c r="AH89" s="81"/>
      <c r="AI89" s="81"/>
    </row>
    <row r="90" spans="1:35">
      <c r="D90" s="435" t="s">
        <v>1869</v>
      </c>
      <c r="E90" s="435" t="s">
        <v>1869</v>
      </c>
      <c r="F90" s="435" t="s">
        <v>274</v>
      </c>
      <c r="G90" s="435" t="s">
        <v>12</v>
      </c>
      <c r="H90" t="s">
        <v>77</v>
      </c>
      <c r="I90" t="s">
        <v>1</v>
      </c>
      <c r="J90" t="s">
        <v>121</v>
      </c>
      <c r="K90" t="s">
        <v>124</v>
      </c>
      <c r="O90" t="s">
        <v>77</v>
      </c>
      <c r="R90" t="s">
        <v>192</v>
      </c>
      <c r="AC90" t="s">
        <v>2</v>
      </c>
      <c r="AD90" s="80"/>
      <c r="AE90" s="81"/>
      <c r="AF90" s="81"/>
      <c r="AG90" s="81"/>
      <c r="AH90" s="81"/>
      <c r="AI90" s="81"/>
    </row>
    <row r="91" spans="1:35">
      <c r="D91" s="435" t="s">
        <v>1869</v>
      </c>
      <c r="E91" s="435" t="s">
        <v>1869</v>
      </c>
      <c r="F91" s="435" t="s">
        <v>274</v>
      </c>
      <c r="G91" s="435" t="s">
        <v>12</v>
      </c>
      <c r="H91" t="s">
        <v>77</v>
      </c>
      <c r="I91" t="s">
        <v>1</v>
      </c>
      <c r="J91" t="s">
        <v>121</v>
      </c>
      <c r="K91" t="s">
        <v>124</v>
      </c>
      <c r="O91" t="s">
        <v>77</v>
      </c>
      <c r="R91" t="s">
        <v>204</v>
      </c>
      <c r="AC91" t="s">
        <v>2</v>
      </c>
      <c r="AD91" s="80"/>
      <c r="AE91" s="81"/>
      <c r="AF91" s="81"/>
      <c r="AG91" s="81"/>
      <c r="AH91" s="81"/>
      <c r="AI91" s="81"/>
    </row>
    <row r="92" spans="1:35">
      <c r="D92" s="435" t="s">
        <v>1869</v>
      </c>
      <c r="E92" s="435" t="s">
        <v>1869</v>
      </c>
      <c r="F92" s="435" t="s">
        <v>274</v>
      </c>
      <c r="G92" s="435" t="s">
        <v>12</v>
      </c>
      <c r="H92" t="s">
        <v>77</v>
      </c>
      <c r="I92" t="s">
        <v>1</v>
      </c>
      <c r="J92" t="s">
        <v>121</v>
      </c>
      <c r="K92" t="s">
        <v>124</v>
      </c>
      <c r="O92" t="s">
        <v>77</v>
      </c>
      <c r="R92" t="s">
        <v>205</v>
      </c>
      <c r="AC92" t="s">
        <v>2</v>
      </c>
      <c r="AD92" s="80"/>
      <c r="AE92" s="81"/>
      <c r="AF92" s="81"/>
      <c r="AG92" s="81"/>
      <c r="AH92" s="81"/>
      <c r="AI92" s="81"/>
    </row>
    <row r="93" spans="1:35">
      <c r="AE93" s="76"/>
      <c r="AF93" s="76"/>
      <c r="AG93" s="76"/>
      <c r="AH93" s="76"/>
      <c r="AI93" s="76"/>
    </row>
    <row r="94" spans="1:35" s="1" customFormat="1" ht="13.9">
      <c r="A94" s="66"/>
      <c r="B94" s="78" t="s">
        <v>125</v>
      </c>
    </row>
    <row r="96" spans="1:35">
      <c r="D96" s="435" t="s">
        <v>1869</v>
      </c>
      <c r="E96" s="435" t="s">
        <v>1869</v>
      </c>
      <c r="F96" s="435" t="s">
        <v>274</v>
      </c>
      <c r="G96" s="435" t="s">
        <v>12</v>
      </c>
      <c r="H96" t="s">
        <v>77</v>
      </c>
      <c r="I96" t="s">
        <v>1</v>
      </c>
      <c r="J96" t="s">
        <v>121</v>
      </c>
      <c r="K96" t="s">
        <v>125</v>
      </c>
      <c r="O96" t="s">
        <v>77</v>
      </c>
      <c r="R96" t="s">
        <v>191</v>
      </c>
      <c r="AC96" t="s">
        <v>2</v>
      </c>
      <c r="AD96" s="80"/>
      <c r="AE96" s="81"/>
      <c r="AF96" s="81"/>
      <c r="AG96" s="81"/>
      <c r="AH96" s="81"/>
      <c r="AI96" s="81"/>
    </row>
    <row r="97" spans="1:35">
      <c r="D97" s="435" t="s">
        <v>79</v>
      </c>
      <c r="E97" s="435" t="s">
        <v>1869</v>
      </c>
      <c r="F97" s="435" t="s">
        <v>274</v>
      </c>
      <c r="G97" s="435" t="s">
        <v>12</v>
      </c>
      <c r="H97" t="s">
        <v>77</v>
      </c>
      <c r="I97" t="s">
        <v>1</v>
      </c>
      <c r="J97" t="s">
        <v>121</v>
      </c>
      <c r="K97" t="s">
        <v>125</v>
      </c>
      <c r="O97" t="s">
        <v>77</v>
      </c>
      <c r="R97" t="s">
        <v>193</v>
      </c>
      <c r="AC97" t="s">
        <v>2</v>
      </c>
      <c r="AD97" s="80"/>
      <c r="AE97" s="81"/>
      <c r="AF97" s="81"/>
      <c r="AG97" s="81"/>
      <c r="AH97" s="81"/>
      <c r="AI97" s="81"/>
    </row>
    <row r="98" spans="1:35">
      <c r="D98" s="435" t="s">
        <v>185</v>
      </c>
      <c r="E98" s="435" t="s">
        <v>1869</v>
      </c>
      <c r="F98" s="435" t="s">
        <v>274</v>
      </c>
      <c r="G98" s="435" t="s">
        <v>12</v>
      </c>
      <c r="H98" t="s">
        <v>77</v>
      </c>
      <c r="I98" t="s">
        <v>1</v>
      </c>
      <c r="J98" t="s">
        <v>121</v>
      </c>
      <c r="K98" t="s">
        <v>125</v>
      </c>
      <c r="O98" t="s">
        <v>77</v>
      </c>
      <c r="R98" t="s">
        <v>194</v>
      </c>
      <c r="AC98" t="s">
        <v>2</v>
      </c>
      <c r="AD98" s="80"/>
      <c r="AE98" s="81"/>
      <c r="AF98" s="81"/>
      <c r="AG98" s="81"/>
      <c r="AH98" s="81"/>
      <c r="AI98" s="81"/>
    </row>
    <row r="99" spans="1:35">
      <c r="D99" s="435" t="s">
        <v>1869</v>
      </c>
      <c r="E99" s="435" t="s">
        <v>1869</v>
      </c>
      <c r="F99" s="435" t="s">
        <v>274</v>
      </c>
      <c r="G99" s="435" t="s">
        <v>12</v>
      </c>
      <c r="H99" t="s">
        <v>77</v>
      </c>
      <c r="I99" t="s">
        <v>1</v>
      </c>
      <c r="J99" t="s">
        <v>121</v>
      </c>
      <c r="K99" t="s">
        <v>125</v>
      </c>
      <c r="O99" t="s">
        <v>77</v>
      </c>
      <c r="R99" t="s">
        <v>192</v>
      </c>
      <c r="AC99" t="s">
        <v>2</v>
      </c>
      <c r="AD99" s="80"/>
      <c r="AE99" s="81"/>
      <c r="AF99" s="81"/>
      <c r="AG99" s="81"/>
      <c r="AH99" s="81"/>
      <c r="AI99" s="81"/>
    </row>
    <row r="100" spans="1:35">
      <c r="D100" s="435" t="s">
        <v>1869</v>
      </c>
      <c r="E100" s="435" t="s">
        <v>1869</v>
      </c>
      <c r="F100" s="435" t="s">
        <v>274</v>
      </c>
      <c r="G100" s="435" t="s">
        <v>12</v>
      </c>
      <c r="H100" t="s">
        <v>77</v>
      </c>
      <c r="I100" t="s">
        <v>1</v>
      </c>
      <c r="J100" t="s">
        <v>121</v>
      </c>
      <c r="K100" t="s">
        <v>125</v>
      </c>
      <c r="O100" t="s">
        <v>77</v>
      </c>
      <c r="R100" t="s">
        <v>204</v>
      </c>
      <c r="AC100" t="s">
        <v>2</v>
      </c>
      <c r="AD100" s="80"/>
      <c r="AE100" s="81"/>
      <c r="AF100" s="81"/>
      <c r="AG100" s="81"/>
      <c r="AH100" s="81"/>
      <c r="AI100" s="81"/>
    </row>
    <row r="101" spans="1:35">
      <c r="D101" s="435" t="s">
        <v>1869</v>
      </c>
      <c r="E101" s="435" t="s">
        <v>1869</v>
      </c>
      <c r="F101" s="435" t="s">
        <v>274</v>
      </c>
      <c r="G101" s="435" t="s">
        <v>12</v>
      </c>
      <c r="H101" t="s">
        <v>77</v>
      </c>
      <c r="I101" t="s">
        <v>1</v>
      </c>
      <c r="J101" t="s">
        <v>121</v>
      </c>
      <c r="K101" t="s">
        <v>125</v>
      </c>
      <c r="O101" t="s">
        <v>77</v>
      </c>
      <c r="R101" t="s">
        <v>205</v>
      </c>
      <c r="AC101" t="s">
        <v>2</v>
      </c>
      <c r="AD101" s="80"/>
      <c r="AE101" s="81"/>
      <c r="AF101" s="81"/>
      <c r="AG101" s="81"/>
      <c r="AH101" s="81"/>
      <c r="AI101" s="81"/>
    </row>
    <row r="103" spans="1:35" s="1" customFormat="1" ht="13.9">
      <c r="A103" s="66"/>
      <c r="B103" s="78" t="s">
        <v>126</v>
      </c>
    </row>
    <row r="105" spans="1:35">
      <c r="D105" s="435" t="s">
        <v>1869</v>
      </c>
      <c r="E105" s="435" t="s">
        <v>1869</v>
      </c>
      <c r="F105" s="435" t="s">
        <v>274</v>
      </c>
      <c r="G105" s="435" t="s">
        <v>12</v>
      </c>
      <c r="H105" t="s">
        <v>77</v>
      </c>
      <c r="I105" t="s">
        <v>1</v>
      </c>
      <c r="J105" t="s">
        <v>121</v>
      </c>
      <c r="K105" t="s">
        <v>126</v>
      </c>
      <c r="O105" t="s">
        <v>77</v>
      </c>
      <c r="R105" t="s">
        <v>191</v>
      </c>
      <c r="AC105" t="s">
        <v>2</v>
      </c>
      <c r="AD105" s="80"/>
      <c r="AE105" s="81"/>
      <c r="AF105" s="81"/>
      <c r="AG105" s="81"/>
      <c r="AH105" s="81"/>
      <c r="AI105" s="81"/>
    </row>
    <row r="106" spans="1:35">
      <c r="D106" s="435" t="s">
        <v>79</v>
      </c>
      <c r="E106" s="435" t="s">
        <v>1869</v>
      </c>
      <c r="F106" s="435" t="s">
        <v>274</v>
      </c>
      <c r="G106" s="435" t="s">
        <v>12</v>
      </c>
      <c r="H106" t="s">
        <v>77</v>
      </c>
      <c r="I106" t="s">
        <v>1</v>
      </c>
      <c r="J106" t="s">
        <v>121</v>
      </c>
      <c r="K106" t="s">
        <v>126</v>
      </c>
      <c r="O106" t="s">
        <v>77</v>
      </c>
      <c r="R106" t="s">
        <v>193</v>
      </c>
      <c r="AC106" t="s">
        <v>2</v>
      </c>
      <c r="AD106" s="80"/>
      <c r="AE106" s="81"/>
      <c r="AF106" s="81"/>
      <c r="AG106" s="81"/>
      <c r="AH106" s="81"/>
      <c r="AI106" s="81"/>
    </row>
    <row r="107" spans="1:35">
      <c r="D107" s="435" t="s">
        <v>185</v>
      </c>
      <c r="E107" s="435" t="s">
        <v>1869</v>
      </c>
      <c r="F107" s="435" t="s">
        <v>274</v>
      </c>
      <c r="G107" s="435" t="s">
        <v>12</v>
      </c>
      <c r="H107" t="s">
        <v>77</v>
      </c>
      <c r="I107" t="s">
        <v>1</v>
      </c>
      <c r="J107" t="s">
        <v>121</v>
      </c>
      <c r="K107" t="s">
        <v>126</v>
      </c>
      <c r="O107" t="s">
        <v>77</v>
      </c>
      <c r="R107" t="s">
        <v>194</v>
      </c>
      <c r="AC107" t="s">
        <v>2</v>
      </c>
      <c r="AD107" s="80"/>
      <c r="AE107" s="81"/>
      <c r="AF107" s="81"/>
      <c r="AG107" s="81"/>
      <c r="AH107" s="81"/>
      <c r="AI107" s="81"/>
    </row>
    <row r="108" spans="1:35">
      <c r="D108" s="435" t="s">
        <v>1869</v>
      </c>
      <c r="E108" s="435" t="s">
        <v>1869</v>
      </c>
      <c r="F108" s="435" t="s">
        <v>274</v>
      </c>
      <c r="G108" s="435" t="s">
        <v>12</v>
      </c>
      <c r="H108" t="s">
        <v>77</v>
      </c>
      <c r="I108" t="s">
        <v>1</v>
      </c>
      <c r="J108" t="s">
        <v>121</v>
      </c>
      <c r="K108" t="s">
        <v>126</v>
      </c>
      <c r="O108" t="s">
        <v>77</v>
      </c>
      <c r="R108" t="s">
        <v>192</v>
      </c>
      <c r="AC108" t="s">
        <v>2</v>
      </c>
      <c r="AD108" s="80"/>
      <c r="AE108" s="81"/>
      <c r="AF108" s="81"/>
      <c r="AG108" s="81"/>
      <c r="AH108" s="81"/>
      <c r="AI108" s="81"/>
    </row>
    <row r="109" spans="1:35">
      <c r="D109" s="435" t="s">
        <v>1869</v>
      </c>
      <c r="E109" s="435" t="s">
        <v>1869</v>
      </c>
      <c r="F109" s="435" t="s">
        <v>274</v>
      </c>
      <c r="G109" s="435" t="s">
        <v>12</v>
      </c>
      <c r="H109" t="s">
        <v>77</v>
      </c>
      <c r="I109" t="s">
        <v>1</v>
      </c>
      <c r="J109" t="s">
        <v>121</v>
      </c>
      <c r="K109" t="s">
        <v>126</v>
      </c>
      <c r="O109" t="s">
        <v>77</v>
      </c>
      <c r="R109" t="s">
        <v>204</v>
      </c>
      <c r="AC109" t="s">
        <v>2</v>
      </c>
      <c r="AD109" s="80"/>
      <c r="AE109" s="81"/>
      <c r="AF109" s="81"/>
      <c r="AG109" s="81"/>
      <c r="AH109" s="81"/>
      <c r="AI109" s="81"/>
    </row>
    <row r="110" spans="1:35">
      <c r="D110" s="435" t="s">
        <v>1869</v>
      </c>
      <c r="E110" s="435" t="s">
        <v>1869</v>
      </c>
      <c r="F110" s="435" t="s">
        <v>274</v>
      </c>
      <c r="G110" s="435" t="s">
        <v>12</v>
      </c>
      <c r="H110" t="s">
        <v>77</v>
      </c>
      <c r="I110" t="s">
        <v>1</v>
      </c>
      <c r="J110" t="s">
        <v>121</v>
      </c>
      <c r="K110" t="s">
        <v>126</v>
      </c>
      <c r="O110" t="s">
        <v>77</v>
      </c>
      <c r="R110" t="s">
        <v>205</v>
      </c>
      <c r="AC110" t="s">
        <v>2</v>
      </c>
      <c r="AD110" s="80"/>
      <c r="AE110" s="81"/>
      <c r="AF110" s="81"/>
      <c r="AG110" s="81"/>
      <c r="AH110" s="81"/>
      <c r="AI110" s="81"/>
    </row>
    <row r="112" spans="1:35" s="1" customFormat="1" ht="13.9">
      <c r="A112" s="66"/>
      <c r="B112" s="78" t="s">
        <v>127</v>
      </c>
    </row>
    <row r="114" spans="1:35">
      <c r="D114" s="435" t="s">
        <v>1869</v>
      </c>
      <c r="E114" s="435" t="s">
        <v>1869</v>
      </c>
      <c r="F114" s="435" t="s">
        <v>274</v>
      </c>
      <c r="G114" s="435" t="s">
        <v>12</v>
      </c>
      <c r="H114" t="s">
        <v>77</v>
      </c>
      <c r="I114" t="s">
        <v>1</v>
      </c>
      <c r="J114" t="s">
        <v>121</v>
      </c>
      <c r="K114" t="s">
        <v>127</v>
      </c>
      <c r="O114" t="s">
        <v>77</v>
      </c>
      <c r="R114" t="s">
        <v>191</v>
      </c>
      <c r="AC114" t="s">
        <v>2</v>
      </c>
      <c r="AD114" s="80"/>
      <c r="AE114" s="81"/>
      <c r="AF114" s="81"/>
      <c r="AG114" s="81"/>
      <c r="AH114" s="81"/>
      <c r="AI114" s="81"/>
    </row>
    <row r="115" spans="1:35">
      <c r="D115" t="s">
        <v>79</v>
      </c>
      <c r="E115" s="435" t="s">
        <v>1869</v>
      </c>
      <c r="F115" s="435" t="s">
        <v>274</v>
      </c>
      <c r="G115" s="435" t="s">
        <v>12</v>
      </c>
      <c r="H115" t="s">
        <v>77</v>
      </c>
      <c r="I115" t="s">
        <v>1</v>
      </c>
      <c r="J115" t="s">
        <v>121</v>
      </c>
      <c r="K115" t="s">
        <v>127</v>
      </c>
      <c r="O115" t="s">
        <v>77</v>
      </c>
      <c r="R115" t="s">
        <v>193</v>
      </c>
      <c r="AC115" t="s">
        <v>2</v>
      </c>
      <c r="AD115" s="80"/>
      <c r="AE115" s="81"/>
      <c r="AF115" s="81"/>
      <c r="AG115" s="81"/>
      <c r="AH115" s="81"/>
      <c r="AI115" s="81"/>
    </row>
    <row r="116" spans="1:35">
      <c r="D116" t="s">
        <v>185</v>
      </c>
      <c r="E116" s="435" t="s">
        <v>1869</v>
      </c>
      <c r="F116" s="435" t="s">
        <v>274</v>
      </c>
      <c r="G116" s="435" t="s">
        <v>12</v>
      </c>
      <c r="H116" t="s">
        <v>77</v>
      </c>
      <c r="I116" t="s">
        <v>1</v>
      </c>
      <c r="J116" t="s">
        <v>121</v>
      </c>
      <c r="K116" t="s">
        <v>127</v>
      </c>
      <c r="O116" t="s">
        <v>77</v>
      </c>
      <c r="R116" t="s">
        <v>194</v>
      </c>
      <c r="AC116" t="s">
        <v>2</v>
      </c>
      <c r="AD116" s="80"/>
      <c r="AE116" s="81"/>
      <c r="AF116" s="81"/>
      <c r="AG116" s="81"/>
      <c r="AH116" s="81"/>
      <c r="AI116" s="81"/>
    </row>
    <row r="117" spans="1:35">
      <c r="D117" s="435" t="s">
        <v>1869</v>
      </c>
      <c r="E117" s="435" t="s">
        <v>1869</v>
      </c>
      <c r="F117" s="435" t="s">
        <v>274</v>
      </c>
      <c r="G117" s="435" t="s">
        <v>12</v>
      </c>
      <c r="H117" t="s">
        <v>77</v>
      </c>
      <c r="I117" t="s">
        <v>1</v>
      </c>
      <c r="J117" t="s">
        <v>121</v>
      </c>
      <c r="K117" t="s">
        <v>127</v>
      </c>
      <c r="O117" t="s">
        <v>77</v>
      </c>
      <c r="R117" t="s">
        <v>192</v>
      </c>
      <c r="AC117" t="s">
        <v>2</v>
      </c>
      <c r="AD117" s="80"/>
      <c r="AE117" s="81"/>
      <c r="AF117" s="81"/>
      <c r="AG117" s="81"/>
      <c r="AH117" s="81"/>
      <c r="AI117" s="81"/>
    </row>
    <row r="118" spans="1:35">
      <c r="D118" s="435" t="s">
        <v>1869</v>
      </c>
      <c r="E118" s="435" t="s">
        <v>1869</v>
      </c>
      <c r="F118" s="435" t="s">
        <v>274</v>
      </c>
      <c r="G118" s="435" t="s">
        <v>12</v>
      </c>
      <c r="H118" t="s">
        <v>77</v>
      </c>
      <c r="I118" t="s">
        <v>1</v>
      </c>
      <c r="J118" t="s">
        <v>121</v>
      </c>
      <c r="K118" t="s">
        <v>127</v>
      </c>
      <c r="O118" t="s">
        <v>77</v>
      </c>
      <c r="R118" t="s">
        <v>204</v>
      </c>
      <c r="AC118" t="s">
        <v>2</v>
      </c>
      <c r="AD118" s="80"/>
      <c r="AE118" s="81"/>
      <c r="AF118" s="81"/>
      <c r="AG118" s="81"/>
      <c r="AH118" s="81"/>
      <c r="AI118" s="81"/>
    </row>
    <row r="119" spans="1:35">
      <c r="D119" s="435" t="s">
        <v>1869</v>
      </c>
      <c r="E119" s="435" t="s">
        <v>1869</v>
      </c>
      <c r="F119" s="435" t="s">
        <v>274</v>
      </c>
      <c r="G119" s="435" t="s">
        <v>12</v>
      </c>
      <c r="H119" t="s">
        <v>77</v>
      </c>
      <c r="I119" t="s">
        <v>1</v>
      </c>
      <c r="J119" t="s">
        <v>121</v>
      </c>
      <c r="K119" t="s">
        <v>127</v>
      </c>
      <c r="O119" t="s">
        <v>77</v>
      </c>
      <c r="R119" t="s">
        <v>205</v>
      </c>
      <c r="AC119" t="s">
        <v>2</v>
      </c>
      <c r="AD119" s="80"/>
      <c r="AE119" s="81"/>
      <c r="AF119" s="81"/>
      <c r="AG119" s="81"/>
      <c r="AH119" s="81"/>
      <c r="AI119" s="81"/>
    </row>
    <row r="121" spans="1:35" s="73" customFormat="1" ht="18">
      <c r="A121" s="74" t="s">
        <v>76</v>
      </c>
    </row>
  </sheetData>
  <mergeCells count="1">
    <mergeCell ref="AE6:AI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179"/>
  <sheetViews>
    <sheetView zoomScale="70" zoomScaleNormal="70" workbookViewId="0">
      <pane ySplit="8" topLeftCell="A9" activePane="bottomLeft" state="frozen"/>
      <selection activeCell="K40" sqref="K40"/>
      <selection pane="bottomLeft"/>
    </sheetView>
  </sheetViews>
  <sheetFormatPr defaultRowHeight="14.25"/>
  <cols>
    <col min="1" max="3" width="1.73046875" customWidth="1"/>
    <col min="4" max="4" width="8.1328125" bestFit="1" customWidth="1"/>
    <col min="5" max="5" width="5" bestFit="1" customWidth="1"/>
    <col min="6" max="6" width="23.86328125" style="435" bestFit="1" customWidth="1"/>
    <col min="7" max="7" width="11" style="435" bestFit="1" customWidth="1"/>
    <col min="8" max="8" width="18.59765625" bestFit="1" customWidth="1"/>
    <col min="9" max="9" width="9.3984375" bestFit="1" customWidth="1"/>
    <col min="10" max="10" width="37.73046875" bestFit="1" customWidth="1"/>
    <col min="11" max="11" width="16" customWidth="1"/>
    <col min="12" max="12" width="12.265625" customWidth="1"/>
    <col min="13" max="13" width="1.73046875" customWidth="1"/>
    <col min="14" max="14" width="23.73046875" bestFit="1" customWidth="1"/>
    <col min="15" max="15" width="18.86328125" bestFit="1" customWidth="1"/>
    <col min="16" max="16" width="15.3984375" style="125" customWidth="1"/>
    <col min="17" max="17" width="44.59765625" style="125" bestFit="1" customWidth="1"/>
    <col min="18" max="28" width="1.73046875" hidden="1" customWidth="1"/>
    <col min="29" max="29" width="6.265625" bestFit="1" customWidth="1"/>
    <col min="30" max="35" width="10.86328125" customWidth="1"/>
    <col min="36" max="36" width="10.86328125" style="435" customWidth="1"/>
    <col min="38" max="39" width="10.86328125" customWidth="1"/>
  </cols>
  <sheetData>
    <row r="1" spans="1:42" s="73" customFormat="1" ht="23.25">
      <c r="A1" s="89" t="str">
        <f>'1.1 Cover'!A2</f>
        <v>Regulatory Reporting Pack</v>
      </c>
      <c r="P1" s="124"/>
      <c r="Q1" s="124"/>
    </row>
    <row r="2" spans="1:42" s="73" customFormat="1" ht="23.25">
      <c r="A2" s="89" t="str">
        <f>'1.1 Cover'!A3</f>
        <v>Price base - 2018/19</v>
      </c>
      <c r="P2" s="124"/>
      <c r="Q2" s="124"/>
    </row>
    <row r="3" spans="1:42" s="73" customFormat="1" ht="23.25">
      <c r="A3" s="89" t="str">
        <f>'1.1 Cover'!A4</f>
        <v>Regulatory Year: April 2021 - March 2022</v>
      </c>
      <c r="P3" s="124"/>
      <c r="Q3" s="124"/>
    </row>
    <row r="4" spans="1:42" s="73" customFormat="1" ht="23.25">
      <c r="A4" s="89" t="s">
        <v>1064</v>
      </c>
      <c r="P4" s="124"/>
      <c r="Q4" s="124"/>
    </row>
    <row r="6" spans="1:42">
      <c r="AD6" s="88" t="s">
        <v>2616</v>
      </c>
      <c r="AE6" s="1347" t="s">
        <v>112</v>
      </c>
      <c r="AF6" s="1348"/>
      <c r="AG6" s="1348"/>
      <c r="AH6" s="1348"/>
      <c r="AI6" s="1349"/>
      <c r="AJ6" s="88" t="s">
        <v>2614</v>
      </c>
      <c r="AL6" s="1365" t="s">
        <v>2622</v>
      </c>
      <c r="AM6" s="1366"/>
      <c r="AN6" s="67"/>
      <c r="AO6" s="67"/>
      <c r="AP6" s="67"/>
    </row>
    <row r="7" spans="1:42" s="67" customFormat="1">
      <c r="D7" s="87" t="s">
        <v>111</v>
      </c>
      <c r="E7" s="87" t="s">
        <v>68</v>
      </c>
      <c r="F7" s="87" t="s">
        <v>2680</v>
      </c>
      <c r="G7" s="87" t="s">
        <v>2681</v>
      </c>
      <c r="H7" s="87" t="s">
        <v>110</v>
      </c>
      <c r="I7" s="87" t="s">
        <v>109</v>
      </c>
      <c r="J7" s="87" t="s">
        <v>108</v>
      </c>
      <c r="K7" s="87" t="s">
        <v>107</v>
      </c>
      <c r="L7" s="87" t="s">
        <v>106</v>
      </c>
      <c r="M7" s="87" t="s">
        <v>105</v>
      </c>
      <c r="N7" s="87" t="s">
        <v>104</v>
      </c>
      <c r="O7" s="87" t="s">
        <v>103</v>
      </c>
      <c r="P7" s="126" t="s">
        <v>102</v>
      </c>
      <c r="Q7" s="126" t="s">
        <v>71</v>
      </c>
      <c r="R7" s="86" t="s">
        <v>101</v>
      </c>
      <c r="S7" s="86" t="s">
        <v>100</v>
      </c>
      <c r="T7" s="86" t="s">
        <v>99</v>
      </c>
      <c r="U7" s="86" t="s">
        <v>98</v>
      </c>
      <c r="V7" s="86" t="s">
        <v>97</v>
      </c>
      <c r="W7" s="86" t="s">
        <v>96</v>
      </c>
      <c r="X7" s="86" t="s">
        <v>95</v>
      </c>
      <c r="Y7" s="86" t="s">
        <v>94</v>
      </c>
      <c r="Z7" s="86" t="s">
        <v>93</v>
      </c>
      <c r="AA7" s="86" t="s">
        <v>92</v>
      </c>
      <c r="AB7" s="86" t="s">
        <v>91</v>
      </c>
      <c r="AC7" s="67" t="s">
        <v>5</v>
      </c>
      <c r="AD7" s="85" t="s">
        <v>88</v>
      </c>
      <c r="AE7" s="84">
        <v>2022</v>
      </c>
      <c r="AF7" s="83">
        <v>2023</v>
      </c>
      <c r="AG7" s="83">
        <v>2024</v>
      </c>
      <c r="AH7" s="83">
        <v>2025</v>
      </c>
      <c r="AI7" s="82">
        <v>2026</v>
      </c>
      <c r="AJ7" s="85" t="s">
        <v>2615</v>
      </c>
      <c r="AL7" s="812" t="s">
        <v>1016</v>
      </c>
      <c r="AM7" s="812" t="s">
        <v>1049</v>
      </c>
    </row>
    <row r="8" spans="1:42">
      <c r="R8" s="67"/>
      <c r="S8" s="67"/>
      <c r="T8" s="67"/>
      <c r="U8" s="67"/>
    </row>
    <row r="9" spans="1:42" s="1" customFormat="1" ht="17.649999999999999">
      <c r="A9" s="2" t="s">
        <v>274</v>
      </c>
      <c r="B9" s="2"/>
      <c r="P9" s="127"/>
      <c r="Q9" s="127"/>
    </row>
    <row r="11" spans="1:42" s="1" customFormat="1" ht="13.9">
      <c r="A11" s="66"/>
      <c r="B11" s="78" t="s">
        <v>277</v>
      </c>
      <c r="P11" s="127"/>
      <c r="Q11" s="127"/>
    </row>
    <row r="13" spans="1:42">
      <c r="D13" t="s">
        <v>79</v>
      </c>
      <c r="E13" t="s">
        <v>68</v>
      </c>
      <c r="F13" s="435" t="s">
        <v>274</v>
      </c>
      <c r="H13" t="s">
        <v>276</v>
      </c>
      <c r="I13" t="s">
        <v>7</v>
      </c>
      <c r="J13" t="s">
        <v>277</v>
      </c>
      <c r="K13" s="436" t="str">
        <f>IF(Q13="","null",Q13)</f>
        <v>null</v>
      </c>
      <c r="N13" s="436" t="s">
        <v>1054</v>
      </c>
      <c r="O13" t="s">
        <v>276</v>
      </c>
      <c r="P13" s="111"/>
      <c r="Q13" s="111"/>
      <c r="AC13" t="s">
        <v>2</v>
      </c>
      <c r="AD13" s="81"/>
      <c r="AE13" s="81"/>
      <c r="AF13" s="81"/>
      <c r="AG13" s="81"/>
      <c r="AH13" s="81"/>
      <c r="AI13" s="81"/>
      <c r="AJ13" s="81"/>
      <c r="AL13" s="81"/>
      <c r="AM13" s="81"/>
    </row>
    <row r="14" spans="1:42">
      <c r="D14" t="s">
        <v>79</v>
      </c>
      <c r="E14" t="s">
        <v>68</v>
      </c>
      <c r="F14" s="435" t="s">
        <v>274</v>
      </c>
      <c r="H14" t="s">
        <v>276</v>
      </c>
      <c r="I14" t="s">
        <v>7</v>
      </c>
      <c r="J14" t="s">
        <v>277</v>
      </c>
      <c r="K14" s="436" t="str">
        <f t="shared" ref="K14:K16" si="0">IF(Q14="","null",Q14)</f>
        <v>null</v>
      </c>
      <c r="N14" s="436" t="s">
        <v>1054</v>
      </c>
      <c r="O14" t="s">
        <v>276</v>
      </c>
      <c r="P14" s="111"/>
      <c r="Q14" s="111"/>
      <c r="AC14" t="s">
        <v>2</v>
      </c>
      <c r="AD14" s="81"/>
      <c r="AE14" s="81"/>
      <c r="AF14" s="81"/>
      <c r="AG14" s="81"/>
      <c r="AH14" s="81"/>
      <c r="AI14" s="81"/>
      <c r="AJ14" s="81"/>
      <c r="AL14" s="81"/>
      <c r="AM14" s="81"/>
    </row>
    <row r="15" spans="1:42">
      <c r="D15" t="s">
        <v>79</v>
      </c>
      <c r="E15" t="s">
        <v>68</v>
      </c>
      <c r="F15" s="435" t="s">
        <v>274</v>
      </c>
      <c r="H15" t="s">
        <v>276</v>
      </c>
      <c r="I15" t="s">
        <v>7</v>
      </c>
      <c r="J15" t="s">
        <v>277</v>
      </c>
      <c r="K15" s="436" t="str">
        <f t="shared" si="0"/>
        <v>null</v>
      </c>
      <c r="L15" s="96"/>
      <c r="N15" s="436" t="s">
        <v>1054</v>
      </c>
      <c r="O15" t="s">
        <v>276</v>
      </c>
      <c r="P15" s="111"/>
      <c r="Q15" s="111"/>
      <c r="R15" s="76"/>
      <c r="S15" s="76"/>
      <c r="T15" s="76"/>
      <c r="U15" s="76"/>
      <c r="AC15" t="s">
        <v>2</v>
      </c>
      <c r="AD15" s="81"/>
      <c r="AE15" s="81"/>
      <c r="AF15" s="81"/>
      <c r="AG15" s="81"/>
      <c r="AH15" s="81"/>
      <c r="AI15" s="81"/>
      <c r="AJ15" s="81"/>
      <c r="AL15" s="81"/>
      <c r="AM15" s="81"/>
    </row>
    <row r="16" spans="1:42">
      <c r="D16" t="s">
        <v>79</v>
      </c>
      <c r="E16" t="s">
        <v>68</v>
      </c>
      <c r="F16" s="435" t="s">
        <v>274</v>
      </c>
      <c r="H16" t="s">
        <v>276</v>
      </c>
      <c r="I16" t="s">
        <v>7</v>
      </c>
      <c r="J16" t="s">
        <v>277</v>
      </c>
      <c r="K16" s="436" t="str">
        <f t="shared" si="0"/>
        <v>null</v>
      </c>
      <c r="L16" s="96"/>
      <c r="N16" s="436" t="s">
        <v>1054</v>
      </c>
      <c r="O16" t="s">
        <v>276</v>
      </c>
      <c r="P16" s="111"/>
      <c r="Q16" s="111"/>
      <c r="R16" s="76"/>
      <c r="S16" s="76"/>
      <c r="T16" s="76"/>
      <c r="U16" s="76"/>
      <c r="AC16" t="s">
        <v>2</v>
      </c>
      <c r="AD16" s="81"/>
      <c r="AE16" s="81"/>
      <c r="AF16" s="81"/>
      <c r="AG16" s="81"/>
      <c r="AH16" s="81"/>
      <c r="AI16" s="81"/>
      <c r="AJ16" s="81"/>
      <c r="AL16" s="81"/>
      <c r="AM16" s="81"/>
    </row>
    <row r="17" spans="1:39">
      <c r="K17" s="436"/>
    </row>
    <row r="18" spans="1:39" s="1" customFormat="1" ht="13.9">
      <c r="A18" s="66"/>
      <c r="B18" s="78" t="s">
        <v>278</v>
      </c>
      <c r="K18" s="923"/>
      <c r="P18" s="127"/>
      <c r="Q18" s="127"/>
    </row>
    <row r="19" spans="1:39">
      <c r="K19" s="436"/>
    </row>
    <row r="20" spans="1:39">
      <c r="D20" t="s">
        <v>79</v>
      </c>
      <c r="E20" t="s">
        <v>68</v>
      </c>
      <c r="F20" s="435" t="s">
        <v>274</v>
      </c>
      <c r="H20" t="s">
        <v>276</v>
      </c>
      <c r="I20" t="s">
        <v>7</v>
      </c>
      <c r="J20" t="s">
        <v>278</v>
      </c>
      <c r="K20" s="436" t="str">
        <f t="shared" ref="K20:K23" si="1">IF(Q20="","null",Q20)</f>
        <v>null</v>
      </c>
      <c r="N20" s="436" t="s">
        <v>1054</v>
      </c>
      <c r="O20" t="s">
        <v>276</v>
      </c>
      <c r="P20" s="111"/>
      <c r="Q20" s="111"/>
      <c r="AC20" t="s">
        <v>2</v>
      </c>
      <c r="AD20" s="81"/>
      <c r="AE20" s="81"/>
      <c r="AF20" s="81"/>
      <c r="AG20" s="81"/>
      <c r="AH20" s="81"/>
      <c r="AI20" s="81"/>
      <c r="AJ20" s="81"/>
      <c r="AL20" s="81"/>
      <c r="AM20" s="81"/>
    </row>
    <row r="21" spans="1:39">
      <c r="D21" t="s">
        <v>79</v>
      </c>
      <c r="E21" t="s">
        <v>68</v>
      </c>
      <c r="F21" s="435" t="s">
        <v>274</v>
      </c>
      <c r="H21" t="s">
        <v>276</v>
      </c>
      <c r="I21" t="s">
        <v>7</v>
      </c>
      <c r="J21" t="s">
        <v>278</v>
      </c>
      <c r="K21" s="436" t="str">
        <f t="shared" si="1"/>
        <v>null</v>
      </c>
      <c r="N21" s="436" t="s">
        <v>1054</v>
      </c>
      <c r="O21" t="s">
        <v>276</v>
      </c>
      <c r="P21" s="111"/>
      <c r="Q21" s="111"/>
      <c r="AC21" t="s">
        <v>2</v>
      </c>
      <c r="AD21" s="81"/>
      <c r="AE21" s="81"/>
      <c r="AF21" s="81"/>
      <c r="AG21" s="81"/>
      <c r="AH21" s="81"/>
      <c r="AI21" s="81"/>
      <c r="AJ21" s="81"/>
      <c r="AL21" s="81"/>
      <c r="AM21" s="81"/>
    </row>
    <row r="22" spans="1:39">
      <c r="D22" t="s">
        <v>79</v>
      </c>
      <c r="E22" t="s">
        <v>68</v>
      </c>
      <c r="F22" s="435" t="s">
        <v>274</v>
      </c>
      <c r="H22" t="s">
        <v>276</v>
      </c>
      <c r="I22" t="s">
        <v>7</v>
      </c>
      <c r="J22" t="s">
        <v>278</v>
      </c>
      <c r="K22" s="436" t="str">
        <f t="shared" si="1"/>
        <v>null</v>
      </c>
      <c r="L22" s="96"/>
      <c r="N22" s="436" t="s">
        <v>1054</v>
      </c>
      <c r="O22" t="s">
        <v>276</v>
      </c>
      <c r="P22" s="111"/>
      <c r="Q22" s="111"/>
      <c r="R22" s="76"/>
      <c r="S22" s="76"/>
      <c r="T22" s="76"/>
      <c r="U22" s="76"/>
      <c r="AC22" t="s">
        <v>2</v>
      </c>
      <c r="AD22" s="81"/>
      <c r="AE22" s="81"/>
      <c r="AF22" s="81"/>
      <c r="AG22" s="81"/>
      <c r="AH22" s="81"/>
      <c r="AI22" s="81"/>
      <c r="AJ22" s="81"/>
      <c r="AL22" s="81"/>
      <c r="AM22" s="81"/>
    </row>
    <row r="23" spans="1:39">
      <c r="D23" t="s">
        <v>79</v>
      </c>
      <c r="E23" t="s">
        <v>68</v>
      </c>
      <c r="F23" s="435" t="s">
        <v>274</v>
      </c>
      <c r="H23" t="s">
        <v>276</v>
      </c>
      <c r="I23" t="s">
        <v>7</v>
      </c>
      <c r="J23" t="s">
        <v>278</v>
      </c>
      <c r="K23" s="436" t="str">
        <f t="shared" si="1"/>
        <v>null</v>
      </c>
      <c r="L23" s="96"/>
      <c r="N23" s="436" t="s">
        <v>1054</v>
      </c>
      <c r="O23" t="s">
        <v>276</v>
      </c>
      <c r="P23" s="111"/>
      <c r="Q23" s="111"/>
      <c r="R23" s="76"/>
      <c r="S23" s="76"/>
      <c r="T23" s="76"/>
      <c r="U23" s="76"/>
      <c r="AC23" t="s">
        <v>2</v>
      </c>
      <c r="AD23" s="81"/>
      <c r="AE23" s="81"/>
      <c r="AF23" s="81"/>
      <c r="AG23" s="81"/>
      <c r="AH23" s="81"/>
      <c r="AI23" s="81"/>
      <c r="AJ23" s="81"/>
      <c r="AL23" s="81"/>
      <c r="AM23" s="81"/>
    </row>
    <row r="24" spans="1:39">
      <c r="K24" s="436"/>
    </row>
    <row r="25" spans="1:39" s="1" customFormat="1" ht="13.9">
      <c r="A25" s="66"/>
      <c r="B25" s="78" t="s">
        <v>279</v>
      </c>
      <c r="K25" s="923"/>
      <c r="P25" s="127"/>
      <c r="Q25" s="127"/>
    </row>
    <row r="26" spans="1:39">
      <c r="K26" s="436"/>
    </row>
    <row r="27" spans="1:39">
      <c r="D27" t="s">
        <v>79</v>
      </c>
      <c r="E27" t="s">
        <v>68</v>
      </c>
      <c r="F27" s="435" t="s">
        <v>274</v>
      </c>
      <c r="G27" s="435" t="s">
        <v>12</v>
      </c>
      <c r="H27" t="s">
        <v>276</v>
      </c>
      <c r="I27" t="s">
        <v>7</v>
      </c>
      <c r="J27" t="s">
        <v>279</v>
      </c>
      <c r="K27" s="436" t="str">
        <f t="shared" ref="K27:K30" si="2">IF(Q27="","null",Q27)</f>
        <v>null</v>
      </c>
      <c r="N27" s="436" t="s">
        <v>1054</v>
      </c>
      <c r="O27" t="s">
        <v>276</v>
      </c>
      <c r="P27" s="111"/>
      <c r="Q27" s="111"/>
      <c r="AC27" t="s">
        <v>2</v>
      </c>
      <c r="AD27" s="81"/>
      <c r="AE27" s="81"/>
      <c r="AF27" s="81"/>
      <c r="AG27" s="81"/>
      <c r="AH27" s="81"/>
      <c r="AI27" s="81"/>
      <c r="AJ27" s="81"/>
      <c r="AL27" s="81"/>
      <c r="AM27" s="81"/>
    </row>
    <row r="28" spans="1:39">
      <c r="D28" t="s">
        <v>79</v>
      </c>
      <c r="E28" t="s">
        <v>68</v>
      </c>
      <c r="F28" s="435" t="s">
        <v>274</v>
      </c>
      <c r="G28" s="435" t="s">
        <v>12</v>
      </c>
      <c r="H28" t="s">
        <v>276</v>
      </c>
      <c r="I28" t="s">
        <v>7</v>
      </c>
      <c r="J28" t="s">
        <v>279</v>
      </c>
      <c r="K28" s="436" t="str">
        <f t="shared" si="2"/>
        <v>null</v>
      </c>
      <c r="N28" s="436" t="s">
        <v>1054</v>
      </c>
      <c r="O28" t="s">
        <v>276</v>
      </c>
      <c r="P28" s="111"/>
      <c r="Q28" s="111"/>
      <c r="AC28" t="s">
        <v>2</v>
      </c>
      <c r="AD28" s="81"/>
      <c r="AE28" s="81"/>
      <c r="AF28" s="81"/>
      <c r="AG28" s="81"/>
      <c r="AH28" s="81"/>
      <c r="AI28" s="81"/>
      <c r="AJ28" s="81"/>
      <c r="AL28" s="81"/>
      <c r="AM28" s="81"/>
    </row>
    <row r="29" spans="1:39">
      <c r="D29" t="s">
        <v>79</v>
      </c>
      <c r="E29" t="s">
        <v>68</v>
      </c>
      <c r="F29" s="435" t="s">
        <v>274</v>
      </c>
      <c r="G29" s="435" t="s">
        <v>12</v>
      </c>
      <c r="H29" t="s">
        <v>276</v>
      </c>
      <c r="I29" t="s">
        <v>7</v>
      </c>
      <c r="J29" t="s">
        <v>279</v>
      </c>
      <c r="K29" s="436" t="str">
        <f t="shared" si="2"/>
        <v>null</v>
      </c>
      <c r="L29" s="96"/>
      <c r="N29" s="436" t="s">
        <v>1054</v>
      </c>
      <c r="O29" t="s">
        <v>276</v>
      </c>
      <c r="P29" s="111"/>
      <c r="Q29" s="111"/>
      <c r="R29" s="76"/>
      <c r="S29" s="76"/>
      <c r="T29" s="76"/>
      <c r="U29" s="76"/>
      <c r="AC29" t="s">
        <v>2</v>
      </c>
      <c r="AD29" s="81"/>
      <c r="AE29" s="81"/>
      <c r="AF29" s="81"/>
      <c r="AG29" s="81"/>
      <c r="AH29" s="81"/>
      <c r="AI29" s="81"/>
      <c r="AJ29" s="81"/>
      <c r="AL29" s="81"/>
      <c r="AM29" s="81"/>
    </row>
    <row r="30" spans="1:39">
      <c r="D30" t="s">
        <v>79</v>
      </c>
      <c r="E30" t="s">
        <v>68</v>
      </c>
      <c r="F30" s="435" t="s">
        <v>274</v>
      </c>
      <c r="G30" s="435" t="s">
        <v>12</v>
      </c>
      <c r="H30" t="s">
        <v>276</v>
      </c>
      <c r="I30" t="s">
        <v>7</v>
      </c>
      <c r="J30" t="s">
        <v>279</v>
      </c>
      <c r="K30" s="436" t="str">
        <f t="shared" si="2"/>
        <v>null</v>
      </c>
      <c r="L30" s="96"/>
      <c r="N30" s="436" t="s">
        <v>1054</v>
      </c>
      <c r="O30" t="s">
        <v>276</v>
      </c>
      <c r="P30" s="111"/>
      <c r="Q30" s="111"/>
      <c r="R30" s="76"/>
      <c r="S30" s="76"/>
      <c r="T30" s="76"/>
      <c r="U30" s="76"/>
      <c r="AC30" t="s">
        <v>2</v>
      </c>
      <c r="AD30" s="81"/>
      <c r="AE30" s="81"/>
      <c r="AF30" s="81"/>
      <c r="AG30" s="81"/>
      <c r="AH30" s="81"/>
      <c r="AI30" s="81"/>
      <c r="AJ30" s="81"/>
      <c r="AL30" s="81"/>
      <c r="AM30" s="81"/>
    </row>
    <row r="32" spans="1:39" s="1" customFormat="1" ht="13.9">
      <c r="A32" s="66"/>
      <c r="B32" s="78" t="s">
        <v>2709</v>
      </c>
      <c r="P32" s="127"/>
      <c r="Q32" s="127"/>
    </row>
    <row r="34" spans="1:41">
      <c r="D34" t="s">
        <v>79</v>
      </c>
      <c r="E34" t="s">
        <v>68</v>
      </c>
      <c r="F34" s="435" t="s">
        <v>274</v>
      </c>
      <c r="G34" s="435" t="s">
        <v>12</v>
      </c>
      <c r="H34" t="s">
        <v>276</v>
      </c>
      <c r="I34" t="s">
        <v>7</v>
      </c>
      <c r="J34" t="s">
        <v>275</v>
      </c>
      <c r="K34" s="435" t="str">
        <f t="shared" ref="K34:K37" si="3">IF(Q34="","null",Q34)</f>
        <v>Tactical Access</v>
      </c>
      <c r="N34" s="436" t="s">
        <v>1054</v>
      </c>
      <c r="O34" t="s">
        <v>276</v>
      </c>
      <c r="P34" s="111"/>
      <c r="Q34" s="130" t="s">
        <v>283</v>
      </c>
      <c r="AC34" t="s">
        <v>2</v>
      </c>
      <c r="AD34" s="81"/>
      <c r="AE34" s="81"/>
      <c r="AF34" s="81"/>
      <c r="AG34" s="81"/>
      <c r="AH34" s="81"/>
      <c r="AI34" s="81"/>
      <c r="AJ34" s="81"/>
      <c r="AL34" s="81"/>
      <c r="AM34" s="81"/>
    </row>
    <row r="35" spans="1:41">
      <c r="D35" t="s">
        <v>79</v>
      </c>
      <c r="E35" t="s">
        <v>68</v>
      </c>
      <c r="F35" s="435" t="s">
        <v>274</v>
      </c>
      <c r="G35" s="435" t="s">
        <v>12</v>
      </c>
      <c r="H35" t="s">
        <v>276</v>
      </c>
      <c r="I35" t="s">
        <v>7</v>
      </c>
      <c r="J35" t="s">
        <v>275</v>
      </c>
      <c r="K35" s="435" t="str">
        <f t="shared" si="3"/>
        <v>Changing Customer Needs</v>
      </c>
      <c r="N35" s="436" t="s">
        <v>1054</v>
      </c>
      <c r="O35" t="s">
        <v>276</v>
      </c>
      <c r="P35" s="111"/>
      <c r="Q35" s="130" t="s">
        <v>284</v>
      </c>
      <c r="AC35" t="s">
        <v>2</v>
      </c>
      <c r="AD35" s="81"/>
      <c r="AE35" s="81"/>
      <c r="AF35" s="81"/>
      <c r="AG35" s="81"/>
      <c r="AH35" s="81"/>
      <c r="AI35" s="81"/>
      <c r="AJ35" s="81"/>
      <c r="AL35" s="81"/>
      <c r="AM35" s="81"/>
    </row>
    <row r="36" spans="1:41">
      <c r="D36" t="s">
        <v>79</v>
      </c>
      <c r="E36" t="s">
        <v>68</v>
      </c>
      <c r="F36" s="435" t="s">
        <v>274</v>
      </c>
      <c r="G36" s="435" t="s">
        <v>12</v>
      </c>
      <c r="H36" t="s">
        <v>276</v>
      </c>
      <c r="I36" t="s">
        <v>7</v>
      </c>
      <c r="J36" t="s">
        <v>275</v>
      </c>
      <c r="K36" s="435" t="str">
        <f t="shared" si="3"/>
        <v>null</v>
      </c>
      <c r="L36" s="96"/>
      <c r="N36" s="436" t="s">
        <v>1054</v>
      </c>
      <c r="O36" t="s">
        <v>276</v>
      </c>
      <c r="P36" s="111"/>
      <c r="Q36" s="111"/>
      <c r="R36" s="76"/>
      <c r="S36" s="76"/>
      <c r="T36" s="76"/>
      <c r="U36" s="76"/>
      <c r="AC36" t="s">
        <v>2</v>
      </c>
      <c r="AD36" s="81"/>
      <c r="AE36" s="81"/>
      <c r="AF36" s="81"/>
      <c r="AG36" s="81"/>
      <c r="AH36" s="81"/>
      <c r="AI36" s="81"/>
      <c r="AJ36" s="81"/>
      <c r="AL36" s="81"/>
      <c r="AM36" s="81"/>
    </row>
    <row r="37" spans="1:41">
      <c r="D37" t="s">
        <v>79</v>
      </c>
      <c r="E37" t="s">
        <v>68</v>
      </c>
      <c r="F37" s="435" t="s">
        <v>274</v>
      </c>
      <c r="G37" s="435" t="s">
        <v>12</v>
      </c>
      <c r="H37" t="s">
        <v>276</v>
      </c>
      <c r="I37" t="s">
        <v>7</v>
      </c>
      <c r="J37" t="s">
        <v>275</v>
      </c>
      <c r="K37" s="435" t="str">
        <f t="shared" si="3"/>
        <v>null</v>
      </c>
      <c r="L37" s="96"/>
      <c r="N37" s="436" t="s">
        <v>1054</v>
      </c>
      <c r="O37" t="s">
        <v>276</v>
      </c>
      <c r="P37" s="111"/>
      <c r="Q37" s="111"/>
      <c r="R37" s="76"/>
      <c r="S37" s="76"/>
      <c r="T37" s="76"/>
      <c r="U37" s="76"/>
      <c r="AC37" t="s">
        <v>2</v>
      </c>
      <c r="AD37" s="81"/>
      <c r="AE37" s="81"/>
      <c r="AF37" s="81"/>
      <c r="AG37" s="81"/>
      <c r="AH37" s="81"/>
      <c r="AI37" s="81"/>
      <c r="AJ37" s="81"/>
      <c r="AL37" s="81"/>
      <c r="AM37" s="81"/>
    </row>
    <row r="39" spans="1:41" s="1" customFormat="1" ht="13.9">
      <c r="A39" s="66"/>
      <c r="B39" s="78" t="s">
        <v>2710</v>
      </c>
      <c r="P39" s="127"/>
      <c r="Q39" s="127"/>
    </row>
    <row r="41" spans="1:41">
      <c r="D41" t="s">
        <v>79</v>
      </c>
      <c r="E41" t="s">
        <v>68</v>
      </c>
      <c r="F41" s="435" t="s">
        <v>274</v>
      </c>
      <c r="G41" s="435" t="s">
        <v>12</v>
      </c>
      <c r="H41" t="s">
        <v>2868</v>
      </c>
      <c r="I41" t="s">
        <v>7</v>
      </c>
      <c r="J41" s="435" t="s">
        <v>1760</v>
      </c>
      <c r="K41" s="435" t="str">
        <f t="shared" ref="K41:K49" si="4">IF(Q41="","null",Q41)</f>
        <v>Hatton</v>
      </c>
      <c r="L41" s="96"/>
      <c r="N41" t="s">
        <v>280</v>
      </c>
      <c r="O41" t="s">
        <v>218</v>
      </c>
      <c r="P41" s="111"/>
      <c r="Q41" s="130" t="s">
        <v>252</v>
      </c>
      <c r="R41" s="76"/>
      <c r="S41" s="76"/>
      <c r="T41" s="76"/>
      <c r="U41" s="76"/>
      <c r="AC41" t="s">
        <v>2</v>
      </c>
      <c r="AD41" s="93">
        <f>SUMIFS('6.2_Projects'!AD$9:AD$195,'6.2_Projects'!$F$9:$F$195,$F41,'6.2_Projects'!$Q$9:$Q$195,$Q41)</f>
        <v>0</v>
      </c>
      <c r="AE41" s="93">
        <f>SUMIFS('6.2_Projects'!AE$9:AE$195,'6.2_Projects'!$F$9:$F$195,$F41,'6.2_Projects'!$Q$9:$Q$195,$Q41)</f>
        <v>0</v>
      </c>
      <c r="AF41" s="93">
        <f>SUMIFS('6.2_Projects'!AF$9:AF$195,'6.2_Projects'!$F$9:$F$195,$F41,'6.2_Projects'!$Q$9:$Q$195,$Q41)</f>
        <v>0</v>
      </c>
      <c r="AG41" s="93">
        <f>SUMIFS('6.2_Projects'!AG$9:AG$195,'6.2_Projects'!$F$9:$F$195,$F41,'6.2_Projects'!$Q$9:$Q$195,$Q41)</f>
        <v>0</v>
      </c>
      <c r="AH41" s="93">
        <f>SUMIFS('6.2_Projects'!AH$9:AH$195,'6.2_Projects'!$F$9:$F$195,$F41,'6.2_Projects'!$Q$9:$Q$195,$Q41)</f>
        <v>0</v>
      </c>
      <c r="AI41" s="93">
        <f>SUMIFS('6.2_Projects'!AI$9:AI$195,'6.2_Projects'!$F$9:$F$195,$F41,'6.2_Projects'!$Q$9:$Q$195,$Q41)</f>
        <v>0</v>
      </c>
      <c r="AJ41" s="93">
        <f>SUMIFS('6.2_Projects'!AJ$9:AJ$195,'6.2_Projects'!$F$9:$F$195,$F41,'6.2_Projects'!$Q$9:$Q$195,$Q41)</f>
        <v>0</v>
      </c>
      <c r="AL41" s="93">
        <f>SUMIFS('6.2_Projects'!AD$9:AD$195,'6.2_Projects'!$F$9:$F$195,$F41,'6.2_Projects'!$Q$9:$Q$195,$Q41,'6.2_Projects'!$S$9:$S$195,AL$7)+SUMIFS('6.2_Projects'!AE$9:AE$195,'6.2_Projects'!$F$9:$F$195,$F41,'6.2_Projects'!$Q$9:$Q$195,$Q41,'6.2_Projects'!$S$9:$S$195,AL$7)+SUMIFS('6.2_Projects'!AF$9:AF$195,'6.2_Projects'!$F$9:$F$195,$F41,'6.2_Projects'!$Q$9:$Q$195,$Q41,'6.2_Projects'!$S$9:$S$195,AL$7)+SUMIFS('6.2_Projects'!AG$9:AG$195,'6.2_Projects'!$F$9:$F$195,$F41,'6.2_Projects'!$Q$9:$Q$195,$Q41,'6.2_Projects'!$S$9:$S$195,AL$7)+SUMIFS('6.2_Projects'!AH$9:AH$195,'6.2_Projects'!$F$9:$F$195,$F41,'6.2_Projects'!$Q$9:$Q$195,$Q41,'6.2_Projects'!$S$9:$S$195,AL$7)+SUMIFS('6.2_Projects'!AI$9:AI$195,'6.2_Projects'!$F$9:$F$195,$F41,'6.2_Projects'!$Q$9:$Q$195,$Q41,'6.2_Projects'!$S$9:$S$195,AL$7)+SUMIFS('6.2_Projects'!AJ$9:AJ$195,'6.2_Projects'!$F$9:$F$195,$F41,'6.2_Projects'!$Q$9:$Q$195,$Q41,'6.2_Projects'!$S$9:$S$195,AL$7)</f>
        <v>0</v>
      </c>
      <c r="AM41" s="93">
        <f>SUMIFS('6.2_Projects'!AD$9:AD$195,'6.2_Projects'!$F$9:$F$195,$F41,'6.2_Projects'!$Q$9:$Q$195,$Q41,'6.2_Projects'!$S$9:$S$195,AM$7)+SUMIFS('6.2_Projects'!AE$9:AE$195,'6.2_Projects'!$F$9:$F$195,$F41,'6.2_Projects'!$Q$9:$Q$195,$Q41,'6.2_Projects'!$S$9:$S$195,AM$7)+SUMIFS('6.2_Projects'!AF$9:AF$195,'6.2_Projects'!$F$9:$F$195,$F41,'6.2_Projects'!$Q$9:$Q$195,$Q41,'6.2_Projects'!$S$9:$S$195,AM$7)+SUMIFS('6.2_Projects'!AG$9:AG$195,'6.2_Projects'!$F$9:$F$195,$F41,'6.2_Projects'!$Q$9:$Q$195,$Q41,'6.2_Projects'!$S$9:$S$195,AM$7)+SUMIFS('6.2_Projects'!AH$9:AH$195,'6.2_Projects'!$F$9:$F$195,$F41,'6.2_Projects'!$Q$9:$Q$195,$Q41,'6.2_Projects'!$S$9:$S$195,AM$7)+SUMIFS('6.2_Projects'!AI$9:AI$195,'6.2_Projects'!$F$9:$F$195,$F41,'6.2_Projects'!$Q$9:$Q$195,$Q41,'6.2_Projects'!$S$9:$S$195,AM$7)+SUMIFS('6.2_Projects'!AJ$9:AJ$195,'6.2_Projects'!$F$9:$F$195,$F41,'6.2_Projects'!$Q$9:$Q$195,$Q41,'6.2_Projects'!$S$9:$S$195,AM$7)</f>
        <v>0</v>
      </c>
    </row>
    <row r="42" spans="1:41">
      <c r="D42" t="s">
        <v>79</v>
      </c>
      <c r="E42" t="s">
        <v>68</v>
      </c>
      <c r="F42" s="435" t="s">
        <v>274</v>
      </c>
      <c r="G42" s="435" t="s">
        <v>12</v>
      </c>
      <c r="H42" s="435" t="s">
        <v>2868</v>
      </c>
      <c r="I42" t="s">
        <v>7</v>
      </c>
      <c r="J42" s="435" t="s">
        <v>1760</v>
      </c>
      <c r="K42" s="435" t="str">
        <f t="shared" si="4"/>
        <v>Wormington FEED</v>
      </c>
      <c r="L42" s="96"/>
      <c r="N42" t="s">
        <v>280</v>
      </c>
      <c r="O42" t="s">
        <v>218</v>
      </c>
      <c r="P42" s="111"/>
      <c r="Q42" s="149" t="s">
        <v>289</v>
      </c>
      <c r="R42" s="76"/>
      <c r="S42" s="76"/>
      <c r="T42" s="76"/>
      <c r="U42" s="76"/>
      <c r="AC42" t="s">
        <v>2</v>
      </c>
      <c r="AD42" s="93">
        <f>SUMIFS('6.2_Projects'!AD$9:AD$195,'6.2_Projects'!$F$9:$F$195,$F42,'6.2_Projects'!$Q$9:$Q$195,$Q42)</f>
        <v>0</v>
      </c>
      <c r="AE42" s="93">
        <f>SUMIFS('6.2_Projects'!AE$9:AE$195,'6.2_Projects'!$F$9:$F$195,$F42,'6.2_Projects'!$Q$9:$Q$195,$Q42)</f>
        <v>0</v>
      </c>
      <c r="AF42" s="93">
        <f>SUMIFS('6.2_Projects'!AF$9:AF$195,'6.2_Projects'!$F$9:$F$195,$F42,'6.2_Projects'!$Q$9:$Q$195,$Q42)</f>
        <v>0</v>
      </c>
      <c r="AG42" s="93">
        <f>SUMIFS('6.2_Projects'!AG$9:AG$195,'6.2_Projects'!$F$9:$F$195,$F42,'6.2_Projects'!$Q$9:$Q$195,$Q42)</f>
        <v>0</v>
      </c>
      <c r="AH42" s="93">
        <f>SUMIFS('6.2_Projects'!AH$9:AH$195,'6.2_Projects'!$F$9:$F$195,$F42,'6.2_Projects'!$Q$9:$Q$195,$Q42)</f>
        <v>0</v>
      </c>
      <c r="AI42" s="93">
        <f>SUMIFS('6.2_Projects'!AI$9:AI$195,'6.2_Projects'!$F$9:$F$195,$F42,'6.2_Projects'!$Q$9:$Q$195,$Q42)</f>
        <v>0</v>
      </c>
      <c r="AJ42" s="93">
        <f>SUMIFS('6.2_Projects'!AJ$9:AJ$195,'6.2_Projects'!$F$9:$F$195,$F42,'6.2_Projects'!$Q$9:$Q$195,$Q42)</f>
        <v>0</v>
      </c>
      <c r="AL42" s="93">
        <f>SUMIFS('6.2_Projects'!AD$9:AD$195,'6.2_Projects'!$F$9:$F$195,$F42,'6.2_Projects'!$Q$9:$Q$195,$Q42,'6.2_Projects'!$S$9:$S$195,AL$7)+SUMIFS('6.2_Projects'!AE$9:AE$195,'6.2_Projects'!$F$9:$F$195,$F42,'6.2_Projects'!$Q$9:$Q$195,$Q42,'6.2_Projects'!$S$9:$S$195,AL$7)+SUMIFS('6.2_Projects'!AF$9:AF$195,'6.2_Projects'!$F$9:$F$195,$F42,'6.2_Projects'!$Q$9:$Q$195,$Q42,'6.2_Projects'!$S$9:$S$195,AL$7)+SUMIFS('6.2_Projects'!AG$9:AG$195,'6.2_Projects'!$F$9:$F$195,$F42,'6.2_Projects'!$Q$9:$Q$195,$Q42,'6.2_Projects'!$S$9:$S$195,AL$7)+SUMIFS('6.2_Projects'!AH$9:AH$195,'6.2_Projects'!$F$9:$F$195,$F42,'6.2_Projects'!$Q$9:$Q$195,$Q42,'6.2_Projects'!$S$9:$S$195,AL$7)+SUMIFS('6.2_Projects'!AI$9:AI$195,'6.2_Projects'!$F$9:$F$195,$F42,'6.2_Projects'!$Q$9:$Q$195,$Q42,'6.2_Projects'!$S$9:$S$195,AL$7)+SUMIFS('6.2_Projects'!AJ$9:AJ$195,'6.2_Projects'!$F$9:$F$195,$F42,'6.2_Projects'!$Q$9:$Q$195,$Q42,'6.2_Projects'!$S$9:$S$195,AL$7)</f>
        <v>0</v>
      </c>
      <c r="AM42" s="93">
        <f>SUMIFS('6.2_Projects'!AD$9:AD$195,'6.2_Projects'!$F$9:$F$195,$F42,'6.2_Projects'!$Q$9:$Q$195,$Q42,'6.2_Projects'!$S$9:$S$195,AM$7)+SUMIFS('6.2_Projects'!AE$9:AE$195,'6.2_Projects'!$F$9:$F$195,$F42,'6.2_Projects'!$Q$9:$Q$195,$Q42,'6.2_Projects'!$S$9:$S$195,AM$7)+SUMIFS('6.2_Projects'!AF$9:AF$195,'6.2_Projects'!$F$9:$F$195,$F42,'6.2_Projects'!$Q$9:$Q$195,$Q42,'6.2_Projects'!$S$9:$S$195,AM$7)+SUMIFS('6.2_Projects'!AG$9:AG$195,'6.2_Projects'!$F$9:$F$195,$F42,'6.2_Projects'!$Q$9:$Q$195,$Q42,'6.2_Projects'!$S$9:$S$195,AM$7)+SUMIFS('6.2_Projects'!AH$9:AH$195,'6.2_Projects'!$F$9:$F$195,$F42,'6.2_Projects'!$Q$9:$Q$195,$Q42,'6.2_Projects'!$S$9:$S$195,AM$7)+SUMIFS('6.2_Projects'!AI$9:AI$195,'6.2_Projects'!$F$9:$F$195,$F42,'6.2_Projects'!$Q$9:$Q$195,$Q42,'6.2_Projects'!$S$9:$S$195,AM$7)+SUMIFS('6.2_Projects'!AJ$9:AJ$195,'6.2_Projects'!$F$9:$F$195,$F42,'6.2_Projects'!$Q$9:$Q$195,$Q42,'6.2_Projects'!$S$9:$S$195,AM$7)</f>
        <v>0</v>
      </c>
      <c r="AO42" s="435"/>
    </row>
    <row r="43" spans="1:41">
      <c r="D43" t="s">
        <v>79</v>
      </c>
      <c r="E43" t="s">
        <v>68</v>
      </c>
      <c r="F43" s="435" t="s">
        <v>274</v>
      </c>
      <c r="G43" s="435" t="s">
        <v>12</v>
      </c>
      <c r="H43" s="435" t="s">
        <v>2868</v>
      </c>
      <c r="I43" t="s">
        <v>7</v>
      </c>
      <c r="J43" s="435" t="s">
        <v>1760</v>
      </c>
      <c r="K43" s="435" t="str">
        <f t="shared" si="4"/>
        <v>Kings Lynn FEED</v>
      </c>
      <c r="L43" s="96"/>
      <c r="N43" t="s">
        <v>280</v>
      </c>
      <c r="O43" t="s">
        <v>218</v>
      </c>
      <c r="P43" s="111"/>
      <c r="Q43" s="832" t="s">
        <v>1053</v>
      </c>
      <c r="R43" s="76"/>
      <c r="S43" s="76"/>
      <c r="T43" s="76"/>
      <c r="U43" s="76"/>
      <c r="AC43" t="s">
        <v>2</v>
      </c>
      <c r="AD43" s="93">
        <f>SUMIFS('6.2_Projects'!AD$9:AD$195,'6.2_Projects'!$F$9:$F$195,$F43,'6.2_Projects'!$Q$9:$Q$195,$Q43)</f>
        <v>0</v>
      </c>
      <c r="AE43" s="93">
        <f>SUMIFS('6.2_Projects'!AE$9:AE$195,'6.2_Projects'!$F$9:$F$195,$F43,'6.2_Projects'!$Q$9:$Q$195,$Q43)</f>
        <v>0</v>
      </c>
      <c r="AF43" s="93">
        <f>SUMIFS('6.2_Projects'!AF$9:AF$195,'6.2_Projects'!$F$9:$F$195,$F43,'6.2_Projects'!$Q$9:$Q$195,$Q43)</f>
        <v>0</v>
      </c>
      <c r="AG43" s="93">
        <f>SUMIFS('6.2_Projects'!AG$9:AG$195,'6.2_Projects'!$F$9:$F$195,$F43,'6.2_Projects'!$Q$9:$Q$195,$Q43)</f>
        <v>0</v>
      </c>
      <c r="AH43" s="93">
        <f>SUMIFS('6.2_Projects'!AH$9:AH$195,'6.2_Projects'!$F$9:$F$195,$F43,'6.2_Projects'!$Q$9:$Q$195,$Q43)</f>
        <v>0</v>
      </c>
      <c r="AI43" s="93">
        <f>SUMIFS('6.2_Projects'!AI$9:AI$195,'6.2_Projects'!$F$9:$F$195,$F43,'6.2_Projects'!$Q$9:$Q$195,$Q43)</f>
        <v>0</v>
      </c>
      <c r="AJ43" s="93">
        <f>SUMIFS('6.2_Projects'!AJ$9:AJ$195,'6.2_Projects'!$F$9:$F$195,$F43,'6.2_Projects'!$Q$9:$Q$195,$Q43)</f>
        <v>0</v>
      </c>
      <c r="AL43" s="93">
        <f>SUMIFS('6.2_Projects'!AD$9:AD$195,'6.2_Projects'!$F$9:$F$195,$F43,'6.2_Projects'!$Q$9:$Q$195,$Q43,'6.2_Projects'!$S$9:$S$195,AL$7)+SUMIFS('6.2_Projects'!AE$9:AE$195,'6.2_Projects'!$F$9:$F$195,$F43,'6.2_Projects'!$Q$9:$Q$195,$Q43,'6.2_Projects'!$S$9:$S$195,AL$7)+SUMIFS('6.2_Projects'!AF$9:AF$195,'6.2_Projects'!$F$9:$F$195,$F43,'6.2_Projects'!$Q$9:$Q$195,$Q43,'6.2_Projects'!$S$9:$S$195,AL$7)+SUMIFS('6.2_Projects'!AG$9:AG$195,'6.2_Projects'!$F$9:$F$195,$F43,'6.2_Projects'!$Q$9:$Q$195,$Q43,'6.2_Projects'!$S$9:$S$195,AL$7)+SUMIFS('6.2_Projects'!AH$9:AH$195,'6.2_Projects'!$F$9:$F$195,$F43,'6.2_Projects'!$Q$9:$Q$195,$Q43,'6.2_Projects'!$S$9:$S$195,AL$7)+SUMIFS('6.2_Projects'!AI$9:AI$195,'6.2_Projects'!$F$9:$F$195,$F43,'6.2_Projects'!$Q$9:$Q$195,$Q43,'6.2_Projects'!$S$9:$S$195,AL$7)+SUMIFS('6.2_Projects'!AJ$9:AJ$195,'6.2_Projects'!$F$9:$F$195,$F43,'6.2_Projects'!$Q$9:$Q$195,$Q43,'6.2_Projects'!$S$9:$S$195,AL$7)</f>
        <v>0</v>
      </c>
      <c r="AM43" s="93">
        <f>SUMIFS('6.2_Projects'!AD$9:AD$195,'6.2_Projects'!$F$9:$F$195,$F43,'6.2_Projects'!$Q$9:$Q$195,$Q43,'6.2_Projects'!$S$9:$S$195,AM$7)+SUMIFS('6.2_Projects'!AE$9:AE$195,'6.2_Projects'!$F$9:$F$195,$F43,'6.2_Projects'!$Q$9:$Q$195,$Q43,'6.2_Projects'!$S$9:$S$195,AM$7)+SUMIFS('6.2_Projects'!AF$9:AF$195,'6.2_Projects'!$F$9:$F$195,$F43,'6.2_Projects'!$Q$9:$Q$195,$Q43,'6.2_Projects'!$S$9:$S$195,AM$7)+SUMIFS('6.2_Projects'!AG$9:AG$195,'6.2_Projects'!$F$9:$F$195,$F43,'6.2_Projects'!$Q$9:$Q$195,$Q43,'6.2_Projects'!$S$9:$S$195,AM$7)+SUMIFS('6.2_Projects'!AH$9:AH$195,'6.2_Projects'!$F$9:$F$195,$F43,'6.2_Projects'!$Q$9:$Q$195,$Q43,'6.2_Projects'!$S$9:$S$195,AM$7)+SUMIFS('6.2_Projects'!AI$9:AI$195,'6.2_Projects'!$F$9:$F$195,$F43,'6.2_Projects'!$Q$9:$Q$195,$Q43,'6.2_Projects'!$S$9:$S$195,AM$7)+SUMIFS('6.2_Projects'!AJ$9:AJ$195,'6.2_Projects'!$F$9:$F$195,$F43,'6.2_Projects'!$Q$9:$Q$195,$Q43,'6.2_Projects'!$S$9:$S$195,AM$7)</f>
        <v>0</v>
      </c>
      <c r="AO43" s="435"/>
    </row>
    <row r="44" spans="1:41">
      <c r="D44" t="s">
        <v>79</v>
      </c>
      <c r="E44" t="s">
        <v>68</v>
      </c>
      <c r="F44" s="435" t="s">
        <v>274</v>
      </c>
      <c r="G44" s="435" t="s">
        <v>12</v>
      </c>
      <c r="H44" s="435" t="s">
        <v>2868</v>
      </c>
      <c r="I44" t="s">
        <v>7</v>
      </c>
      <c r="J44" s="435" t="s">
        <v>1760</v>
      </c>
      <c r="K44" s="435" t="str">
        <f t="shared" si="4"/>
        <v>Peterborough FEED</v>
      </c>
      <c r="L44" s="96"/>
      <c r="N44" t="s">
        <v>280</v>
      </c>
      <c r="O44" t="s">
        <v>218</v>
      </c>
      <c r="P44" s="111"/>
      <c r="Q44" s="832" t="s">
        <v>1022</v>
      </c>
      <c r="R44" s="76"/>
      <c r="S44" s="76"/>
      <c r="T44" s="76"/>
      <c r="U44" s="76"/>
      <c r="AC44" t="s">
        <v>2</v>
      </c>
      <c r="AD44" s="93">
        <f>SUMIFS('6.2_Projects'!AD$9:AD$195,'6.2_Projects'!$F$9:$F$195,$F44,'6.2_Projects'!$Q$9:$Q$195,$Q44)</f>
        <v>0</v>
      </c>
      <c r="AE44" s="93">
        <f>SUMIFS('6.2_Projects'!AE$9:AE$195,'6.2_Projects'!$F$9:$F$195,$F44,'6.2_Projects'!$Q$9:$Q$195,$Q44)</f>
        <v>0</v>
      </c>
      <c r="AF44" s="93">
        <f>SUMIFS('6.2_Projects'!AF$9:AF$195,'6.2_Projects'!$F$9:$F$195,$F44,'6.2_Projects'!$Q$9:$Q$195,$Q44)</f>
        <v>0</v>
      </c>
      <c r="AG44" s="93">
        <f>SUMIFS('6.2_Projects'!AG$9:AG$195,'6.2_Projects'!$F$9:$F$195,$F44,'6.2_Projects'!$Q$9:$Q$195,$Q44)</f>
        <v>0</v>
      </c>
      <c r="AH44" s="93">
        <f>SUMIFS('6.2_Projects'!AH$9:AH$195,'6.2_Projects'!$F$9:$F$195,$F44,'6.2_Projects'!$Q$9:$Q$195,$Q44)</f>
        <v>0</v>
      </c>
      <c r="AI44" s="93">
        <f>SUMIFS('6.2_Projects'!AI$9:AI$195,'6.2_Projects'!$F$9:$F$195,$F44,'6.2_Projects'!$Q$9:$Q$195,$Q44)</f>
        <v>0</v>
      </c>
      <c r="AJ44" s="93">
        <f>SUMIFS('6.2_Projects'!AJ$9:AJ$195,'6.2_Projects'!$F$9:$F$195,$F44,'6.2_Projects'!$Q$9:$Q$195,$Q44)</f>
        <v>0</v>
      </c>
      <c r="AL44" s="93">
        <f>SUMIFS('6.2_Projects'!AD$9:AD$195,'6.2_Projects'!$F$9:$F$195,$F44,'6.2_Projects'!$Q$9:$Q$195,$Q44,'6.2_Projects'!$S$9:$S$195,AL$7)+SUMIFS('6.2_Projects'!AE$9:AE$195,'6.2_Projects'!$F$9:$F$195,$F44,'6.2_Projects'!$Q$9:$Q$195,$Q44,'6.2_Projects'!$S$9:$S$195,AL$7)+SUMIFS('6.2_Projects'!AF$9:AF$195,'6.2_Projects'!$F$9:$F$195,$F44,'6.2_Projects'!$Q$9:$Q$195,$Q44,'6.2_Projects'!$S$9:$S$195,AL$7)+SUMIFS('6.2_Projects'!AG$9:AG$195,'6.2_Projects'!$F$9:$F$195,$F44,'6.2_Projects'!$Q$9:$Q$195,$Q44,'6.2_Projects'!$S$9:$S$195,AL$7)+SUMIFS('6.2_Projects'!AH$9:AH$195,'6.2_Projects'!$F$9:$F$195,$F44,'6.2_Projects'!$Q$9:$Q$195,$Q44,'6.2_Projects'!$S$9:$S$195,AL$7)+SUMIFS('6.2_Projects'!AI$9:AI$195,'6.2_Projects'!$F$9:$F$195,$F44,'6.2_Projects'!$Q$9:$Q$195,$Q44,'6.2_Projects'!$S$9:$S$195,AL$7)+SUMIFS('6.2_Projects'!AJ$9:AJ$195,'6.2_Projects'!$F$9:$F$195,$F44,'6.2_Projects'!$Q$9:$Q$195,$Q44,'6.2_Projects'!$S$9:$S$195,AL$7)</f>
        <v>0</v>
      </c>
      <c r="AM44" s="93">
        <f>SUMIFS('6.2_Projects'!AD$9:AD$195,'6.2_Projects'!$F$9:$F$195,$F44,'6.2_Projects'!$Q$9:$Q$195,$Q44,'6.2_Projects'!$S$9:$S$195,AM$7)+SUMIFS('6.2_Projects'!AE$9:AE$195,'6.2_Projects'!$F$9:$F$195,$F44,'6.2_Projects'!$Q$9:$Q$195,$Q44,'6.2_Projects'!$S$9:$S$195,AM$7)+SUMIFS('6.2_Projects'!AF$9:AF$195,'6.2_Projects'!$F$9:$F$195,$F44,'6.2_Projects'!$Q$9:$Q$195,$Q44,'6.2_Projects'!$S$9:$S$195,AM$7)+SUMIFS('6.2_Projects'!AG$9:AG$195,'6.2_Projects'!$F$9:$F$195,$F44,'6.2_Projects'!$Q$9:$Q$195,$Q44,'6.2_Projects'!$S$9:$S$195,AM$7)+SUMIFS('6.2_Projects'!AH$9:AH$195,'6.2_Projects'!$F$9:$F$195,$F44,'6.2_Projects'!$Q$9:$Q$195,$Q44,'6.2_Projects'!$S$9:$S$195,AM$7)+SUMIFS('6.2_Projects'!AI$9:AI$195,'6.2_Projects'!$F$9:$F$195,$F44,'6.2_Projects'!$Q$9:$Q$195,$Q44,'6.2_Projects'!$S$9:$S$195,AM$7)+SUMIFS('6.2_Projects'!AJ$9:AJ$195,'6.2_Projects'!$F$9:$F$195,$F44,'6.2_Projects'!$Q$9:$Q$195,$Q44,'6.2_Projects'!$S$9:$S$195,AM$7)</f>
        <v>0</v>
      </c>
      <c r="AO44" s="435"/>
    </row>
    <row r="45" spans="1:41">
      <c r="D45" t="s">
        <v>79</v>
      </c>
      <c r="E45" t="s">
        <v>68</v>
      </c>
      <c r="F45" s="435" t="s">
        <v>274</v>
      </c>
      <c r="G45" s="435" t="s">
        <v>12</v>
      </c>
      <c r="H45" s="435" t="s">
        <v>2868</v>
      </c>
      <c r="I45" t="s">
        <v>7</v>
      </c>
      <c r="J45" s="435" t="s">
        <v>1760</v>
      </c>
      <c r="K45" s="435" t="str">
        <f t="shared" si="4"/>
        <v>St Fergus FEED</v>
      </c>
      <c r="L45" s="96"/>
      <c r="N45" t="s">
        <v>280</v>
      </c>
      <c r="O45" t="s">
        <v>218</v>
      </c>
      <c r="P45" s="111"/>
      <c r="Q45" s="149" t="s">
        <v>288</v>
      </c>
      <c r="R45" s="76"/>
      <c r="S45" s="76"/>
      <c r="T45" s="76"/>
      <c r="U45" s="76"/>
      <c r="AC45" t="s">
        <v>2</v>
      </c>
      <c r="AD45" s="93">
        <f>SUMIFS('6.2_Projects'!AD$9:AD$195,'6.2_Projects'!$F$9:$F$195,$F45,'6.2_Projects'!$Q$9:$Q$195,$Q45)</f>
        <v>0</v>
      </c>
      <c r="AE45" s="93">
        <f>SUMIFS('6.2_Projects'!AE$9:AE$195,'6.2_Projects'!$F$9:$F$195,$F45,'6.2_Projects'!$Q$9:$Q$195,$Q45)</f>
        <v>0</v>
      </c>
      <c r="AF45" s="93">
        <f>SUMIFS('6.2_Projects'!AF$9:AF$195,'6.2_Projects'!$F$9:$F$195,$F45,'6.2_Projects'!$Q$9:$Q$195,$Q45)</f>
        <v>0</v>
      </c>
      <c r="AG45" s="93">
        <f>SUMIFS('6.2_Projects'!AG$9:AG$195,'6.2_Projects'!$F$9:$F$195,$F45,'6.2_Projects'!$Q$9:$Q$195,$Q45)</f>
        <v>0</v>
      </c>
      <c r="AH45" s="93">
        <f>SUMIFS('6.2_Projects'!AH$9:AH$195,'6.2_Projects'!$F$9:$F$195,$F45,'6.2_Projects'!$Q$9:$Q$195,$Q45)</f>
        <v>0</v>
      </c>
      <c r="AI45" s="93">
        <f>SUMIFS('6.2_Projects'!AI$9:AI$195,'6.2_Projects'!$F$9:$F$195,$F45,'6.2_Projects'!$Q$9:$Q$195,$Q45)</f>
        <v>0</v>
      </c>
      <c r="AJ45" s="93">
        <f>SUMIFS('6.2_Projects'!AJ$9:AJ$195,'6.2_Projects'!$F$9:$F$195,$F45,'6.2_Projects'!$Q$9:$Q$195,$Q45)</f>
        <v>0</v>
      </c>
      <c r="AL45" s="93">
        <f>SUMIFS('6.2_Projects'!AD$9:AD$195,'6.2_Projects'!$F$9:$F$195,$F45,'6.2_Projects'!$Q$9:$Q$195,$Q45,'6.2_Projects'!$S$9:$S$195,AL$7)+SUMIFS('6.2_Projects'!AE$9:AE$195,'6.2_Projects'!$F$9:$F$195,$F45,'6.2_Projects'!$Q$9:$Q$195,$Q45,'6.2_Projects'!$S$9:$S$195,AL$7)+SUMIFS('6.2_Projects'!AF$9:AF$195,'6.2_Projects'!$F$9:$F$195,$F45,'6.2_Projects'!$Q$9:$Q$195,$Q45,'6.2_Projects'!$S$9:$S$195,AL$7)+SUMIFS('6.2_Projects'!AG$9:AG$195,'6.2_Projects'!$F$9:$F$195,$F45,'6.2_Projects'!$Q$9:$Q$195,$Q45,'6.2_Projects'!$S$9:$S$195,AL$7)+SUMIFS('6.2_Projects'!AH$9:AH$195,'6.2_Projects'!$F$9:$F$195,$F45,'6.2_Projects'!$Q$9:$Q$195,$Q45,'6.2_Projects'!$S$9:$S$195,AL$7)+SUMIFS('6.2_Projects'!AI$9:AI$195,'6.2_Projects'!$F$9:$F$195,$F45,'6.2_Projects'!$Q$9:$Q$195,$Q45,'6.2_Projects'!$S$9:$S$195,AL$7)+SUMIFS('6.2_Projects'!AJ$9:AJ$195,'6.2_Projects'!$F$9:$F$195,$F45,'6.2_Projects'!$Q$9:$Q$195,$Q45,'6.2_Projects'!$S$9:$S$195,AL$7)</f>
        <v>0</v>
      </c>
      <c r="AM45" s="93">
        <f>SUMIFS('6.2_Projects'!AD$9:AD$195,'6.2_Projects'!$F$9:$F$195,$F45,'6.2_Projects'!$Q$9:$Q$195,$Q45,'6.2_Projects'!$S$9:$S$195,AM$7)+SUMIFS('6.2_Projects'!AE$9:AE$195,'6.2_Projects'!$F$9:$F$195,$F45,'6.2_Projects'!$Q$9:$Q$195,$Q45,'6.2_Projects'!$S$9:$S$195,AM$7)+SUMIFS('6.2_Projects'!AF$9:AF$195,'6.2_Projects'!$F$9:$F$195,$F45,'6.2_Projects'!$Q$9:$Q$195,$Q45,'6.2_Projects'!$S$9:$S$195,AM$7)+SUMIFS('6.2_Projects'!AG$9:AG$195,'6.2_Projects'!$F$9:$F$195,$F45,'6.2_Projects'!$Q$9:$Q$195,$Q45,'6.2_Projects'!$S$9:$S$195,AM$7)+SUMIFS('6.2_Projects'!AH$9:AH$195,'6.2_Projects'!$F$9:$F$195,$F45,'6.2_Projects'!$Q$9:$Q$195,$Q45,'6.2_Projects'!$S$9:$S$195,AM$7)+SUMIFS('6.2_Projects'!AI$9:AI$195,'6.2_Projects'!$F$9:$F$195,$F45,'6.2_Projects'!$Q$9:$Q$195,$Q45,'6.2_Projects'!$S$9:$S$195,AM$7)+SUMIFS('6.2_Projects'!AJ$9:AJ$195,'6.2_Projects'!$F$9:$F$195,$F45,'6.2_Projects'!$Q$9:$Q$195,$Q45,'6.2_Projects'!$S$9:$S$195,AM$7)</f>
        <v>0</v>
      </c>
      <c r="AO45" s="435"/>
    </row>
    <row r="46" spans="1:41">
      <c r="D46" t="s">
        <v>79</v>
      </c>
      <c r="E46" t="s">
        <v>68</v>
      </c>
      <c r="F46" s="435" t="s">
        <v>274</v>
      </c>
      <c r="G46" s="435" t="s">
        <v>12</v>
      </c>
      <c r="H46" s="435" t="s">
        <v>2868</v>
      </c>
      <c r="I46" t="s">
        <v>7</v>
      </c>
      <c r="J46" s="435" t="s">
        <v>1760</v>
      </c>
      <c r="K46" s="435" t="str">
        <f t="shared" si="4"/>
        <v>Recompression</v>
      </c>
      <c r="L46" s="96"/>
      <c r="N46" s="436" t="s">
        <v>1054</v>
      </c>
      <c r="O46" t="s">
        <v>281</v>
      </c>
      <c r="P46" s="111"/>
      <c r="Q46" s="130" t="s">
        <v>285</v>
      </c>
      <c r="R46" s="76"/>
      <c r="S46" s="76"/>
      <c r="T46" s="76"/>
      <c r="U46" s="76"/>
      <c r="AC46" t="s">
        <v>2</v>
      </c>
      <c r="AD46" s="81"/>
      <c r="AE46" s="81"/>
      <c r="AF46" s="81"/>
      <c r="AG46" s="81"/>
      <c r="AH46" s="81"/>
      <c r="AI46" s="81"/>
      <c r="AJ46" s="81"/>
      <c r="AL46" s="81"/>
      <c r="AM46" s="81"/>
      <c r="AO46" s="435"/>
    </row>
    <row r="47" spans="1:41">
      <c r="D47" t="s">
        <v>79</v>
      </c>
      <c r="E47" t="s">
        <v>68</v>
      </c>
      <c r="F47" s="435" t="s">
        <v>274</v>
      </c>
      <c r="G47" s="435" t="s">
        <v>12</v>
      </c>
      <c r="H47" s="435" t="s">
        <v>2868</v>
      </c>
      <c r="I47" t="s">
        <v>7</v>
      </c>
      <c r="J47" s="435" t="s">
        <v>1760</v>
      </c>
      <c r="K47" s="435" t="str">
        <f t="shared" si="4"/>
        <v>Methane Detection &amp; Quantification</v>
      </c>
      <c r="L47" s="96"/>
      <c r="N47" s="436" t="s">
        <v>1054</v>
      </c>
      <c r="O47" t="s">
        <v>281</v>
      </c>
      <c r="P47" s="111"/>
      <c r="Q47" s="130" t="s">
        <v>286</v>
      </c>
      <c r="R47" s="76"/>
      <c r="S47" s="76"/>
      <c r="T47" s="76"/>
      <c r="U47" s="76"/>
      <c r="AC47" t="s">
        <v>2</v>
      </c>
      <c r="AD47" s="81"/>
      <c r="AE47" s="81"/>
      <c r="AF47" s="81"/>
      <c r="AG47" s="81"/>
      <c r="AH47" s="81"/>
      <c r="AI47" s="81"/>
      <c r="AJ47" s="81"/>
      <c r="AL47" s="81"/>
      <c r="AM47" s="81"/>
      <c r="AO47" s="435"/>
    </row>
    <row r="48" spans="1:41">
      <c r="D48" t="s">
        <v>79</v>
      </c>
      <c r="E48" t="s">
        <v>68</v>
      </c>
      <c r="F48" s="435" t="s">
        <v>274</v>
      </c>
      <c r="G48" s="435" t="s">
        <v>12</v>
      </c>
      <c r="H48" s="435" t="s">
        <v>2868</v>
      </c>
      <c r="I48" t="s">
        <v>7</v>
      </c>
      <c r="J48" s="435" t="s">
        <v>1760</v>
      </c>
      <c r="K48" s="435" t="str">
        <f t="shared" si="4"/>
        <v>null</v>
      </c>
      <c r="L48" s="96"/>
      <c r="N48" s="436" t="s">
        <v>1054</v>
      </c>
      <c r="O48" t="s">
        <v>281</v>
      </c>
      <c r="P48" s="111"/>
      <c r="Q48" s="128"/>
      <c r="R48" s="76"/>
      <c r="S48" s="76"/>
      <c r="T48" s="76"/>
      <c r="U48" s="76"/>
      <c r="AC48" t="s">
        <v>2</v>
      </c>
      <c r="AD48" s="81"/>
      <c r="AE48" s="81"/>
      <c r="AF48" s="81"/>
      <c r="AG48" s="81"/>
      <c r="AH48" s="81"/>
      <c r="AI48" s="81"/>
      <c r="AJ48" s="81"/>
      <c r="AL48" s="81"/>
      <c r="AM48" s="81"/>
    </row>
    <row r="49" spans="1:39">
      <c r="D49" t="s">
        <v>79</v>
      </c>
      <c r="E49" t="s">
        <v>68</v>
      </c>
      <c r="F49" s="435" t="s">
        <v>274</v>
      </c>
      <c r="G49" s="435" t="s">
        <v>12</v>
      </c>
      <c r="H49" s="435" t="s">
        <v>2868</v>
      </c>
      <c r="I49" t="s">
        <v>7</v>
      </c>
      <c r="J49" s="435" t="s">
        <v>1760</v>
      </c>
      <c r="K49" s="435" t="str">
        <f t="shared" si="4"/>
        <v>null</v>
      </c>
      <c r="L49" s="96"/>
      <c r="N49" s="436" t="s">
        <v>1054</v>
      </c>
      <c r="O49" t="s">
        <v>281</v>
      </c>
      <c r="P49" s="111"/>
      <c r="Q49" s="128"/>
      <c r="R49" s="76"/>
      <c r="S49" s="76"/>
      <c r="T49" s="76"/>
      <c r="U49" s="76"/>
      <c r="AC49" t="s">
        <v>2</v>
      </c>
      <c r="AD49" s="81"/>
      <c r="AE49" s="81"/>
      <c r="AF49" s="81"/>
      <c r="AG49" s="81"/>
      <c r="AH49" s="81"/>
      <c r="AI49" s="81"/>
      <c r="AJ49" s="81"/>
      <c r="AL49" s="81"/>
      <c r="AM49" s="81"/>
    </row>
    <row r="51" spans="1:39" s="1" customFormat="1" ht="13.9">
      <c r="A51" s="66"/>
      <c r="B51" s="78" t="s">
        <v>2711</v>
      </c>
      <c r="P51" s="127"/>
      <c r="Q51" s="127"/>
    </row>
    <row r="53" spans="1:39">
      <c r="D53" t="s">
        <v>79</v>
      </c>
      <c r="E53" t="s">
        <v>68</v>
      </c>
      <c r="F53" s="435" t="s">
        <v>274</v>
      </c>
      <c r="G53" s="435" t="s">
        <v>12</v>
      </c>
      <c r="H53" s="435" t="s">
        <v>2868</v>
      </c>
      <c r="I53" t="s">
        <v>7</v>
      </c>
      <c r="J53" t="s">
        <v>299</v>
      </c>
      <c r="K53" s="435" t="s">
        <v>255</v>
      </c>
      <c r="N53" s="435" t="s">
        <v>829</v>
      </c>
      <c r="O53" t="s">
        <v>214</v>
      </c>
      <c r="P53" s="111"/>
      <c r="Q53" s="111"/>
      <c r="AC53" t="s">
        <v>2</v>
      </c>
      <c r="AD53" s="122"/>
      <c r="AE53" s="93">
        <f>SUMIFS('6.3 Asset_Health'!AE$9:AE$721,'6.3 Asset_Health'!$F$9:$F$721,$F53,'6.3 Asset_Health'!$K$9:$K$721,$K53,'6.3 Asset_Health'!$N$9:$N$721,$N53)</f>
        <v>0</v>
      </c>
      <c r="AF53" s="93">
        <f>SUMIFS('6.3 Asset_Health'!AF$9:AF$721,'6.3 Asset_Health'!$F$9:$F$721,$F53,'6.3 Asset_Health'!$K$9:$K$721,$K53,'6.3 Asset_Health'!$N$9:$N$721,$N53)</f>
        <v>0</v>
      </c>
      <c r="AG53" s="93">
        <f>SUMIFS('6.3 Asset_Health'!AG$9:AG$721,'6.3 Asset_Health'!$F$9:$F$721,$F53,'6.3 Asset_Health'!$K$9:$K$721,$K53,'6.3 Asset_Health'!$N$9:$N$721,$N53)</f>
        <v>0</v>
      </c>
      <c r="AH53" s="93">
        <f>SUMIFS('6.3 Asset_Health'!AH$9:AH$721,'6.3 Asset_Health'!$F$9:$F$721,$F53,'6.3 Asset_Health'!$K$9:$K$721,$K53,'6.3 Asset_Health'!$N$9:$N$721,$N53)</f>
        <v>0</v>
      </c>
      <c r="AI53" s="93">
        <f>SUMIFS('6.3 Asset_Health'!AI$9:AI$721,'6.3 Asset_Health'!$F$9:$F$721,$F53,'6.3 Asset_Health'!$K$9:$K$721,$K53,'6.3 Asset_Health'!$N$9:$N$721,$N53)</f>
        <v>0</v>
      </c>
      <c r="AJ53" s="122"/>
      <c r="AL53" s="81"/>
      <c r="AM53" s="81"/>
    </row>
    <row r="54" spans="1:39">
      <c r="D54" t="s">
        <v>79</v>
      </c>
      <c r="E54" t="s">
        <v>68</v>
      </c>
      <c r="F54" s="435" t="s">
        <v>274</v>
      </c>
      <c r="G54" s="435" t="s">
        <v>12</v>
      </c>
      <c r="H54" s="435" t="s">
        <v>2868</v>
      </c>
      <c r="I54" t="s">
        <v>7</v>
      </c>
      <c r="J54" t="s">
        <v>299</v>
      </c>
      <c r="K54" s="435" t="s">
        <v>255</v>
      </c>
      <c r="N54" s="435" t="s">
        <v>828</v>
      </c>
      <c r="O54" t="s">
        <v>217</v>
      </c>
      <c r="P54" s="111"/>
      <c r="Q54" s="111"/>
      <c r="AC54" t="s">
        <v>2</v>
      </c>
      <c r="AD54" s="122"/>
      <c r="AE54" s="93">
        <f>SUMIFS('6.3 Asset_Health'!AE$9:AE$721,'6.3 Asset_Health'!$F$9:$F$721,$F54,'6.3 Asset_Health'!$K$9:$K$721,$K54,'6.3 Asset_Health'!$N$9:$N$721,$N54)</f>
        <v>0</v>
      </c>
      <c r="AF54" s="93">
        <f>SUMIFS('6.3 Asset_Health'!AF$9:AF$721,'6.3 Asset_Health'!$F$9:$F$721,$F54,'6.3 Asset_Health'!$K$9:$K$721,$K54,'6.3 Asset_Health'!$N$9:$N$721,$N54)</f>
        <v>0</v>
      </c>
      <c r="AG54" s="93">
        <f>SUMIFS('6.3 Asset_Health'!AG$9:AG$721,'6.3 Asset_Health'!$F$9:$F$721,$F54,'6.3 Asset_Health'!$K$9:$K$721,$K54,'6.3 Asset_Health'!$N$9:$N$721,$N54)</f>
        <v>0</v>
      </c>
      <c r="AH54" s="93">
        <f>SUMIFS('6.3 Asset_Health'!AH$9:AH$721,'6.3 Asset_Health'!$F$9:$F$721,$F54,'6.3 Asset_Health'!$K$9:$K$721,$K54,'6.3 Asset_Health'!$N$9:$N$721,$N54)</f>
        <v>0</v>
      </c>
      <c r="AI54" s="93">
        <f>SUMIFS('6.3 Asset_Health'!AI$9:AI$721,'6.3 Asset_Health'!$F$9:$F$721,$F54,'6.3 Asset_Health'!$K$9:$K$721,$K54,'6.3 Asset_Health'!$N$9:$N$721,$N54)</f>
        <v>0</v>
      </c>
      <c r="AJ54" s="122"/>
      <c r="AL54" s="81"/>
      <c r="AM54" s="81"/>
    </row>
    <row r="55" spans="1:39">
      <c r="D55" t="s">
        <v>79</v>
      </c>
      <c r="E55" t="s">
        <v>68</v>
      </c>
      <c r="F55" s="435" t="s">
        <v>274</v>
      </c>
      <c r="G55" s="435" t="s">
        <v>12</v>
      </c>
      <c r="H55" s="435" t="s">
        <v>2868</v>
      </c>
      <c r="I55" t="s">
        <v>7</v>
      </c>
      <c r="J55" t="s">
        <v>299</v>
      </c>
      <c r="K55" s="435" t="s">
        <v>255</v>
      </c>
      <c r="L55" s="96"/>
      <c r="N55" s="436" t="s">
        <v>1054</v>
      </c>
      <c r="P55" s="111"/>
      <c r="Q55" s="111"/>
      <c r="R55" s="76"/>
      <c r="S55" s="76"/>
      <c r="T55" s="76"/>
      <c r="U55" s="76"/>
      <c r="AC55" t="s">
        <v>2</v>
      </c>
      <c r="AD55" s="122"/>
      <c r="AE55" s="93">
        <f>SUMIFS('6.3 Asset_Health'!AE$9:AE$721,'6.3 Asset_Health'!$F$9:$F$721,$F55,'6.3 Asset_Health'!$K$9:$K$721,$K55,'6.3 Asset_Health'!$N$9:$N$721,$N55)</f>
        <v>0</v>
      </c>
      <c r="AF55" s="93">
        <f>SUMIFS('6.3 Asset_Health'!AF$9:AF$721,'6.3 Asset_Health'!$F$9:$F$721,$F55,'6.3 Asset_Health'!$K$9:$K$721,$K55,'6.3 Asset_Health'!$N$9:$N$721,$N55)</f>
        <v>0</v>
      </c>
      <c r="AG55" s="93">
        <f>SUMIFS('6.3 Asset_Health'!AG$9:AG$721,'6.3 Asset_Health'!$F$9:$F$721,$F55,'6.3 Asset_Health'!$K$9:$K$721,$K55,'6.3 Asset_Health'!$N$9:$N$721,$N55)</f>
        <v>0</v>
      </c>
      <c r="AH55" s="93">
        <f>SUMIFS('6.3 Asset_Health'!AH$9:AH$721,'6.3 Asset_Health'!$F$9:$F$721,$F55,'6.3 Asset_Health'!$K$9:$K$721,$K55,'6.3 Asset_Health'!$N$9:$N$721,$N55)</f>
        <v>0</v>
      </c>
      <c r="AI55" s="93">
        <f>SUMIFS('6.3 Asset_Health'!AI$9:AI$721,'6.3 Asset_Health'!$F$9:$F$721,$F55,'6.3 Asset_Health'!$K$9:$K$721,$K55,'6.3 Asset_Health'!$N$9:$N$721,$N55)</f>
        <v>0</v>
      </c>
      <c r="AJ55" s="122"/>
      <c r="AL55" s="81"/>
      <c r="AM55" s="81"/>
    </row>
    <row r="56" spans="1:39" s="435" customFormat="1">
      <c r="D56" s="435" t="s">
        <v>79</v>
      </c>
      <c r="E56" s="435" t="s">
        <v>68</v>
      </c>
      <c r="F56" s="435" t="s">
        <v>274</v>
      </c>
      <c r="G56" s="435" t="s">
        <v>12</v>
      </c>
      <c r="H56" s="435" t="s">
        <v>2868</v>
      </c>
      <c r="I56" s="435" t="s">
        <v>7</v>
      </c>
      <c r="J56" s="435" t="s">
        <v>299</v>
      </c>
      <c r="K56" s="435" t="s">
        <v>323</v>
      </c>
      <c r="L56" s="96"/>
      <c r="N56" s="435" t="s">
        <v>829</v>
      </c>
      <c r="O56" s="435" t="s">
        <v>214</v>
      </c>
      <c r="P56" s="111"/>
      <c r="Q56" s="111"/>
      <c r="R56" s="76"/>
      <c r="S56" s="76"/>
      <c r="T56" s="76"/>
      <c r="U56" s="76"/>
      <c r="AC56" s="435" t="s">
        <v>2</v>
      </c>
      <c r="AD56" s="122"/>
      <c r="AE56" s="93">
        <f>SUMIFS('6.3 Asset_Health'!AE$9:AE$721,'6.3 Asset_Health'!$F$9:$F$721,$F56,'6.3 Asset_Health'!$K$9:$K$721,$K56,'6.3 Asset_Health'!$N$9:$N$721,$N56)</f>
        <v>0</v>
      </c>
      <c r="AF56" s="93">
        <f>SUMIFS('6.3 Asset_Health'!AF$9:AF$721,'6.3 Asset_Health'!$F$9:$F$721,$F56,'6.3 Asset_Health'!$K$9:$K$721,$K56,'6.3 Asset_Health'!$N$9:$N$721,$N56)</f>
        <v>0</v>
      </c>
      <c r="AG56" s="93">
        <f>SUMIFS('6.3 Asset_Health'!AG$9:AG$721,'6.3 Asset_Health'!$F$9:$F$721,$F56,'6.3 Asset_Health'!$K$9:$K$721,$K56,'6.3 Asset_Health'!$N$9:$N$721,$N56)</f>
        <v>0</v>
      </c>
      <c r="AH56" s="93">
        <f>SUMIFS('6.3 Asset_Health'!AH$9:AH$721,'6.3 Asset_Health'!$F$9:$F$721,$F56,'6.3 Asset_Health'!$K$9:$K$721,$K56,'6.3 Asset_Health'!$N$9:$N$721,$N56)</f>
        <v>0</v>
      </c>
      <c r="AI56" s="93">
        <f>SUMIFS('6.3 Asset_Health'!AI$9:AI$721,'6.3 Asset_Health'!$F$9:$F$721,$F56,'6.3 Asset_Health'!$K$9:$K$721,$K56,'6.3 Asset_Health'!$N$9:$N$721,$N56)</f>
        <v>0</v>
      </c>
      <c r="AJ56" s="122"/>
      <c r="AL56" s="81"/>
      <c r="AM56" s="81"/>
    </row>
    <row r="57" spans="1:39" s="435" customFormat="1">
      <c r="D57" s="435" t="s">
        <v>79</v>
      </c>
      <c r="E57" s="435" t="s">
        <v>68</v>
      </c>
      <c r="F57" s="435" t="s">
        <v>274</v>
      </c>
      <c r="G57" s="435" t="s">
        <v>12</v>
      </c>
      <c r="H57" s="435" t="s">
        <v>2868</v>
      </c>
      <c r="I57" s="435" t="s">
        <v>7</v>
      </c>
      <c r="J57" s="435" t="s">
        <v>299</v>
      </c>
      <c r="K57" s="435" t="s">
        <v>323</v>
      </c>
      <c r="L57" s="96"/>
      <c r="N57" s="435" t="s">
        <v>828</v>
      </c>
      <c r="O57" s="435" t="s">
        <v>217</v>
      </c>
      <c r="P57" s="111"/>
      <c r="Q57" s="111"/>
      <c r="R57" s="76"/>
      <c r="S57" s="76"/>
      <c r="T57" s="76"/>
      <c r="U57" s="76"/>
      <c r="AC57" s="435" t="s">
        <v>2</v>
      </c>
      <c r="AD57" s="122"/>
      <c r="AE57" s="93">
        <f>SUMIFS('6.3 Asset_Health'!AE$9:AE$721,'6.3 Asset_Health'!$F$9:$F$721,$F57,'6.3 Asset_Health'!$K$9:$K$721,$K57,'6.3 Asset_Health'!$N$9:$N$721,$N57)</f>
        <v>0</v>
      </c>
      <c r="AF57" s="93">
        <f>SUMIFS('6.3 Asset_Health'!AF$9:AF$721,'6.3 Asset_Health'!$F$9:$F$721,$F57,'6.3 Asset_Health'!$K$9:$K$721,$K57,'6.3 Asset_Health'!$N$9:$N$721,$N57)</f>
        <v>0</v>
      </c>
      <c r="AG57" s="93">
        <f>SUMIFS('6.3 Asset_Health'!AG$9:AG$721,'6.3 Asset_Health'!$F$9:$F$721,$F57,'6.3 Asset_Health'!$K$9:$K$721,$K57,'6.3 Asset_Health'!$N$9:$N$721,$N57)</f>
        <v>0</v>
      </c>
      <c r="AH57" s="93">
        <f>SUMIFS('6.3 Asset_Health'!AH$9:AH$721,'6.3 Asset_Health'!$F$9:$F$721,$F57,'6.3 Asset_Health'!$K$9:$K$721,$K57,'6.3 Asset_Health'!$N$9:$N$721,$N57)</f>
        <v>0</v>
      </c>
      <c r="AI57" s="93">
        <f>SUMIFS('6.3 Asset_Health'!AI$9:AI$721,'6.3 Asset_Health'!$F$9:$F$721,$F57,'6.3 Asset_Health'!$K$9:$K$721,$K57,'6.3 Asset_Health'!$N$9:$N$721,$N57)</f>
        <v>0</v>
      </c>
      <c r="AJ57" s="122"/>
      <c r="AL57" s="81"/>
      <c r="AM57" s="81"/>
    </row>
    <row r="58" spans="1:39" s="435" customFormat="1">
      <c r="D58" s="435" t="s">
        <v>79</v>
      </c>
      <c r="E58" s="435" t="s">
        <v>68</v>
      </c>
      <c r="F58" s="435" t="s">
        <v>274</v>
      </c>
      <c r="G58" s="435" t="s">
        <v>12</v>
      </c>
      <c r="H58" s="435" t="s">
        <v>2868</v>
      </c>
      <c r="I58" s="435" t="s">
        <v>7</v>
      </c>
      <c r="J58" s="435" t="s">
        <v>299</v>
      </c>
      <c r="K58" s="435" t="s">
        <v>323</v>
      </c>
      <c r="L58" s="96"/>
      <c r="N58" s="436" t="s">
        <v>1054</v>
      </c>
      <c r="P58" s="111"/>
      <c r="Q58" s="111"/>
      <c r="R58" s="76"/>
      <c r="S58" s="76"/>
      <c r="T58" s="76"/>
      <c r="U58" s="76"/>
      <c r="AC58" s="435" t="s">
        <v>2</v>
      </c>
      <c r="AD58" s="122"/>
      <c r="AE58" s="93">
        <f>SUMIFS('6.3 Asset_Health'!AE$9:AE$721,'6.3 Asset_Health'!$F$9:$F$721,$F58,'6.3 Asset_Health'!$K$9:$K$721,$K58,'6.3 Asset_Health'!$N$9:$N$721,$N58)</f>
        <v>0</v>
      </c>
      <c r="AF58" s="93">
        <f>SUMIFS('6.3 Asset_Health'!AF$9:AF$721,'6.3 Asset_Health'!$F$9:$F$721,$F58,'6.3 Asset_Health'!$K$9:$K$721,$K58,'6.3 Asset_Health'!$N$9:$N$721,$N58)</f>
        <v>0</v>
      </c>
      <c r="AG58" s="93">
        <f>SUMIFS('6.3 Asset_Health'!AG$9:AG$721,'6.3 Asset_Health'!$F$9:$F$721,$F58,'6.3 Asset_Health'!$K$9:$K$721,$K58,'6.3 Asset_Health'!$N$9:$N$721,$N58)</f>
        <v>0</v>
      </c>
      <c r="AH58" s="93">
        <f>SUMIFS('6.3 Asset_Health'!AH$9:AH$721,'6.3 Asset_Health'!$F$9:$F$721,$F58,'6.3 Asset_Health'!$K$9:$K$721,$K58,'6.3 Asset_Health'!$N$9:$N$721,$N58)</f>
        <v>0</v>
      </c>
      <c r="AI58" s="93">
        <f>SUMIFS('6.3 Asset_Health'!AI$9:AI$721,'6.3 Asset_Health'!$F$9:$F$721,$F58,'6.3 Asset_Health'!$K$9:$K$721,$K58,'6.3 Asset_Health'!$N$9:$N$721,$N58)</f>
        <v>0</v>
      </c>
      <c r="AJ58" s="122"/>
      <c r="AL58" s="81"/>
      <c r="AM58" s="81"/>
    </row>
    <row r="59" spans="1:39" s="435" customFormat="1">
      <c r="D59" s="435" t="s">
        <v>79</v>
      </c>
      <c r="E59" s="435" t="s">
        <v>68</v>
      </c>
      <c r="F59" s="435" t="s">
        <v>274</v>
      </c>
      <c r="G59" s="435" t="s">
        <v>12</v>
      </c>
      <c r="H59" s="435" t="s">
        <v>2868</v>
      </c>
      <c r="I59" s="435" t="s">
        <v>7</v>
      </c>
      <c r="J59" s="435" t="s">
        <v>299</v>
      </c>
      <c r="K59" s="435" t="s">
        <v>259</v>
      </c>
      <c r="L59" s="96"/>
      <c r="N59" s="435" t="s">
        <v>829</v>
      </c>
      <c r="O59" s="435" t="s">
        <v>214</v>
      </c>
      <c r="P59" s="111"/>
      <c r="Q59" s="111"/>
      <c r="R59" s="76"/>
      <c r="S59" s="76"/>
      <c r="T59" s="76"/>
      <c r="U59" s="76"/>
      <c r="AC59" s="435" t="s">
        <v>2</v>
      </c>
      <c r="AD59" s="122"/>
      <c r="AE59" s="93">
        <f>SUMIFS('6.3 Asset_Health'!AE$9:AE$721,'6.3 Asset_Health'!$F$9:$F$721,$F59,'6.3 Asset_Health'!$K$9:$K$721,$K59,'6.3 Asset_Health'!$N$9:$N$721,$N59)</f>
        <v>0</v>
      </c>
      <c r="AF59" s="93">
        <f>SUMIFS('6.3 Asset_Health'!AF$9:AF$721,'6.3 Asset_Health'!$F$9:$F$721,$F59,'6.3 Asset_Health'!$K$9:$K$721,$K59,'6.3 Asset_Health'!$N$9:$N$721,$N59)</f>
        <v>0</v>
      </c>
      <c r="AG59" s="93">
        <f>SUMIFS('6.3 Asset_Health'!AG$9:AG$721,'6.3 Asset_Health'!$F$9:$F$721,$F59,'6.3 Asset_Health'!$K$9:$K$721,$K59,'6.3 Asset_Health'!$N$9:$N$721,$N59)</f>
        <v>0</v>
      </c>
      <c r="AH59" s="93">
        <f>SUMIFS('6.3 Asset_Health'!AH$9:AH$721,'6.3 Asset_Health'!$F$9:$F$721,$F59,'6.3 Asset_Health'!$K$9:$K$721,$K59,'6.3 Asset_Health'!$N$9:$N$721,$N59)</f>
        <v>0</v>
      </c>
      <c r="AI59" s="93">
        <f>SUMIFS('6.3 Asset_Health'!AI$9:AI$721,'6.3 Asset_Health'!$F$9:$F$721,$F59,'6.3 Asset_Health'!$K$9:$K$721,$K59,'6.3 Asset_Health'!$N$9:$N$721,$N59)</f>
        <v>0</v>
      </c>
      <c r="AJ59" s="122"/>
      <c r="AL59" s="81"/>
      <c r="AM59" s="81"/>
    </row>
    <row r="60" spans="1:39" s="435" customFormat="1">
      <c r="D60" s="435" t="s">
        <v>79</v>
      </c>
      <c r="E60" s="435" t="s">
        <v>68</v>
      </c>
      <c r="F60" s="435" t="s">
        <v>274</v>
      </c>
      <c r="G60" s="435" t="s">
        <v>12</v>
      </c>
      <c r="H60" s="435" t="s">
        <v>2868</v>
      </c>
      <c r="I60" s="435" t="s">
        <v>7</v>
      </c>
      <c r="J60" s="435" t="s">
        <v>299</v>
      </c>
      <c r="K60" s="435" t="s">
        <v>259</v>
      </c>
      <c r="L60" s="96"/>
      <c r="N60" s="435" t="s">
        <v>828</v>
      </c>
      <c r="O60" s="435" t="s">
        <v>217</v>
      </c>
      <c r="P60" s="111"/>
      <c r="Q60" s="111"/>
      <c r="R60" s="76"/>
      <c r="S60" s="76"/>
      <c r="T60" s="76"/>
      <c r="U60" s="76"/>
      <c r="AC60" s="435" t="s">
        <v>2</v>
      </c>
      <c r="AD60" s="122"/>
      <c r="AE60" s="93">
        <f>SUMIFS('6.3 Asset_Health'!AE$9:AE$721,'6.3 Asset_Health'!$F$9:$F$721,$F60,'6.3 Asset_Health'!$K$9:$K$721,$K60,'6.3 Asset_Health'!$N$9:$N$721,$N60)</f>
        <v>0</v>
      </c>
      <c r="AF60" s="93">
        <f>SUMIFS('6.3 Asset_Health'!AF$9:AF$721,'6.3 Asset_Health'!$F$9:$F$721,$F60,'6.3 Asset_Health'!$K$9:$K$721,$K60,'6.3 Asset_Health'!$N$9:$N$721,$N60)</f>
        <v>0</v>
      </c>
      <c r="AG60" s="93">
        <f>SUMIFS('6.3 Asset_Health'!AG$9:AG$721,'6.3 Asset_Health'!$F$9:$F$721,$F60,'6.3 Asset_Health'!$K$9:$K$721,$K60,'6.3 Asset_Health'!$N$9:$N$721,$N60)</f>
        <v>0</v>
      </c>
      <c r="AH60" s="93">
        <f>SUMIFS('6.3 Asset_Health'!AH$9:AH$721,'6.3 Asset_Health'!$F$9:$F$721,$F60,'6.3 Asset_Health'!$K$9:$K$721,$K60,'6.3 Asset_Health'!$N$9:$N$721,$N60)</f>
        <v>0</v>
      </c>
      <c r="AI60" s="93">
        <f>SUMIFS('6.3 Asset_Health'!AI$9:AI$721,'6.3 Asset_Health'!$F$9:$F$721,$F60,'6.3 Asset_Health'!$K$9:$K$721,$K60,'6.3 Asset_Health'!$N$9:$N$721,$N60)</f>
        <v>0</v>
      </c>
      <c r="AJ60" s="122"/>
      <c r="AL60" s="81"/>
      <c r="AM60" s="81"/>
    </row>
    <row r="61" spans="1:39" s="435" customFormat="1">
      <c r="D61" s="435" t="s">
        <v>79</v>
      </c>
      <c r="E61" s="435" t="s">
        <v>68</v>
      </c>
      <c r="F61" s="435" t="s">
        <v>274</v>
      </c>
      <c r="G61" s="435" t="s">
        <v>12</v>
      </c>
      <c r="H61" s="435" t="s">
        <v>2868</v>
      </c>
      <c r="I61" s="435" t="s">
        <v>7</v>
      </c>
      <c r="J61" s="435" t="s">
        <v>299</v>
      </c>
      <c r="K61" s="435" t="s">
        <v>259</v>
      </c>
      <c r="L61" s="96"/>
      <c r="N61" s="436" t="s">
        <v>1054</v>
      </c>
      <c r="P61" s="111"/>
      <c r="Q61" s="111"/>
      <c r="R61" s="76"/>
      <c r="S61" s="76"/>
      <c r="T61" s="76"/>
      <c r="U61" s="76"/>
      <c r="AC61" s="435" t="s">
        <v>2</v>
      </c>
      <c r="AD61" s="122"/>
      <c r="AE61" s="93">
        <f>SUMIFS('6.3 Asset_Health'!AE$9:AE$721,'6.3 Asset_Health'!$F$9:$F$721,$F61,'6.3 Asset_Health'!$K$9:$K$721,$K61,'6.3 Asset_Health'!$N$9:$N$721,$N61)</f>
        <v>0</v>
      </c>
      <c r="AF61" s="93">
        <f>SUMIFS('6.3 Asset_Health'!AF$9:AF$721,'6.3 Asset_Health'!$F$9:$F$721,$F61,'6.3 Asset_Health'!$K$9:$K$721,$K61,'6.3 Asset_Health'!$N$9:$N$721,$N61)</f>
        <v>0</v>
      </c>
      <c r="AG61" s="93">
        <f>SUMIFS('6.3 Asset_Health'!AG$9:AG$721,'6.3 Asset_Health'!$F$9:$F$721,$F61,'6.3 Asset_Health'!$K$9:$K$721,$K61,'6.3 Asset_Health'!$N$9:$N$721,$N61)</f>
        <v>0</v>
      </c>
      <c r="AH61" s="93">
        <f>SUMIFS('6.3 Asset_Health'!AH$9:AH$721,'6.3 Asset_Health'!$F$9:$F$721,$F61,'6.3 Asset_Health'!$K$9:$K$721,$K61,'6.3 Asset_Health'!$N$9:$N$721,$N61)</f>
        <v>0</v>
      </c>
      <c r="AI61" s="93">
        <f>SUMIFS('6.3 Asset_Health'!AI$9:AI$721,'6.3 Asset_Health'!$F$9:$F$721,$F61,'6.3 Asset_Health'!$K$9:$K$721,$K61,'6.3 Asset_Health'!$N$9:$N$721,$N61)</f>
        <v>0</v>
      </c>
      <c r="AJ61" s="122"/>
      <c r="AL61" s="81"/>
      <c r="AM61" s="81"/>
    </row>
    <row r="62" spans="1:39" s="435" customFormat="1">
      <c r="D62" s="435" t="s">
        <v>79</v>
      </c>
      <c r="E62" s="435" t="s">
        <v>68</v>
      </c>
      <c r="F62" s="435" t="s">
        <v>274</v>
      </c>
      <c r="G62" s="435" t="s">
        <v>12</v>
      </c>
      <c r="H62" s="435" t="s">
        <v>2868</v>
      </c>
      <c r="I62" s="435" t="s">
        <v>7</v>
      </c>
      <c r="J62" s="435" t="s">
        <v>299</v>
      </c>
      <c r="K62" s="435" t="s">
        <v>319</v>
      </c>
      <c r="L62" s="96"/>
      <c r="N62" s="435" t="s">
        <v>829</v>
      </c>
      <c r="O62" s="435" t="s">
        <v>214</v>
      </c>
      <c r="P62" s="111"/>
      <c r="Q62" s="111"/>
      <c r="R62" s="76"/>
      <c r="S62" s="76"/>
      <c r="T62" s="76"/>
      <c r="U62" s="76"/>
      <c r="AC62" s="435" t="s">
        <v>2</v>
      </c>
      <c r="AD62" s="122"/>
      <c r="AE62" s="93">
        <f>SUMIFS('6.3 Asset_Health'!AE$9:AE$721,'6.3 Asset_Health'!$F$9:$F$721,$F62,'6.3 Asset_Health'!$K$9:$K$721,$K62,'6.3 Asset_Health'!$N$9:$N$721,$N62)</f>
        <v>0</v>
      </c>
      <c r="AF62" s="93">
        <f>SUMIFS('6.3 Asset_Health'!AF$9:AF$721,'6.3 Asset_Health'!$F$9:$F$721,$F62,'6.3 Asset_Health'!$K$9:$K$721,$K62,'6.3 Asset_Health'!$N$9:$N$721,$N62)</f>
        <v>0</v>
      </c>
      <c r="AG62" s="93">
        <f>SUMIFS('6.3 Asset_Health'!AG$9:AG$721,'6.3 Asset_Health'!$F$9:$F$721,$F62,'6.3 Asset_Health'!$K$9:$K$721,$K62,'6.3 Asset_Health'!$N$9:$N$721,$N62)</f>
        <v>0</v>
      </c>
      <c r="AH62" s="93">
        <f>SUMIFS('6.3 Asset_Health'!AH$9:AH$721,'6.3 Asset_Health'!$F$9:$F$721,$F62,'6.3 Asset_Health'!$K$9:$K$721,$K62,'6.3 Asset_Health'!$N$9:$N$721,$N62)</f>
        <v>0</v>
      </c>
      <c r="AI62" s="93">
        <f>SUMIFS('6.3 Asset_Health'!AI$9:AI$721,'6.3 Asset_Health'!$F$9:$F$721,$F62,'6.3 Asset_Health'!$K$9:$K$721,$K62,'6.3 Asset_Health'!$N$9:$N$721,$N62)</f>
        <v>0</v>
      </c>
      <c r="AJ62" s="122"/>
      <c r="AL62" s="81"/>
      <c r="AM62" s="81"/>
    </row>
    <row r="63" spans="1:39" s="435" customFormat="1">
      <c r="D63" s="435" t="s">
        <v>79</v>
      </c>
      <c r="E63" s="435" t="s">
        <v>68</v>
      </c>
      <c r="F63" s="435" t="s">
        <v>274</v>
      </c>
      <c r="G63" s="435" t="s">
        <v>12</v>
      </c>
      <c r="H63" s="435" t="s">
        <v>2868</v>
      </c>
      <c r="I63" s="435" t="s">
        <v>7</v>
      </c>
      <c r="J63" s="435" t="s">
        <v>299</v>
      </c>
      <c r="K63" s="435" t="s">
        <v>319</v>
      </c>
      <c r="L63" s="96"/>
      <c r="N63" s="435" t="s">
        <v>828</v>
      </c>
      <c r="O63" s="435" t="s">
        <v>217</v>
      </c>
      <c r="P63" s="111"/>
      <c r="Q63" s="111"/>
      <c r="R63" s="76"/>
      <c r="S63" s="76"/>
      <c r="T63" s="76"/>
      <c r="U63" s="76"/>
      <c r="AC63" s="435" t="s">
        <v>2</v>
      </c>
      <c r="AD63" s="122"/>
      <c r="AE63" s="93">
        <f>SUMIFS('6.3 Asset_Health'!AE$9:AE$721,'6.3 Asset_Health'!$F$9:$F$721,$F63,'6.3 Asset_Health'!$K$9:$K$721,$K63,'6.3 Asset_Health'!$N$9:$N$721,$N63)</f>
        <v>0</v>
      </c>
      <c r="AF63" s="93">
        <f>SUMIFS('6.3 Asset_Health'!AF$9:AF$721,'6.3 Asset_Health'!$F$9:$F$721,$F63,'6.3 Asset_Health'!$K$9:$K$721,$K63,'6.3 Asset_Health'!$N$9:$N$721,$N63)</f>
        <v>0</v>
      </c>
      <c r="AG63" s="93">
        <f>SUMIFS('6.3 Asset_Health'!AG$9:AG$721,'6.3 Asset_Health'!$F$9:$F$721,$F63,'6.3 Asset_Health'!$K$9:$K$721,$K63,'6.3 Asset_Health'!$N$9:$N$721,$N63)</f>
        <v>0</v>
      </c>
      <c r="AH63" s="93">
        <f>SUMIFS('6.3 Asset_Health'!AH$9:AH$721,'6.3 Asset_Health'!$F$9:$F$721,$F63,'6.3 Asset_Health'!$K$9:$K$721,$K63,'6.3 Asset_Health'!$N$9:$N$721,$N63)</f>
        <v>0</v>
      </c>
      <c r="AI63" s="93">
        <f>SUMIFS('6.3 Asset_Health'!AI$9:AI$721,'6.3 Asset_Health'!$F$9:$F$721,$F63,'6.3 Asset_Health'!$K$9:$K$721,$K63,'6.3 Asset_Health'!$N$9:$N$721,$N63)</f>
        <v>0</v>
      </c>
      <c r="AJ63" s="122"/>
      <c r="AL63" s="81"/>
      <c r="AM63" s="81"/>
    </row>
    <row r="64" spans="1:39" s="435" customFormat="1">
      <c r="D64" s="435" t="s">
        <v>79</v>
      </c>
      <c r="E64" s="435" t="s">
        <v>68</v>
      </c>
      <c r="F64" s="435" t="s">
        <v>274</v>
      </c>
      <c r="G64" s="435" t="s">
        <v>12</v>
      </c>
      <c r="H64" s="435" t="s">
        <v>2868</v>
      </c>
      <c r="I64" s="435" t="s">
        <v>7</v>
      </c>
      <c r="J64" s="435" t="s">
        <v>299</v>
      </c>
      <c r="K64" s="435" t="s">
        <v>319</v>
      </c>
      <c r="L64" s="96"/>
      <c r="N64" s="436" t="s">
        <v>1054</v>
      </c>
      <c r="P64" s="111"/>
      <c r="Q64" s="111"/>
      <c r="R64" s="76"/>
      <c r="S64" s="76"/>
      <c r="T64" s="76"/>
      <c r="U64" s="76"/>
      <c r="AC64" s="435" t="s">
        <v>2</v>
      </c>
      <c r="AD64" s="122"/>
      <c r="AE64" s="93">
        <f>SUMIFS('6.3 Asset_Health'!AE$9:AE$721,'6.3 Asset_Health'!$F$9:$F$721,$F64,'6.3 Asset_Health'!$K$9:$K$721,$K64,'6.3 Asset_Health'!$N$9:$N$721,$N64)</f>
        <v>0</v>
      </c>
      <c r="AF64" s="93">
        <f>SUMIFS('6.3 Asset_Health'!AF$9:AF$721,'6.3 Asset_Health'!$F$9:$F$721,$F64,'6.3 Asset_Health'!$K$9:$K$721,$K64,'6.3 Asset_Health'!$N$9:$N$721,$N64)</f>
        <v>0</v>
      </c>
      <c r="AG64" s="93">
        <f>SUMIFS('6.3 Asset_Health'!AG$9:AG$721,'6.3 Asset_Health'!$F$9:$F$721,$F64,'6.3 Asset_Health'!$K$9:$K$721,$K64,'6.3 Asset_Health'!$N$9:$N$721,$N64)</f>
        <v>0</v>
      </c>
      <c r="AH64" s="93">
        <f>SUMIFS('6.3 Asset_Health'!AH$9:AH$721,'6.3 Asset_Health'!$F$9:$F$721,$F64,'6.3 Asset_Health'!$K$9:$K$721,$K64,'6.3 Asset_Health'!$N$9:$N$721,$N64)</f>
        <v>0</v>
      </c>
      <c r="AI64" s="93">
        <f>SUMIFS('6.3 Asset_Health'!AI$9:AI$721,'6.3 Asset_Health'!$F$9:$F$721,$F64,'6.3 Asset_Health'!$K$9:$K$721,$K64,'6.3 Asset_Health'!$N$9:$N$721,$N64)</f>
        <v>0</v>
      </c>
      <c r="AJ64" s="122"/>
      <c r="AL64" s="81"/>
      <c r="AM64" s="81"/>
    </row>
    <row r="65" spans="1:41" s="435" customFormat="1">
      <c r="D65" s="435" t="s">
        <v>79</v>
      </c>
      <c r="E65" s="435" t="s">
        <v>68</v>
      </c>
      <c r="F65" s="435" t="s">
        <v>274</v>
      </c>
      <c r="G65" s="435" t="s">
        <v>12</v>
      </c>
      <c r="H65" s="435" t="s">
        <v>2868</v>
      </c>
      <c r="I65" s="435" t="s">
        <v>7</v>
      </c>
      <c r="J65" s="435" t="s">
        <v>299</v>
      </c>
      <c r="K65" s="435" t="s">
        <v>303</v>
      </c>
      <c r="L65" s="96"/>
      <c r="N65" s="435" t="s">
        <v>829</v>
      </c>
      <c r="O65" s="435" t="s">
        <v>214</v>
      </c>
      <c r="P65" s="111"/>
      <c r="Q65" s="111"/>
      <c r="R65" s="76"/>
      <c r="S65" s="76"/>
      <c r="T65" s="76"/>
      <c r="U65" s="76"/>
      <c r="AC65" s="435" t="s">
        <v>2</v>
      </c>
      <c r="AD65" s="122"/>
      <c r="AE65" s="93">
        <f>SUMIFS('6.3 Asset_Health'!AE$9:AE$721,'6.3 Asset_Health'!$F$9:$F$721,$F65,'6.3 Asset_Health'!$K$9:$K$721,$K65,'6.3 Asset_Health'!$N$9:$N$721,$N65)</f>
        <v>0</v>
      </c>
      <c r="AF65" s="93">
        <f>SUMIFS('6.3 Asset_Health'!AF$9:AF$721,'6.3 Asset_Health'!$F$9:$F$721,$F65,'6.3 Asset_Health'!$K$9:$K$721,$K65,'6.3 Asset_Health'!$N$9:$N$721,$N65)</f>
        <v>0</v>
      </c>
      <c r="AG65" s="93">
        <f>SUMIFS('6.3 Asset_Health'!AG$9:AG$721,'6.3 Asset_Health'!$F$9:$F$721,$F65,'6.3 Asset_Health'!$K$9:$K$721,$K65,'6.3 Asset_Health'!$N$9:$N$721,$N65)</f>
        <v>0</v>
      </c>
      <c r="AH65" s="93">
        <f>SUMIFS('6.3 Asset_Health'!AH$9:AH$721,'6.3 Asset_Health'!$F$9:$F$721,$F65,'6.3 Asset_Health'!$K$9:$K$721,$K65,'6.3 Asset_Health'!$N$9:$N$721,$N65)</f>
        <v>0</v>
      </c>
      <c r="AI65" s="93">
        <f>SUMIFS('6.3 Asset_Health'!AI$9:AI$721,'6.3 Asset_Health'!$F$9:$F$721,$F65,'6.3 Asset_Health'!$K$9:$K$721,$K65,'6.3 Asset_Health'!$N$9:$N$721,$N65)</f>
        <v>0</v>
      </c>
      <c r="AJ65" s="122"/>
      <c r="AL65" s="81"/>
      <c r="AM65" s="81"/>
    </row>
    <row r="66" spans="1:41" s="435" customFormat="1">
      <c r="D66" s="435" t="s">
        <v>79</v>
      </c>
      <c r="E66" s="435" t="s">
        <v>68</v>
      </c>
      <c r="F66" s="435" t="s">
        <v>274</v>
      </c>
      <c r="G66" s="435" t="s">
        <v>12</v>
      </c>
      <c r="H66" s="435" t="s">
        <v>2868</v>
      </c>
      <c r="I66" s="435" t="s">
        <v>7</v>
      </c>
      <c r="J66" s="435" t="s">
        <v>299</v>
      </c>
      <c r="K66" s="435" t="s">
        <v>303</v>
      </c>
      <c r="L66" s="96"/>
      <c r="N66" s="435" t="s">
        <v>828</v>
      </c>
      <c r="O66" s="435" t="s">
        <v>217</v>
      </c>
      <c r="P66" s="111"/>
      <c r="Q66" s="111"/>
      <c r="R66" s="76"/>
      <c r="S66" s="76"/>
      <c r="T66" s="76"/>
      <c r="U66" s="76"/>
      <c r="AC66" s="435" t="s">
        <v>2</v>
      </c>
      <c r="AD66" s="122"/>
      <c r="AE66" s="93">
        <f>SUMIFS('6.3 Asset_Health'!AE$9:AE$721,'6.3 Asset_Health'!$F$9:$F$721,$F66,'6.3 Asset_Health'!$K$9:$K$721,$K66,'6.3 Asset_Health'!$N$9:$N$721,$N66)</f>
        <v>0</v>
      </c>
      <c r="AF66" s="93">
        <f>SUMIFS('6.3 Asset_Health'!AF$9:AF$721,'6.3 Asset_Health'!$F$9:$F$721,$F66,'6.3 Asset_Health'!$K$9:$K$721,$K66,'6.3 Asset_Health'!$N$9:$N$721,$N66)</f>
        <v>0</v>
      </c>
      <c r="AG66" s="93">
        <f>SUMIFS('6.3 Asset_Health'!AG$9:AG$721,'6.3 Asset_Health'!$F$9:$F$721,$F66,'6.3 Asset_Health'!$K$9:$K$721,$K66,'6.3 Asset_Health'!$N$9:$N$721,$N66)</f>
        <v>0</v>
      </c>
      <c r="AH66" s="93">
        <f>SUMIFS('6.3 Asset_Health'!AH$9:AH$721,'6.3 Asset_Health'!$F$9:$F$721,$F66,'6.3 Asset_Health'!$K$9:$K$721,$K66,'6.3 Asset_Health'!$N$9:$N$721,$N66)</f>
        <v>0</v>
      </c>
      <c r="AI66" s="93">
        <f>SUMIFS('6.3 Asset_Health'!AI$9:AI$721,'6.3 Asset_Health'!$F$9:$F$721,$F66,'6.3 Asset_Health'!$K$9:$K$721,$K66,'6.3 Asset_Health'!$N$9:$N$721,$N66)</f>
        <v>0</v>
      </c>
      <c r="AJ66" s="122"/>
      <c r="AL66" s="81"/>
      <c r="AM66" s="81"/>
    </row>
    <row r="67" spans="1:41" s="435" customFormat="1">
      <c r="D67" s="435" t="s">
        <v>79</v>
      </c>
      <c r="E67" s="435" t="s">
        <v>68</v>
      </c>
      <c r="F67" s="435" t="s">
        <v>274</v>
      </c>
      <c r="G67" s="435" t="s">
        <v>12</v>
      </c>
      <c r="H67" s="435" t="s">
        <v>2868</v>
      </c>
      <c r="I67" s="435" t="s">
        <v>7</v>
      </c>
      <c r="J67" s="435" t="s">
        <v>299</v>
      </c>
      <c r="K67" s="435" t="s">
        <v>303</v>
      </c>
      <c r="L67" s="96"/>
      <c r="N67" s="436" t="s">
        <v>1054</v>
      </c>
      <c r="P67" s="111"/>
      <c r="Q67" s="111"/>
      <c r="R67" s="76"/>
      <c r="S67" s="76"/>
      <c r="T67" s="76"/>
      <c r="U67" s="76"/>
      <c r="AC67" s="435" t="s">
        <v>2</v>
      </c>
      <c r="AD67" s="122"/>
      <c r="AE67" s="93">
        <f>SUMIFS('6.3 Asset_Health'!AE$9:AE$721,'6.3 Asset_Health'!$F$9:$F$721,$F67,'6.3 Asset_Health'!$K$9:$K$721,$K67,'6.3 Asset_Health'!$N$9:$N$721,$N67)</f>
        <v>0</v>
      </c>
      <c r="AF67" s="93">
        <f>SUMIFS('6.3 Asset_Health'!AF$9:AF$721,'6.3 Asset_Health'!$F$9:$F$721,$F67,'6.3 Asset_Health'!$K$9:$K$721,$K67,'6.3 Asset_Health'!$N$9:$N$721,$N67)</f>
        <v>0</v>
      </c>
      <c r="AG67" s="93">
        <f>SUMIFS('6.3 Asset_Health'!AG$9:AG$721,'6.3 Asset_Health'!$F$9:$F$721,$F67,'6.3 Asset_Health'!$K$9:$K$721,$K67,'6.3 Asset_Health'!$N$9:$N$721,$N67)</f>
        <v>0</v>
      </c>
      <c r="AH67" s="93">
        <f>SUMIFS('6.3 Asset_Health'!AH$9:AH$721,'6.3 Asset_Health'!$F$9:$F$721,$F67,'6.3 Asset_Health'!$K$9:$K$721,$K67,'6.3 Asset_Health'!$N$9:$N$721,$N67)</f>
        <v>0</v>
      </c>
      <c r="AI67" s="93">
        <f>SUMIFS('6.3 Asset_Health'!AI$9:AI$721,'6.3 Asset_Health'!$F$9:$F$721,$F67,'6.3 Asset_Health'!$K$9:$K$721,$K67,'6.3 Asset_Health'!$N$9:$N$721,$N67)</f>
        <v>0</v>
      </c>
      <c r="AJ67" s="122"/>
      <c r="AL67" s="81"/>
      <c r="AM67" s="81"/>
    </row>
    <row r="68" spans="1:41" s="435" customFormat="1">
      <c r="D68" s="435" t="s">
        <v>79</v>
      </c>
      <c r="E68" s="435" t="s">
        <v>68</v>
      </c>
      <c r="F68" s="435" t="s">
        <v>274</v>
      </c>
      <c r="G68" s="435" t="s">
        <v>12</v>
      </c>
      <c r="H68" s="435" t="s">
        <v>2868</v>
      </c>
      <c r="I68" s="435" t="s">
        <v>7</v>
      </c>
      <c r="J68" s="435" t="s">
        <v>299</v>
      </c>
      <c r="K68" s="435" t="s">
        <v>310</v>
      </c>
      <c r="L68" s="96"/>
      <c r="N68" s="435" t="s">
        <v>829</v>
      </c>
      <c r="O68" s="435" t="s">
        <v>214</v>
      </c>
      <c r="P68" s="111"/>
      <c r="Q68" s="111"/>
      <c r="R68" s="76"/>
      <c r="S68" s="76"/>
      <c r="T68" s="76"/>
      <c r="U68" s="76"/>
      <c r="AC68" s="435" t="s">
        <v>2</v>
      </c>
      <c r="AD68" s="122"/>
      <c r="AE68" s="93">
        <f>SUMIFS('6.3 Asset_Health'!AE$9:AE$721,'6.3 Asset_Health'!$F$9:$F$721,$F68,'6.3 Asset_Health'!$K$9:$K$721,$K68,'6.3 Asset_Health'!$N$9:$N$721,$N68)</f>
        <v>0</v>
      </c>
      <c r="AF68" s="93">
        <f>SUMIFS('6.3 Asset_Health'!AF$9:AF$721,'6.3 Asset_Health'!$F$9:$F$721,$F68,'6.3 Asset_Health'!$K$9:$K$721,$K68,'6.3 Asset_Health'!$N$9:$N$721,$N68)</f>
        <v>0</v>
      </c>
      <c r="AG68" s="93">
        <f>SUMIFS('6.3 Asset_Health'!AG$9:AG$721,'6.3 Asset_Health'!$F$9:$F$721,$F68,'6.3 Asset_Health'!$K$9:$K$721,$K68,'6.3 Asset_Health'!$N$9:$N$721,$N68)</f>
        <v>0</v>
      </c>
      <c r="AH68" s="93">
        <f>SUMIFS('6.3 Asset_Health'!AH$9:AH$721,'6.3 Asset_Health'!$F$9:$F$721,$F68,'6.3 Asset_Health'!$K$9:$K$721,$K68,'6.3 Asset_Health'!$N$9:$N$721,$N68)</f>
        <v>0</v>
      </c>
      <c r="AI68" s="93">
        <f>SUMIFS('6.3 Asset_Health'!AI$9:AI$721,'6.3 Asset_Health'!$F$9:$F$721,$F68,'6.3 Asset_Health'!$K$9:$K$721,$K68,'6.3 Asset_Health'!$N$9:$N$721,$N68)</f>
        <v>0</v>
      </c>
      <c r="AJ68" s="122"/>
      <c r="AL68" s="81"/>
      <c r="AM68" s="81"/>
    </row>
    <row r="69" spans="1:41" s="435" customFormat="1">
      <c r="D69" s="435" t="s">
        <v>79</v>
      </c>
      <c r="E69" s="435" t="s">
        <v>68</v>
      </c>
      <c r="F69" s="435" t="s">
        <v>274</v>
      </c>
      <c r="G69" s="435" t="s">
        <v>12</v>
      </c>
      <c r="H69" s="435" t="s">
        <v>2868</v>
      </c>
      <c r="I69" s="435" t="s">
        <v>7</v>
      </c>
      <c r="J69" s="435" t="s">
        <v>299</v>
      </c>
      <c r="K69" s="435" t="s">
        <v>310</v>
      </c>
      <c r="L69" s="96"/>
      <c r="N69" s="435" t="s">
        <v>828</v>
      </c>
      <c r="O69" s="435" t="s">
        <v>217</v>
      </c>
      <c r="P69" s="111"/>
      <c r="Q69" s="111"/>
      <c r="R69" s="76"/>
      <c r="S69" s="76"/>
      <c r="T69" s="76"/>
      <c r="U69" s="76"/>
      <c r="AC69" s="435" t="s">
        <v>2</v>
      </c>
      <c r="AD69" s="122"/>
      <c r="AE69" s="93">
        <f>SUMIFS('6.3 Asset_Health'!AE$9:AE$721,'6.3 Asset_Health'!$F$9:$F$721,$F69,'6.3 Asset_Health'!$K$9:$K$721,$K69,'6.3 Asset_Health'!$N$9:$N$721,$N69)</f>
        <v>0</v>
      </c>
      <c r="AF69" s="93">
        <f>SUMIFS('6.3 Asset_Health'!AF$9:AF$721,'6.3 Asset_Health'!$F$9:$F$721,$F69,'6.3 Asset_Health'!$K$9:$K$721,$K69,'6.3 Asset_Health'!$N$9:$N$721,$N69)</f>
        <v>0</v>
      </c>
      <c r="AG69" s="93">
        <f>SUMIFS('6.3 Asset_Health'!AG$9:AG$721,'6.3 Asset_Health'!$F$9:$F$721,$F69,'6.3 Asset_Health'!$K$9:$K$721,$K69,'6.3 Asset_Health'!$N$9:$N$721,$N69)</f>
        <v>0</v>
      </c>
      <c r="AH69" s="93">
        <f>SUMIFS('6.3 Asset_Health'!AH$9:AH$721,'6.3 Asset_Health'!$F$9:$F$721,$F69,'6.3 Asset_Health'!$K$9:$K$721,$K69,'6.3 Asset_Health'!$N$9:$N$721,$N69)</f>
        <v>0</v>
      </c>
      <c r="AI69" s="93">
        <f>SUMIFS('6.3 Asset_Health'!AI$9:AI$721,'6.3 Asset_Health'!$F$9:$F$721,$F69,'6.3 Asset_Health'!$K$9:$K$721,$K69,'6.3 Asset_Health'!$N$9:$N$721,$N69)</f>
        <v>0</v>
      </c>
      <c r="AJ69" s="122"/>
      <c r="AL69" s="81"/>
      <c r="AM69" s="81"/>
    </row>
    <row r="70" spans="1:41" s="435" customFormat="1">
      <c r="D70" s="435" t="s">
        <v>79</v>
      </c>
      <c r="E70" s="435" t="s">
        <v>68</v>
      </c>
      <c r="F70" s="435" t="s">
        <v>274</v>
      </c>
      <c r="G70" s="435" t="s">
        <v>12</v>
      </c>
      <c r="H70" s="435" t="s">
        <v>2868</v>
      </c>
      <c r="I70" s="435" t="s">
        <v>7</v>
      </c>
      <c r="J70" s="435" t="s">
        <v>299</v>
      </c>
      <c r="K70" s="435" t="s">
        <v>310</v>
      </c>
      <c r="L70" s="96"/>
      <c r="N70" s="436" t="s">
        <v>1054</v>
      </c>
      <c r="P70" s="111"/>
      <c r="Q70" s="111"/>
      <c r="R70" s="76"/>
      <c r="S70" s="76"/>
      <c r="T70" s="76"/>
      <c r="U70" s="76"/>
      <c r="AC70" s="435" t="s">
        <v>2</v>
      </c>
      <c r="AD70" s="122"/>
      <c r="AE70" s="93">
        <f>SUMIFS('6.3 Asset_Health'!AE$9:AE$721,'6.3 Asset_Health'!$F$9:$F$721,$F70,'6.3 Asset_Health'!$K$9:$K$721,$K70,'6.3 Asset_Health'!$N$9:$N$721,$N70)</f>
        <v>0</v>
      </c>
      <c r="AF70" s="93">
        <f>SUMIFS('6.3 Asset_Health'!AF$9:AF$721,'6.3 Asset_Health'!$F$9:$F$721,$F70,'6.3 Asset_Health'!$K$9:$K$721,$K70,'6.3 Asset_Health'!$N$9:$N$721,$N70)</f>
        <v>0</v>
      </c>
      <c r="AG70" s="93">
        <f>SUMIFS('6.3 Asset_Health'!AG$9:AG$721,'6.3 Asset_Health'!$F$9:$F$721,$F70,'6.3 Asset_Health'!$K$9:$K$721,$K70,'6.3 Asset_Health'!$N$9:$N$721,$N70)</f>
        <v>0</v>
      </c>
      <c r="AH70" s="93">
        <f>SUMIFS('6.3 Asset_Health'!AH$9:AH$721,'6.3 Asset_Health'!$F$9:$F$721,$F70,'6.3 Asset_Health'!$K$9:$K$721,$K70,'6.3 Asset_Health'!$N$9:$N$721,$N70)</f>
        <v>0</v>
      </c>
      <c r="AI70" s="93">
        <f>SUMIFS('6.3 Asset_Health'!AI$9:AI$721,'6.3 Asset_Health'!$F$9:$F$721,$F70,'6.3 Asset_Health'!$K$9:$K$721,$K70,'6.3 Asset_Health'!$N$9:$N$721,$N70)</f>
        <v>0</v>
      </c>
      <c r="AJ70" s="122"/>
      <c r="AL70" s="81"/>
      <c r="AM70" s="81"/>
    </row>
    <row r="71" spans="1:41" s="435" customFormat="1">
      <c r="D71" s="435" t="s">
        <v>79</v>
      </c>
      <c r="E71" s="435" t="s">
        <v>68</v>
      </c>
      <c r="F71" s="435" t="s">
        <v>274</v>
      </c>
      <c r="G71" s="435" t="s">
        <v>12</v>
      </c>
      <c r="H71" s="435" t="s">
        <v>2868</v>
      </c>
      <c r="I71" s="435" t="s">
        <v>7</v>
      </c>
      <c r="J71" s="435" t="s">
        <v>299</v>
      </c>
      <c r="K71" s="435" t="s">
        <v>300</v>
      </c>
      <c r="N71" s="435" t="s">
        <v>829</v>
      </c>
      <c r="O71" s="435" t="s">
        <v>214</v>
      </c>
      <c r="P71" s="111"/>
      <c r="Q71" s="111"/>
      <c r="AC71" s="435" t="s">
        <v>2</v>
      </c>
      <c r="AD71" s="122"/>
      <c r="AE71" s="93">
        <f>SUMIFS('6.3 Asset_Health'!AE$9:AE$721,'6.3 Asset_Health'!$F$9:$F$721,$F71,'6.3 Asset_Health'!$K$9:$K$721,$K71,'6.3 Asset_Health'!$N$9:$N$721,$N71)</f>
        <v>0</v>
      </c>
      <c r="AF71" s="93">
        <f>SUMIFS('6.3 Asset_Health'!AF$9:AF$721,'6.3 Asset_Health'!$F$9:$F$721,$F71,'6.3 Asset_Health'!$K$9:$K$721,$K71,'6.3 Asset_Health'!$N$9:$N$721,$N71)</f>
        <v>0</v>
      </c>
      <c r="AG71" s="93">
        <f>SUMIFS('6.3 Asset_Health'!AG$9:AG$721,'6.3 Asset_Health'!$F$9:$F$721,$F71,'6.3 Asset_Health'!$K$9:$K$721,$K71,'6.3 Asset_Health'!$N$9:$N$721,$N71)</f>
        <v>0</v>
      </c>
      <c r="AH71" s="93">
        <f>SUMIFS('6.3 Asset_Health'!AH$9:AH$721,'6.3 Asset_Health'!$F$9:$F$721,$F71,'6.3 Asset_Health'!$K$9:$K$721,$K71,'6.3 Asset_Health'!$N$9:$N$721,$N71)</f>
        <v>0</v>
      </c>
      <c r="AI71" s="93">
        <f>SUMIFS('6.3 Asset_Health'!AI$9:AI$721,'6.3 Asset_Health'!$F$9:$F$721,$F71,'6.3 Asset_Health'!$K$9:$K$721,$K71,'6.3 Asset_Health'!$N$9:$N$721,$N71)</f>
        <v>0</v>
      </c>
      <c r="AJ71" s="122"/>
      <c r="AL71" s="81"/>
      <c r="AM71" s="81"/>
    </row>
    <row r="72" spans="1:41" s="435" customFormat="1">
      <c r="D72" s="435" t="s">
        <v>79</v>
      </c>
      <c r="E72" s="435" t="s">
        <v>68</v>
      </c>
      <c r="F72" s="435" t="s">
        <v>274</v>
      </c>
      <c r="G72" s="435" t="s">
        <v>12</v>
      </c>
      <c r="H72" s="435" t="s">
        <v>2868</v>
      </c>
      <c r="I72" s="435" t="s">
        <v>7</v>
      </c>
      <c r="J72" s="435" t="s">
        <v>299</v>
      </c>
      <c r="K72" s="435" t="s">
        <v>300</v>
      </c>
      <c r="N72" s="435" t="s">
        <v>828</v>
      </c>
      <c r="O72" s="435" t="s">
        <v>217</v>
      </c>
      <c r="P72" s="111"/>
      <c r="Q72" s="111"/>
      <c r="AC72" s="435" t="s">
        <v>2</v>
      </c>
      <c r="AD72" s="122"/>
      <c r="AE72" s="93">
        <f>SUMIFS('6.3 Asset_Health'!AE$9:AE$721,'6.3 Asset_Health'!$F$9:$F$721,$F72,'6.3 Asset_Health'!$K$9:$K$721,$K72,'6.3 Asset_Health'!$N$9:$N$721,$N72)</f>
        <v>0</v>
      </c>
      <c r="AF72" s="93">
        <f>SUMIFS('6.3 Asset_Health'!AF$9:AF$721,'6.3 Asset_Health'!$F$9:$F$721,$F72,'6.3 Asset_Health'!$K$9:$K$721,$K72,'6.3 Asset_Health'!$N$9:$N$721,$N72)</f>
        <v>0</v>
      </c>
      <c r="AG72" s="93">
        <f>SUMIFS('6.3 Asset_Health'!AG$9:AG$721,'6.3 Asset_Health'!$F$9:$F$721,$F72,'6.3 Asset_Health'!$K$9:$K$721,$K72,'6.3 Asset_Health'!$N$9:$N$721,$N72)</f>
        <v>0</v>
      </c>
      <c r="AH72" s="93">
        <f>SUMIFS('6.3 Asset_Health'!AH$9:AH$721,'6.3 Asset_Health'!$F$9:$F$721,$F72,'6.3 Asset_Health'!$K$9:$K$721,$K72,'6.3 Asset_Health'!$N$9:$N$721,$N72)</f>
        <v>0</v>
      </c>
      <c r="AI72" s="93">
        <f>SUMIFS('6.3 Asset_Health'!AI$9:AI$721,'6.3 Asset_Health'!$F$9:$F$721,$F72,'6.3 Asset_Health'!$K$9:$K$721,$K72,'6.3 Asset_Health'!$N$9:$N$721,$N72)</f>
        <v>0</v>
      </c>
      <c r="AJ72" s="122"/>
      <c r="AL72" s="81"/>
      <c r="AM72" s="81"/>
    </row>
    <row r="73" spans="1:41" s="435" customFormat="1">
      <c r="D73" s="435" t="s">
        <v>79</v>
      </c>
      <c r="E73" s="435" t="s">
        <v>68</v>
      </c>
      <c r="F73" s="435" t="s">
        <v>274</v>
      </c>
      <c r="G73" s="435" t="s">
        <v>12</v>
      </c>
      <c r="H73" s="435" t="s">
        <v>2868</v>
      </c>
      <c r="I73" s="435" t="s">
        <v>7</v>
      </c>
      <c r="J73" s="435" t="s">
        <v>299</v>
      </c>
      <c r="K73" s="435" t="s">
        <v>300</v>
      </c>
      <c r="L73" s="96"/>
      <c r="N73" s="436" t="s">
        <v>1054</v>
      </c>
      <c r="P73" s="111"/>
      <c r="Q73" s="111"/>
      <c r="R73" s="76"/>
      <c r="S73" s="76"/>
      <c r="T73" s="76"/>
      <c r="U73" s="76"/>
      <c r="AC73" s="435" t="s">
        <v>2</v>
      </c>
      <c r="AD73" s="122"/>
      <c r="AE73" s="93">
        <f>SUMIFS('6.3 Asset_Health'!AE$9:AE$721,'6.3 Asset_Health'!$F$9:$F$721,$F73,'6.3 Asset_Health'!$K$9:$K$721,$K73,'6.3 Asset_Health'!$N$9:$N$721,$N73)</f>
        <v>0</v>
      </c>
      <c r="AF73" s="93">
        <f>SUMIFS('6.3 Asset_Health'!AF$9:AF$721,'6.3 Asset_Health'!$F$9:$F$721,$F73,'6.3 Asset_Health'!$K$9:$K$721,$K73,'6.3 Asset_Health'!$N$9:$N$721,$N73)</f>
        <v>0</v>
      </c>
      <c r="AG73" s="93">
        <f>SUMIFS('6.3 Asset_Health'!AG$9:AG$721,'6.3 Asset_Health'!$F$9:$F$721,$F73,'6.3 Asset_Health'!$K$9:$K$721,$K73,'6.3 Asset_Health'!$N$9:$N$721,$N73)</f>
        <v>0</v>
      </c>
      <c r="AH73" s="93">
        <f>SUMIFS('6.3 Asset_Health'!AH$9:AH$721,'6.3 Asset_Health'!$F$9:$F$721,$F73,'6.3 Asset_Health'!$K$9:$K$721,$K73,'6.3 Asset_Health'!$N$9:$N$721,$N73)</f>
        <v>0</v>
      </c>
      <c r="AI73" s="93">
        <f>SUMIFS('6.3 Asset_Health'!AI$9:AI$721,'6.3 Asset_Health'!$F$9:$F$721,$F73,'6.3 Asset_Health'!$K$9:$K$721,$K73,'6.3 Asset_Health'!$N$9:$N$721,$N73)</f>
        <v>0</v>
      </c>
      <c r="AJ73" s="122"/>
      <c r="AL73" s="81"/>
      <c r="AM73" s="81"/>
    </row>
    <row r="74" spans="1:41" s="58" customFormat="1">
      <c r="K74" s="121"/>
      <c r="L74" s="121"/>
      <c r="P74" s="129"/>
      <c r="Q74" s="129"/>
      <c r="R74" s="120"/>
      <c r="S74" s="120"/>
      <c r="T74" s="120"/>
      <c r="U74" s="120"/>
      <c r="AD74" s="122"/>
      <c r="AE74" s="118"/>
      <c r="AF74" s="118"/>
      <c r="AG74" s="118"/>
      <c r="AH74" s="118"/>
      <c r="AI74" s="118"/>
      <c r="AJ74" s="122"/>
    </row>
    <row r="75" spans="1:41" s="1" customFormat="1" ht="13.9">
      <c r="A75" s="66"/>
      <c r="B75" s="78" t="s">
        <v>2712</v>
      </c>
      <c r="P75" s="127"/>
      <c r="Q75" s="127"/>
    </row>
    <row r="77" spans="1:41">
      <c r="D77" t="s">
        <v>79</v>
      </c>
      <c r="E77" t="s">
        <v>68</v>
      </c>
      <c r="F77" s="435" t="s">
        <v>274</v>
      </c>
      <c r="G77" s="435" t="s">
        <v>12</v>
      </c>
      <c r="H77" s="435" t="s">
        <v>2868</v>
      </c>
      <c r="I77" t="s">
        <v>7</v>
      </c>
      <c r="J77" t="s">
        <v>2646</v>
      </c>
      <c r="K77" s="435" t="s">
        <v>293</v>
      </c>
      <c r="L77" s="96"/>
      <c r="N77" t="s">
        <v>293</v>
      </c>
      <c r="O77" t="s">
        <v>219</v>
      </c>
      <c r="P77" s="111"/>
      <c r="Q77" s="149" t="s">
        <v>293</v>
      </c>
      <c r="R77" s="76"/>
      <c r="S77" s="76"/>
      <c r="T77" s="76"/>
      <c r="U77" s="76"/>
      <c r="AC77" t="s">
        <v>2</v>
      </c>
      <c r="AD77" s="93">
        <f>SUM('6.5 Redundant_Assets'!AD13:AD109)</f>
        <v>0</v>
      </c>
      <c r="AE77" s="93">
        <f>SUM('6.5 Redundant_Assets'!AE13:AE109)</f>
        <v>0</v>
      </c>
      <c r="AF77" s="93">
        <f>SUM('6.5 Redundant_Assets'!AF13:AF109)</f>
        <v>0</v>
      </c>
      <c r="AG77" s="93">
        <f>SUM('6.5 Redundant_Assets'!AG13:AG109)</f>
        <v>0</v>
      </c>
      <c r="AH77" s="93">
        <f>SUM('6.5 Redundant_Assets'!AH13:AH109)</f>
        <v>0</v>
      </c>
      <c r="AI77" s="93">
        <f>SUM('6.5 Redundant_Assets'!AI13:AI109)</f>
        <v>0</v>
      </c>
      <c r="AJ77" s="93">
        <f>SUM('6.5 Redundant_Assets'!AJ13:AJ109)</f>
        <v>0</v>
      </c>
      <c r="AK77" s="435"/>
      <c r="AL77" s="81"/>
      <c r="AM77" s="81"/>
      <c r="AO77" s="435"/>
    </row>
    <row r="78" spans="1:41">
      <c r="D78" t="s">
        <v>79</v>
      </c>
      <c r="E78" t="s">
        <v>68</v>
      </c>
      <c r="F78" s="435" t="s">
        <v>274</v>
      </c>
      <c r="G78" s="435" t="s">
        <v>12</v>
      </c>
      <c r="H78" s="435" t="s">
        <v>2868</v>
      </c>
      <c r="I78" t="s">
        <v>7</v>
      </c>
      <c r="J78" s="435" t="s">
        <v>2646</v>
      </c>
      <c r="K78" s="435" t="s">
        <v>1769</v>
      </c>
      <c r="L78" s="96"/>
      <c r="N78" t="s">
        <v>1014</v>
      </c>
      <c r="O78" t="s">
        <v>215</v>
      </c>
      <c r="P78" s="111"/>
      <c r="Q78" s="149" t="s">
        <v>291</v>
      </c>
      <c r="R78" s="76"/>
      <c r="S78" s="76"/>
      <c r="T78" s="76"/>
      <c r="U78" s="76"/>
      <c r="AC78" t="s">
        <v>2</v>
      </c>
      <c r="AD78" s="93">
        <f>SUMIFS('6.2_Projects'!AD$9:AD$195,'6.2_Projects'!$F$9:$F$195,$F78,'6.2_Projects'!$Q$9:$Q$195,$Q78)</f>
        <v>0</v>
      </c>
      <c r="AE78" s="93">
        <f>SUMIFS('6.2_Projects'!AE$9:AE$195,'6.2_Projects'!$F$9:$F$195,$F78,'6.2_Projects'!$Q$9:$Q$195,$Q78)</f>
        <v>0</v>
      </c>
      <c r="AF78" s="93">
        <f>SUMIFS('6.2_Projects'!AF$9:AF$195,'6.2_Projects'!$F$9:$F$195,$F78,'6.2_Projects'!$Q$9:$Q$195,$Q78)</f>
        <v>0</v>
      </c>
      <c r="AG78" s="93">
        <f>SUMIFS('6.2_Projects'!AG$9:AG$195,'6.2_Projects'!$F$9:$F$195,$F78,'6.2_Projects'!$Q$9:$Q$195,$Q78)</f>
        <v>0</v>
      </c>
      <c r="AH78" s="93">
        <f>SUMIFS('6.2_Projects'!AH$9:AH$195,'6.2_Projects'!$F$9:$F$195,$F78,'6.2_Projects'!$Q$9:$Q$195,$Q78)</f>
        <v>0</v>
      </c>
      <c r="AI78" s="93">
        <f>SUMIFS('6.2_Projects'!AI$9:AI$195,'6.2_Projects'!$F$9:$F$195,$F78,'6.2_Projects'!$Q$9:$Q$195,$Q78)</f>
        <v>0</v>
      </c>
      <c r="AJ78" s="93">
        <f>SUMIFS('6.2_Projects'!AJ$9:AJ$195,'6.2_Projects'!$F$9:$F$195,$F78,'6.2_Projects'!$Q$9:$Q$195,$Q78)</f>
        <v>0</v>
      </c>
      <c r="AK78" s="435"/>
      <c r="AL78" s="93">
        <f>SUMIFS('6.2_Projects'!AD$9:AD$195,'6.2_Projects'!$F$9:$F$195,$F78,'6.2_Projects'!$Q$9:$Q$195,$Q78,'6.2_Projects'!$S$9:$S$195,AL$7)+SUMIFS('6.2_Projects'!AE$9:AE$195,'6.2_Projects'!$F$9:$F$195,$F78,'6.2_Projects'!$Q$9:$Q$195,$Q78,'6.2_Projects'!$S$9:$S$195,AL$7)+SUMIFS('6.2_Projects'!AF$9:AF$195,'6.2_Projects'!$F$9:$F$195,$F78,'6.2_Projects'!$Q$9:$Q$195,$Q78,'6.2_Projects'!$S$9:$S$195,AL$7)+SUMIFS('6.2_Projects'!AG$9:AG$195,'6.2_Projects'!$F$9:$F$195,$F78,'6.2_Projects'!$Q$9:$Q$195,$Q78,'6.2_Projects'!$S$9:$S$195,AL$7)+SUMIFS('6.2_Projects'!AH$9:AH$195,'6.2_Projects'!$F$9:$F$195,$F78,'6.2_Projects'!$Q$9:$Q$195,$Q78,'6.2_Projects'!$S$9:$S$195,AL$7)+SUMIFS('6.2_Projects'!AI$9:AI$195,'6.2_Projects'!$F$9:$F$195,$F78,'6.2_Projects'!$Q$9:$Q$195,$Q78,'6.2_Projects'!$S$9:$S$195,AL$7)+SUMIFS('6.2_Projects'!AJ$9:AJ$195,'6.2_Projects'!$F$9:$F$195,$F78,'6.2_Projects'!$Q$9:$Q$195,$Q78,'6.2_Projects'!$S$9:$S$195,AL$7)</f>
        <v>0</v>
      </c>
      <c r="AM78" s="93">
        <f>SUMIFS('6.2_Projects'!AD$9:AD$195,'6.2_Projects'!$F$9:$F$195,$F78,'6.2_Projects'!$Q$9:$Q$195,$Q78,'6.2_Projects'!$S$9:$S$195,AM$7)+SUMIFS('6.2_Projects'!AE$9:AE$195,'6.2_Projects'!$F$9:$F$195,$F78,'6.2_Projects'!$Q$9:$Q$195,$Q78,'6.2_Projects'!$S$9:$S$195,AM$7)+SUMIFS('6.2_Projects'!AF$9:AF$195,'6.2_Projects'!$F$9:$F$195,$F78,'6.2_Projects'!$Q$9:$Q$195,$Q78,'6.2_Projects'!$S$9:$S$195,AM$7)+SUMIFS('6.2_Projects'!AG$9:AG$195,'6.2_Projects'!$F$9:$F$195,$F78,'6.2_Projects'!$Q$9:$Q$195,$Q78,'6.2_Projects'!$S$9:$S$195,AM$7)+SUMIFS('6.2_Projects'!AH$9:AH$195,'6.2_Projects'!$F$9:$F$195,$F78,'6.2_Projects'!$Q$9:$Q$195,$Q78,'6.2_Projects'!$S$9:$S$195,AM$7)+SUMIFS('6.2_Projects'!AI$9:AI$195,'6.2_Projects'!$F$9:$F$195,$F78,'6.2_Projects'!$Q$9:$Q$195,$Q78,'6.2_Projects'!$S$9:$S$195,AM$7)+SUMIFS('6.2_Projects'!AJ$9:AJ$195,'6.2_Projects'!$F$9:$F$195,$F78,'6.2_Projects'!$Q$9:$Q$195,$Q78,'6.2_Projects'!$S$9:$S$195,AM$7)</f>
        <v>0</v>
      </c>
      <c r="AO78" s="435"/>
    </row>
    <row r="79" spans="1:41">
      <c r="D79" t="s">
        <v>79</v>
      </c>
      <c r="E79" t="s">
        <v>68</v>
      </c>
      <c r="F79" s="435" t="s">
        <v>274</v>
      </c>
      <c r="G79" s="435" t="s">
        <v>12</v>
      </c>
      <c r="H79" s="435" t="s">
        <v>2868</v>
      </c>
      <c r="I79" t="s">
        <v>7</v>
      </c>
      <c r="J79" s="435" t="s">
        <v>2646</v>
      </c>
      <c r="K79" s="435" t="s">
        <v>1015</v>
      </c>
      <c r="L79" s="96"/>
      <c r="N79" t="s">
        <v>1015</v>
      </c>
      <c r="O79" t="s">
        <v>216</v>
      </c>
      <c r="P79" s="131"/>
      <c r="Q79" s="149" t="s">
        <v>292</v>
      </c>
      <c r="R79" s="76"/>
      <c r="S79" s="76"/>
      <c r="T79" s="76"/>
      <c r="U79" s="76"/>
      <c r="AC79" t="s">
        <v>2</v>
      </c>
      <c r="AD79" s="93">
        <f>SUMIFS('6.2_Projects'!AD$9:AD$195,'6.2_Projects'!$F$9:$F$195,$F79,'6.2_Projects'!$Q$9:$Q$195,$Q79)</f>
        <v>0</v>
      </c>
      <c r="AE79" s="93">
        <f>SUMIFS('6.2_Projects'!AE$9:AE$195,'6.2_Projects'!$F$9:$F$195,$F79,'6.2_Projects'!$Q$9:$Q$195,$Q79)</f>
        <v>0</v>
      </c>
      <c r="AF79" s="93">
        <f>SUMIFS('6.2_Projects'!AF$9:AF$195,'6.2_Projects'!$F$9:$F$195,$F79,'6.2_Projects'!$Q$9:$Q$195,$Q79)</f>
        <v>0</v>
      </c>
      <c r="AG79" s="93">
        <f>SUMIFS('6.2_Projects'!AG$9:AG$195,'6.2_Projects'!$F$9:$F$195,$F79,'6.2_Projects'!$Q$9:$Q$195,$Q79)</f>
        <v>0</v>
      </c>
      <c r="AH79" s="93">
        <f>SUMIFS('6.2_Projects'!AH$9:AH$195,'6.2_Projects'!$F$9:$F$195,$F79,'6.2_Projects'!$Q$9:$Q$195,$Q79)</f>
        <v>0</v>
      </c>
      <c r="AI79" s="93">
        <f>SUMIFS('6.2_Projects'!AI$9:AI$195,'6.2_Projects'!$F$9:$F$195,$F79,'6.2_Projects'!$Q$9:$Q$195,$Q79)</f>
        <v>0</v>
      </c>
      <c r="AJ79" s="93">
        <f>SUMIFS('6.2_Projects'!AJ$9:AJ$195,'6.2_Projects'!$F$9:$F$195,$F79,'6.2_Projects'!$Q$9:$Q$195,$Q79)</f>
        <v>0</v>
      </c>
      <c r="AK79" s="435"/>
      <c r="AL79" s="93">
        <f>SUMIFS('6.2_Projects'!AD$9:AD$195,'6.2_Projects'!$F$9:$F$195,$F79,'6.2_Projects'!$Q$9:$Q$195,$Q79,'6.2_Projects'!$S$9:$S$195,AL$7)+SUMIFS('6.2_Projects'!AE$9:AE$195,'6.2_Projects'!$F$9:$F$195,$F79,'6.2_Projects'!$Q$9:$Q$195,$Q79,'6.2_Projects'!$S$9:$S$195,AL$7)+SUMIFS('6.2_Projects'!AF$9:AF$195,'6.2_Projects'!$F$9:$F$195,$F79,'6.2_Projects'!$Q$9:$Q$195,$Q79,'6.2_Projects'!$S$9:$S$195,AL$7)+SUMIFS('6.2_Projects'!AG$9:AG$195,'6.2_Projects'!$F$9:$F$195,$F79,'6.2_Projects'!$Q$9:$Q$195,$Q79,'6.2_Projects'!$S$9:$S$195,AL$7)+SUMIFS('6.2_Projects'!AH$9:AH$195,'6.2_Projects'!$F$9:$F$195,$F79,'6.2_Projects'!$Q$9:$Q$195,$Q79,'6.2_Projects'!$S$9:$S$195,AL$7)+SUMIFS('6.2_Projects'!AI$9:AI$195,'6.2_Projects'!$F$9:$F$195,$F79,'6.2_Projects'!$Q$9:$Q$195,$Q79,'6.2_Projects'!$S$9:$S$195,AL$7)+SUMIFS('6.2_Projects'!AJ$9:AJ$195,'6.2_Projects'!$F$9:$F$195,$F79,'6.2_Projects'!$Q$9:$Q$195,$Q79,'6.2_Projects'!$S$9:$S$195,AL$7)</f>
        <v>0</v>
      </c>
      <c r="AM79" s="93">
        <f>SUMIFS('6.2_Projects'!AD$9:AD$195,'6.2_Projects'!$F$9:$F$195,$F79,'6.2_Projects'!$Q$9:$Q$195,$Q79,'6.2_Projects'!$S$9:$S$195,AM$7)+SUMIFS('6.2_Projects'!AE$9:AE$195,'6.2_Projects'!$F$9:$F$195,$F79,'6.2_Projects'!$Q$9:$Q$195,$Q79,'6.2_Projects'!$S$9:$S$195,AM$7)+SUMIFS('6.2_Projects'!AF$9:AF$195,'6.2_Projects'!$F$9:$F$195,$F79,'6.2_Projects'!$Q$9:$Q$195,$Q79,'6.2_Projects'!$S$9:$S$195,AM$7)+SUMIFS('6.2_Projects'!AG$9:AG$195,'6.2_Projects'!$F$9:$F$195,$F79,'6.2_Projects'!$Q$9:$Q$195,$Q79,'6.2_Projects'!$S$9:$S$195,AM$7)+SUMIFS('6.2_Projects'!AH$9:AH$195,'6.2_Projects'!$F$9:$F$195,$F79,'6.2_Projects'!$Q$9:$Q$195,$Q79,'6.2_Projects'!$S$9:$S$195,AM$7)+SUMIFS('6.2_Projects'!AI$9:AI$195,'6.2_Projects'!$F$9:$F$195,$F79,'6.2_Projects'!$Q$9:$Q$195,$Q79,'6.2_Projects'!$S$9:$S$195,AM$7)+SUMIFS('6.2_Projects'!AJ$9:AJ$195,'6.2_Projects'!$F$9:$F$195,$F79,'6.2_Projects'!$Q$9:$Q$195,$Q79,'6.2_Projects'!$S$9:$S$195,AM$7)</f>
        <v>0</v>
      </c>
      <c r="AO79" s="435"/>
    </row>
    <row r="80" spans="1:41">
      <c r="D80" t="s">
        <v>79</v>
      </c>
      <c r="E80" t="s">
        <v>68</v>
      </c>
      <c r="F80" s="435" t="s">
        <v>274</v>
      </c>
      <c r="G80" s="435" t="s">
        <v>12</v>
      </c>
      <c r="H80" s="435" t="s">
        <v>2868</v>
      </c>
      <c r="I80" t="s">
        <v>7</v>
      </c>
      <c r="J80" s="435" t="s">
        <v>2646</v>
      </c>
      <c r="K80" s="435" t="str">
        <f t="shared" ref="K80:K83" si="5">IF(Q80="","null",Q80)</f>
        <v>Stopples</v>
      </c>
      <c r="L80" s="96"/>
      <c r="N80" s="436" t="s">
        <v>1054</v>
      </c>
      <c r="O80" t="s">
        <v>281</v>
      </c>
      <c r="P80" s="111"/>
      <c r="Q80" s="149" t="s">
        <v>294</v>
      </c>
      <c r="R80" s="76"/>
      <c r="S80" s="76"/>
      <c r="T80" s="76"/>
      <c r="U80" s="76"/>
      <c r="AC80" t="s">
        <v>2</v>
      </c>
      <c r="AD80" s="81"/>
      <c r="AE80" s="81"/>
      <c r="AF80" s="81"/>
      <c r="AG80" s="81"/>
      <c r="AH80" s="81"/>
      <c r="AI80" s="81"/>
      <c r="AJ80" s="81"/>
      <c r="AL80" s="81"/>
      <c r="AM80" s="81"/>
      <c r="AO80" s="435"/>
    </row>
    <row r="81" spans="1:41">
      <c r="D81" t="s">
        <v>79</v>
      </c>
      <c r="E81" t="s">
        <v>68</v>
      </c>
      <c r="F81" s="435" t="s">
        <v>274</v>
      </c>
      <c r="G81" s="435" t="s">
        <v>12</v>
      </c>
      <c r="H81" s="435" t="s">
        <v>2868</v>
      </c>
      <c r="I81" t="s">
        <v>7</v>
      </c>
      <c r="J81" s="435" t="s">
        <v>2646</v>
      </c>
      <c r="K81" s="435" t="str">
        <f t="shared" si="5"/>
        <v>GRAID</v>
      </c>
      <c r="L81" s="96"/>
      <c r="N81" s="436" t="s">
        <v>1054</v>
      </c>
      <c r="O81" t="s">
        <v>281</v>
      </c>
      <c r="P81" s="111"/>
      <c r="Q81" s="149" t="s">
        <v>295</v>
      </c>
      <c r="R81" s="76"/>
      <c r="S81" s="76"/>
      <c r="T81" s="76"/>
      <c r="U81" s="76"/>
      <c r="AC81" t="s">
        <v>2</v>
      </c>
      <c r="AD81" s="81"/>
      <c r="AE81" s="81"/>
      <c r="AF81" s="81"/>
      <c r="AG81" s="81"/>
      <c r="AH81" s="81"/>
      <c r="AI81" s="81"/>
      <c r="AJ81" s="81"/>
      <c r="AL81" s="81"/>
      <c r="AM81" s="81"/>
      <c r="AO81" s="435"/>
    </row>
    <row r="82" spans="1:41">
      <c r="D82" t="s">
        <v>79</v>
      </c>
      <c r="E82" t="s">
        <v>68</v>
      </c>
      <c r="F82" s="435" t="s">
        <v>274</v>
      </c>
      <c r="G82" s="435" t="s">
        <v>12</v>
      </c>
      <c r="H82" s="435" t="s">
        <v>2868</v>
      </c>
      <c r="I82" t="s">
        <v>7</v>
      </c>
      <c r="J82" s="435" t="s">
        <v>2646</v>
      </c>
      <c r="K82" s="435" t="str">
        <f t="shared" si="5"/>
        <v>Peterborough &amp; Huntingdon GT1 carry over</v>
      </c>
      <c r="L82" s="96"/>
      <c r="N82" s="436" t="s">
        <v>1054</v>
      </c>
      <c r="O82" t="s">
        <v>281</v>
      </c>
      <c r="P82" s="111"/>
      <c r="Q82" s="832" t="s">
        <v>2715</v>
      </c>
      <c r="R82" s="76"/>
      <c r="S82" s="76"/>
      <c r="T82" s="76"/>
      <c r="U82" s="76"/>
      <c r="AC82" t="s">
        <v>2</v>
      </c>
      <c r="AD82" s="81"/>
      <c r="AE82" s="81"/>
      <c r="AF82" s="81"/>
      <c r="AG82" s="81"/>
      <c r="AH82" s="81"/>
      <c r="AI82" s="81"/>
      <c r="AJ82" s="81"/>
      <c r="AL82" s="81"/>
      <c r="AM82" s="81"/>
    </row>
    <row r="83" spans="1:41">
      <c r="D83" t="s">
        <v>79</v>
      </c>
      <c r="E83" t="s">
        <v>68</v>
      </c>
      <c r="F83" s="435" t="s">
        <v>274</v>
      </c>
      <c r="G83" s="435" t="s">
        <v>12</v>
      </c>
      <c r="H83" s="435" t="s">
        <v>2868</v>
      </c>
      <c r="I83" t="s">
        <v>7</v>
      </c>
      <c r="J83" s="435" t="s">
        <v>2646</v>
      </c>
      <c r="K83" s="435" t="str">
        <f t="shared" si="5"/>
        <v>null</v>
      </c>
      <c r="L83" s="96"/>
      <c r="N83" s="436" t="s">
        <v>1054</v>
      </c>
      <c r="O83" t="s">
        <v>281</v>
      </c>
      <c r="P83" s="111"/>
      <c r="Q83" s="111"/>
      <c r="R83" s="76"/>
      <c r="S83" s="76"/>
      <c r="T83" s="76"/>
      <c r="U83" s="76"/>
      <c r="AC83" t="s">
        <v>2</v>
      </c>
      <c r="AD83" s="81"/>
      <c r="AE83" s="81"/>
      <c r="AF83" s="81"/>
      <c r="AG83" s="81"/>
      <c r="AH83" s="81"/>
      <c r="AI83" s="81"/>
      <c r="AJ83" s="81"/>
      <c r="AL83" s="81"/>
      <c r="AM83" s="81"/>
    </row>
    <row r="84" spans="1:41">
      <c r="K84" s="96"/>
      <c r="L84" s="96"/>
      <c r="R84" s="76"/>
      <c r="S84" s="76"/>
      <c r="T84" s="76"/>
      <c r="U84" s="76"/>
      <c r="AD84" s="80"/>
      <c r="AJ84" s="80"/>
    </row>
    <row r="85" spans="1:41" s="1" customFormat="1" ht="13.9">
      <c r="A85" s="66"/>
      <c r="B85" s="78" t="s">
        <v>2432</v>
      </c>
      <c r="P85" s="127"/>
      <c r="Q85" s="127"/>
    </row>
    <row r="86" spans="1:41" s="435" customFormat="1">
      <c r="P86" s="125"/>
      <c r="Q86" s="125"/>
    </row>
    <row r="87" spans="1:41" s="435" customFormat="1">
      <c r="D87" s="435" t="s">
        <v>79</v>
      </c>
      <c r="E87" s="435" t="s">
        <v>68</v>
      </c>
      <c r="F87" s="435" t="s">
        <v>274</v>
      </c>
      <c r="G87" s="435" t="s">
        <v>12</v>
      </c>
      <c r="H87" s="435" t="s">
        <v>2653</v>
      </c>
      <c r="I87" s="435" t="s">
        <v>7</v>
      </c>
      <c r="J87" s="435" t="s">
        <v>2653</v>
      </c>
      <c r="L87" s="96"/>
      <c r="O87" s="435" t="s">
        <v>3064</v>
      </c>
      <c r="P87" s="111"/>
      <c r="Q87" s="111"/>
      <c r="R87" s="76"/>
      <c r="S87" s="76"/>
      <c r="T87" s="76"/>
      <c r="U87" s="76"/>
      <c r="AC87" s="435" t="s">
        <v>2</v>
      </c>
      <c r="AE87" s="93">
        <f>SUM('6.7 TO_NonOp_Capex'!AE13:AE68)</f>
        <v>0</v>
      </c>
      <c r="AF87" s="93">
        <f>SUM('6.7 TO_NonOp_Capex'!AF13:AF68)</f>
        <v>0</v>
      </c>
      <c r="AG87" s="93">
        <f>SUM('6.7 TO_NonOp_Capex'!AG13:AG68)</f>
        <v>0</v>
      </c>
      <c r="AH87" s="93">
        <f>SUM('6.7 TO_NonOp_Capex'!AH13:AH68)</f>
        <v>0</v>
      </c>
      <c r="AI87" s="93">
        <f>SUM('6.7 TO_NonOp_Capex'!AI13:AI68)</f>
        <v>0</v>
      </c>
      <c r="AL87" s="81"/>
      <c r="AM87" s="81"/>
    </row>
    <row r="88" spans="1:41" s="435" customFormat="1">
      <c r="D88" s="435" t="s">
        <v>185</v>
      </c>
      <c r="E88" s="435" t="s">
        <v>68</v>
      </c>
      <c r="F88" s="435" t="s">
        <v>274</v>
      </c>
      <c r="G88" s="435" t="s">
        <v>12</v>
      </c>
      <c r="H88" s="435" t="s">
        <v>2653</v>
      </c>
      <c r="I88" s="435" t="s">
        <v>7</v>
      </c>
      <c r="J88" s="435" t="s">
        <v>2653</v>
      </c>
      <c r="L88" s="96"/>
      <c r="O88" s="435" t="s">
        <v>3064</v>
      </c>
      <c r="P88" s="111"/>
      <c r="Q88" s="111"/>
      <c r="R88" s="76"/>
      <c r="S88" s="76"/>
      <c r="T88" s="76"/>
      <c r="U88" s="76"/>
      <c r="AC88" s="435" t="s">
        <v>2</v>
      </c>
      <c r="AE88" s="93">
        <f>SUM('6.8 SO_NonOp_Capex'!AE13:AE68)</f>
        <v>0</v>
      </c>
      <c r="AF88" s="93">
        <f>SUM('6.8 SO_NonOp_Capex'!AF13:AF68)</f>
        <v>0</v>
      </c>
      <c r="AG88" s="93">
        <f>SUM('6.8 SO_NonOp_Capex'!AG13:AG68)</f>
        <v>0</v>
      </c>
      <c r="AH88" s="93">
        <f>SUM('6.8 SO_NonOp_Capex'!AH13:AH68)</f>
        <v>0</v>
      </c>
      <c r="AI88" s="93">
        <f>SUM('6.8 SO_NonOp_Capex'!AI13:AI68)</f>
        <v>0</v>
      </c>
      <c r="AL88" s="81"/>
      <c r="AM88" s="81"/>
    </row>
    <row r="89" spans="1:41" s="435" customFormat="1">
      <c r="K89" s="96"/>
      <c r="L89" s="96"/>
      <c r="P89" s="125"/>
      <c r="Q89" s="125"/>
      <c r="R89" s="76"/>
      <c r="S89" s="76"/>
      <c r="T89" s="76"/>
      <c r="U89" s="76"/>
      <c r="AD89" s="80"/>
      <c r="AJ89" s="80"/>
    </row>
    <row r="90" spans="1:41" s="1" customFormat="1" ht="13.9">
      <c r="A90" s="66"/>
      <c r="B90" s="78" t="s">
        <v>2713</v>
      </c>
      <c r="P90" s="127"/>
      <c r="Q90" s="127"/>
    </row>
    <row r="92" spans="1:41">
      <c r="D92" t="s">
        <v>79</v>
      </c>
      <c r="E92" t="s">
        <v>68</v>
      </c>
      <c r="F92" s="435" t="s">
        <v>274</v>
      </c>
      <c r="G92" s="435" t="s">
        <v>12</v>
      </c>
      <c r="H92" s="111"/>
      <c r="I92" t="s">
        <v>7</v>
      </c>
      <c r="J92" s="123"/>
      <c r="K92" s="435" t="str">
        <f t="shared" ref="K92:K95" si="6">IF(Q92="","null",Q92)</f>
        <v>null</v>
      </c>
      <c r="L92" s="96"/>
      <c r="O92" t="s">
        <v>281</v>
      </c>
      <c r="P92" s="111"/>
      <c r="Q92" s="111"/>
      <c r="R92" s="76"/>
      <c r="S92" s="76"/>
      <c r="T92" s="76"/>
      <c r="U92" s="76"/>
      <c r="AC92" t="s">
        <v>2</v>
      </c>
      <c r="AD92" s="81"/>
      <c r="AE92" s="81"/>
      <c r="AF92" s="81"/>
      <c r="AG92" s="81"/>
      <c r="AH92" s="81"/>
      <c r="AI92" s="81"/>
      <c r="AJ92" s="81"/>
      <c r="AL92" s="81"/>
      <c r="AM92" s="81"/>
    </row>
    <row r="93" spans="1:41">
      <c r="D93" t="s">
        <v>79</v>
      </c>
      <c r="E93" t="s">
        <v>68</v>
      </c>
      <c r="F93" s="435" t="s">
        <v>274</v>
      </c>
      <c r="G93" s="435" t="s">
        <v>12</v>
      </c>
      <c r="H93" s="111"/>
      <c r="I93" t="s">
        <v>7</v>
      </c>
      <c r="J93" s="81"/>
      <c r="K93" s="435" t="str">
        <f t="shared" si="6"/>
        <v>null</v>
      </c>
      <c r="L93" s="96"/>
      <c r="O93" t="s">
        <v>281</v>
      </c>
      <c r="P93" s="111"/>
      <c r="Q93" s="111"/>
      <c r="R93" s="76"/>
      <c r="S93" s="76"/>
      <c r="T93" s="76"/>
      <c r="U93" s="76"/>
      <c r="AC93" t="s">
        <v>2</v>
      </c>
      <c r="AD93" s="81"/>
      <c r="AE93" s="81"/>
      <c r="AF93" s="81"/>
      <c r="AG93" s="81"/>
      <c r="AH93" s="81"/>
      <c r="AI93" s="81"/>
      <c r="AJ93" s="81"/>
      <c r="AL93" s="81"/>
      <c r="AM93" s="81"/>
    </row>
    <row r="94" spans="1:41">
      <c r="D94" t="s">
        <v>79</v>
      </c>
      <c r="E94" t="s">
        <v>68</v>
      </c>
      <c r="F94" s="435" t="s">
        <v>274</v>
      </c>
      <c r="G94" s="435" t="s">
        <v>12</v>
      </c>
      <c r="H94" s="111"/>
      <c r="I94" t="s">
        <v>7</v>
      </c>
      <c r="J94" s="81"/>
      <c r="K94" s="435" t="str">
        <f t="shared" si="6"/>
        <v>null</v>
      </c>
      <c r="L94" s="96"/>
      <c r="O94" t="s">
        <v>281</v>
      </c>
      <c r="P94" s="111"/>
      <c r="Q94" s="111"/>
      <c r="R94" s="76"/>
      <c r="S94" s="76"/>
      <c r="T94" s="76"/>
      <c r="U94" s="76"/>
      <c r="AC94" t="s">
        <v>2</v>
      </c>
      <c r="AD94" s="81"/>
      <c r="AE94" s="81"/>
      <c r="AF94" s="81"/>
      <c r="AG94" s="81"/>
      <c r="AH94" s="81"/>
      <c r="AI94" s="81"/>
      <c r="AJ94" s="81"/>
      <c r="AL94" s="81"/>
      <c r="AM94" s="81"/>
    </row>
    <row r="95" spans="1:41">
      <c r="D95" t="s">
        <v>79</v>
      </c>
      <c r="E95" t="s">
        <v>68</v>
      </c>
      <c r="F95" s="435" t="s">
        <v>274</v>
      </c>
      <c r="G95" s="435" t="s">
        <v>12</v>
      </c>
      <c r="H95" s="111"/>
      <c r="I95" t="s">
        <v>7</v>
      </c>
      <c r="J95" s="81"/>
      <c r="K95" s="435" t="str">
        <f t="shared" si="6"/>
        <v>null</v>
      </c>
      <c r="L95" s="96"/>
      <c r="O95" t="s">
        <v>281</v>
      </c>
      <c r="P95" s="111"/>
      <c r="Q95" s="111"/>
      <c r="R95" s="76"/>
      <c r="S95" s="76"/>
      <c r="T95" s="76"/>
      <c r="U95" s="76"/>
      <c r="AC95" t="s">
        <v>2</v>
      </c>
      <c r="AD95" s="81"/>
      <c r="AE95" s="81"/>
      <c r="AF95" s="81"/>
      <c r="AG95" s="81"/>
      <c r="AH95" s="81"/>
      <c r="AI95" s="81"/>
      <c r="AJ95" s="81"/>
      <c r="AL95" s="81"/>
      <c r="AM95" s="81"/>
    </row>
    <row r="97" spans="1:39" s="1" customFormat="1" ht="17.649999999999999">
      <c r="A97" s="2" t="s">
        <v>2714</v>
      </c>
      <c r="B97" s="2"/>
      <c r="P97" s="127"/>
      <c r="Q97" s="127"/>
    </row>
    <row r="99" spans="1:39" s="1" customFormat="1" ht="13.9">
      <c r="A99" s="66"/>
      <c r="B99" s="78" t="s">
        <v>277</v>
      </c>
      <c r="P99" s="127"/>
      <c r="Q99" s="127"/>
    </row>
    <row r="101" spans="1:39">
      <c r="D101" t="s">
        <v>79</v>
      </c>
      <c r="E101" t="s">
        <v>68</v>
      </c>
      <c r="F101" s="435" t="s">
        <v>296</v>
      </c>
      <c r="G101" s="435" t="s">
        <v>12</v>
      </c>
      <c r="H101" t="s">
        <v>276</v>
      </c>
      <c r="I101" t="s">
        <v>7</v>
      </c>
      <c r="J101" t="s">
        <v>277</v>
      </c>
      <c r="K101" s="435" t="str">
        <f t="shared" ref="K101:K104" si="7">IF(Q101="","null",Q101)</f>
        <v>null</v>
      </c>
      <c r="O101" t="s">
        <v>220</v>
      </c>
      <c r="P101" s="111"/>
      <c r="Q101" s="111"/>
      <c r="AC101" t="s">
        <v>2</v>
      </c>
      <c r="AD101" s="81"/>
      <c r="AE101" s="81"/>
      <c r="AF101" s="81"/>
      <c r="AG101" s="81"/>
      <c r="AH101" s="81"/>
      <c r="AI101" s="81"/>
      <c r="AJ101" s="81"/>
      <c r="AL101" s="81"/>
      <c r="AM101" s="81"/>
    </row>
    <row r="102" spans="1:39">
      <c r="D102" t="s">
        <v>79</v>
      </c>
      <c r="E102" t="s">
        <v>68</v>
      </c>
      <c r="F102" s="435" t="s">
        <v>296</v>
      </c>
      <c r="G102" s="435" t="s">
        <v>12</v>
      </c>
      <c r="H102" t="s">
        <v>276</v>
      </c>
      <c r="I102" t="s">
        <v>7</v>
      </c>
      <c r="J102" t="s">
        <v>277</v>
      </c>
      <c r="K102" s="435" t="str">
        <f t="shared" si="7"/>
        <v>null</v>
      </c>
      <c r="O102" t="s">
        <v>220</v>
      </c>
      <c r="P102" s="111"/>
      <c r="Q102" s="111"/>
      <c r="AC102" t="s">
        <v>2</v>
      </c>
      <c r="AD102" s="81"/>
      <c r="AE102" s="81"/>
      <c r="AF102" s="81"/>
      <c r="AG102" s="81"/>
      <c r="AH102" s="81"/>
      <c r="AI102" s="81"/>
      <c r="AJ102" s="81"/>
      <c r="AL102" s="81"/>
      <c r="AM102" s="81"/>
    </row>
    <row r="103" spans="1:39">
      <c r="D103" t="s">
        <v>79</v>
      </c>
      <c r="E103" t="s">
        <v>68</v>
      </c>
      <c r="F103" s="435" t="s">
        <v>296</v>
      </c>
      <c r="G103" s="435" t="s">
        <v>12</v>
      </c>
      <c r="H103" t="s">
        <v>276</v>
      </c>
      <c r="I103" t="s">
        <v>7</v>
      </c>
      <c r="J103" t="s">
        <v>277</v>
      </c>
      <c r="K103" s="435" t="str">
        <f t="shared" si="7"/>
        <v>null</v>
      </c>
      <c r="L103" s="96"/>
      <c r="O103" t="s">
        <v>220</v>
      </c>
      <c r="P103" s="111"/>
      <c r="Q103" s="111"/>
      <c r="R103" s="76"/>
      <c r="S103" s="76"/>
      <c r="T103" s="76"/>
      <c r="U103" s="76"/>
      <c r="AC103" t="s">
        <v>2</v>
      </c>
      <c r="AD103" s="81"/>
      <c r="AE103" s="81"/>
      <c r="AF103" s="81"/>
      <c r="AG103" s="81"/>
      <c r="AH103" s="81"/>
      <c r="AI103" s="81"/>
      <c r="AJ103" s="81"/>
      <c r="AL103" s="81"/>
      <c r="AM103" s="81"/>
    </row>
    <row r="104" spans="1:39">
      <c r="D104" t="s">
        <v>79</v>
      </c>
      <c r="E104" t="s">
        <v>68</v>
      </c>
      <c r="F104" s="435" t="s">
        <v>296</v>
      </c>
      <c r="G104" s="435" t="s">
        <v>12</v>
      </c>
      <c r="H104" t="s">
        <v>276</v>
      </c>
      <c r="I104" t="s">
        <v>7</v>
      </c>
      <c r="J104" t="s">
        <v>277</v>
      </c>
      <c r="K104" s="435" t="str">
        <f t="shared" si="7"/>
        <v>null</v>
      </c>
      <c r="L104" s="96"/>
      <c r="O104" t="s">
        <v>220</v>
      </c>
      <c r="P104" s="111"/>
      <c r="Q104" s="111"/>
      <c r="R104" s="76"/>
      <c r="S104" s="76"/>
      <c r="T104" s="76"/>
      <c r="U104" s="76"/>
      <c r="AC104" t="s">
        <v>2</v>
      </c>
      <c r="AD104" s="81"/>
      <c r="AE104" s="81"/>
      <c r="AF104" s="81"/>
      <c r="AG104" s="81"/>
      <c r="AH104" s="81"/>
      <c r="AI104" s="81"/>
      <c r="AJ104" s="81"/>
      <c r="AL104" s="81"/>
      <c r="AM104" s="81"/>
    </row>
    <row r="106" spans="1:39" s="1" customFormat="1" ht="13.9">
      <c r="A106" s="66"/>
      <c r="B106" s="78" t="s">
        <v>278</v>
      </c>
      <c r="P106" s="127"/>
      <c r="Q106" s="127"/>
    </row>
    <row r="108" spans="1:39">
      <c r="D108" t="s">
        <v>79</v>
      </c>
      <c r="E108" t="s">
        <v>68</v>
      </c>
      <c r="F108" s="435" t="s">
        <v>296</v>
      </c>
      <c r="G108" s="435" t="s">
        <v>12</v>
      </c>
      <c r="H108" t="s">
        <v>276</v>
      </c>
      <c r="I108" t="s">
        <v>7</v>
      </c>
      <c r="J108" t="s">
        <v>278</v>
      </c>
      <c r="K108" s="435" t="str">
        <f t="shared" ref="K108:K111" si="8">IF(Q108="","null",Q108)</f>
        <v>null</v>
      </c>
      <c r="O108" t="s">
        <v>220</v>
      </c>
      <c r="P108" s="111"/>
      <c r="Q108" s="111"/>
      <c r="AC108" t="s">
        <v>2</v>
      </c>
      <c r="AD108" s="81"/>
      <c r="AE108" s="81"/>
      <c r="AF108" s="81"/>
      <c r="AG108" s="81"/>
      <c r="AH108" s="81"/>
      <c r="AI108" s="81"/>
      <c r="AJ108" s="81"/>
      <c r="AL108" s="81"/>
      <c r="AM108" s="81"/>
    </row>
    <row r="109" spans="1:39">
      <c r="D109" t="s">
        <v>79</v>
      </c>
      <c r="E109" t="s">
        <v>68</v>
      </c>
      <c r="F109" s="435" t="s">
        <v>296</v>
      </c>
      <c r="G109" s="435" t="s">
        <v>12</v>
      </c>
      <c r="H109" t="s">
        <v>276</v>
      </c>
      <c r="I109" t="s">
        <v>7</v>
      </c>
      <c r="J109" t="s">
        <v>278</v>
      </c>
      <c r="K109" s="435" t="str">
        <f t="shared" si="8"/>
        <v>null</v>
      </c>
      <c r="O109" t="s">
        <v>220</v>
      </c>
      <c r="P109" s="111"/>
      <c r="Q109" s="111"/>
      <c r="AC109" t="s">
        <v>2</v>
      </c>
      <c r="AD109" s="81"/>
      <c r="AE109" s="81"/>
      <c r="AF109" s="81"/>
      <c r="AG109" s="81"/>
      <c r="AH109" s="81"/>
      <c r="AI109" s="81"/>
      <c r="AJ109" s="81"/>
      <c r="AL109" s="81"/>
      <c r="AM109" s="81"/>
    </row>
    <row r="110" spans="1:39">
      <c r="D110" t="s">
        <v>79</v>
      </c>
      <c r="E110" t="s">
        <v>68</v>
      </c>
      <c r="F110" s="435" t="s">
        <v>296</v>
      </c>
      <c r="G110" s="435" t="s">
        <v>12</v>
      </c>
      <c r="H110" t="s">
        <v>276</v>
      </c>
      <c r="I110" t="s">
        <v>7</v>
      </c>
      <c r="J110" t="s">
        <v>278</v>
      </c>
      <c r="K110" s="435" t="str">
        <f t="shared" si="8"/>
        <v>null</v>
      </c>
      <c r="L110" s="96"/>
      <c r="O110" t="s">
        <v>220</v>
      </c>
      <c r="P110" s="111"/>
      <c r="Q110" s="111"/>
      <c r="R110" s="76"/>
      <c r="S110" s="76"/>
      <c r="T110" s="76"/>
      <c r="U110" s="76"/>
      <c r="AC110" t="s">
        <v>2</v>
      </c>
      <c r="AD110" s="81"/>
      <c r="AE110" s="81"/>
      <c r="AF110" s="81"/>
      <c r="AG110" s="81"/>
      <c r="AH110" s="81"/>
      <c r="AI110" s="81"/>
      <c r="AJ110" s="81"/>
      <c r="AL110" s="81"/>
      <c r="AM110" s="81"/>
    </row>
    <row r="111" spans="1:39">
      <c r="D111" t="s">
        <v>79</v>
      </c>
      <c r="E111" t="s">
        <v>68</v>
      </c>
      <c r="F111" s="435" t="s">
        <v>296</v>
      </c>
      <c r="G111" s="435" t="s">
        <v>12</v>
      </c>
      <c r="H111" t="s">
        <v>276</v>
      </c>
      <c r="I111" t="s">
        <v>7</v>
      </c>
      <c r="J111" t="s">
        <v>278</v>
      </c>
      <c r="K111" s="435" t="str">
        <f t="shared" si="8"/>
        <v>null</v>
      </c>
      <c r="L111" s="96"/>
      <c r="O111" t="s">
        <v>220</v>
      </c>
      <c r="P111" s="111"/>
      <c r="Q111" s="111"/>
      <c r="R111" s="76"/>
      <c r="S111" s="76"/>
      <c r="T111" s="76"/>
      <c r="U111" s="76"/>
      <c r="AC111" t="s">
        <v>2</v>
      </c>
      <c r="AD111" s="81"/>
      <c r="AE111" s="81"/>
      <c r="AF111" s="81"/>
      <c r="AG111" s="81"/>
      <c r="AH111" s="81"/>
      <c r="AI111" s="81"/>
      <c r="AJ111" s="81"/>
      <c r="AL111" s="81"/>
      <c r="AM111" s="81"/>
    </row>
    <row r="113" spans="1:39" s="1" customFormat="1" ht="13.9">
      <c r="A113" s="66"/>
      <c r="B113" s="78" t="s">
        <v>279</v>
      </c>
      <c r="P113" s="127"/>
      <c r="Q113" s="127"/>
    </row>
    <row r="115" spans="1:39">
      <c r="D115" t="s">
        <v>79</v>
      </c>
      <c r="E115" t="s">
        <v>68</v>
      </c>
      <c r="F115" s="435" t="s">
        <v>296</v>
      </c>
      <c r="G115" s="435" t="s">
        <v>12</v>
      </c>
      <c r="H115" t="s">
        <v>276</v>
      </c>
      <c r="I115" t="s">
        <v>7</v>
      </c>
      <c r="J115" t="s">
        <v>279</v>
      </c>
      <c r="K115" s="435" t="str">
        <f t="shared" ref="K115:K118" si="9">IF(Q115="","null",Q115)</f>
        <v>null</v>
      </c>
      <c r="P115" s="111"/>
      <c r="Q115" s="111"/>
      <c r="AC115" t="s">
        <v>2</v>
      </c>
      <c r="AD115" s="81"/>
      <c r="AE115" s="81"/>
      <c r="AF115" s="81"/>
      <c r="AG115" s="81"/>
      <c r="AH115" s="81"/>
      <c r="AI115" s="81"/>
      <c r="AJ115" s="81"/>
      <c r="AL115" s="81"/>
      <c r="AM115" s="81"/>
    </row>
    <row r="116" spans="1:39">
      <c r="D116" t="s">
        <v>79</v>
      </c>
      <c r="E116" t="s">
        <v>68</v>
      </c>
      <c r="F116" s="435" t="s">
        <v>296</v>
      </c>
      <c r="G116" s="435" t="s">
        <v>12</v>
      </c>
      <c r="H116" t="s">
        <v>276</v>
      </c>
      <c r="I116" t="s">
        <v>7</v>
      </c>
      <c r="J116" t="s">
        <v>279</v>
      </c>
      <c r="K116" s="435" t="str">
        <f t="shared" si="9"/>
        <v>null</v>
      </c>
      <c r="P116" s="111"/>
      <c r="Q116" s="111"/>
      <c r="AC116" t="s">
        <v>2</v>
      </c>
      <c r="AD116" s="81"/>
      <c r="AE116" s="81"/>
      <c r="AF116" s="81"/>
      <c r="AG116" s="81"/>
      <c r="AH116" s="81"/>
      <c r="AI116" s="81"/>
      <c r="AJ116" s="81"/>
      <c r="AL116" s="81"/>
      <c r="AM116" s="81"/>
    </row>
    <row r="117" spans="1:39">
      <c r="D117" t="s">
        <v>79</v>
      </c>
      <c r="E117" t="s">
        <v>68</v>
      </c>
      <c r="F117" s="435" t="s">
        <v>296</v>
      </c>
      <c r="G117" s="435" t="s">
        <v>12</v>
      </c>
      <c r="H117" t="s">
        <v>276</v>
      </c>
      <c r="I117" t="s">
        <v>7</v>
      </c>
      <c r="J117" t="s">
        <v>279</v>
      </c>
      <c r="K117" s="435" t="str">
        <f t="shared" si="9"/>
        <v>null</v>
      </c>
      <c r="L117" s="96"/>
      <c r="P117" s="111"/>
      <c r="Q117" s="111"/>
      <c r="R117" s="76"/>
      <c r="S117" s="76"/>
      <c r="T117" s="76"/>
      <c r="U117" s="76"/>
      <c r="AC117" t="s">
        <v>2</v>
      </c>
      <c r="AD117" s="81"/>
      <c r="AE117" s="81"/>
      <c r="AF117" s="81"/>
      <c r="AG117" s="81"/>
      <c r="AH117" s="81"/>
      <c r="AI117" s="81"/>
      <c r="AJ117" s="81"/>
      <c r="AL117" s="81"/>
      <c r="AM117" s="81"/>
    </row>
    <row r="118" spans="1:39">
      <c r="D118" t="s">
        <v>79</v>
      </c>
      <c r="E118" t="s">
        <v>68</v>
      </c>
      <c r="F118" s="435" t="s">
        <v>296</v>
      </c>
      <c r="G118" s="435" t="s">
        <v>12</v>
      </c>
      <c r="H118" t="s">
        <v>276</v>
      </c>
      <c r="I118" t="s">
        <v>7</v>
      </c>
      <c r="J118" t="s">
        <v>279</v>
      </c>
      <c r="K118" s="435" t="str">
        <f t="shared" si="9"/>
        <v>null</v>
      </c>
      <c r="L118" s="96"/>
      <c r="P118" s="111"/>
      <c r="Q118" s="111"/>
      <c r="R118" s="76"/>
      <c r="S118" s="76"/>
      <c r="T118" s="76"/>
      <c r="U118" s="76"/>
      <c r="AC118" t="s">
        <v>2</v>
      </c>
      <c r="AD118" s="81"/>
      <c r="AE118" s="81"/>
      <c r="AF118" s="81"/>
      <c r="AG118" s="81"/>
      <c r="AH118" s="81"/>
      <c r="AI118" s="81"/>
      <c r="AJ118" s="81"/>
      <c r="AL118" s="81"/>
      <c r="AM118" s="81"/>
    </row>
    <row r="120" spans="1:39" s="1" customFormat="1" ht="13.9">
      <c r="A120" s="66"/>
      <c r="B120" s="78" t="s">
        <v>275</v>
      </c>
      <c r="P120" s="127"/>
      <c r="Q120" s="127"/>
    </row>
    <row r="122" spans="1:39">
      <c r="D122" t="s">
        <v>79</v>
      </c>
      <c r="E122" t="s">
        <v>68</v>
      </c>
      <c r="F122" s="435" t="s">
        <v>296</v>
      </c>
      <c r="G122" s="435" t="s">
        <v>12</v>
      </c>
      <c r="H122" t="s">
        <v>276</v>
      </c>
      <c r="I122" t="s">
        <v>7</v>
      </c>
      <c r="J122" t="s">
        <v>275</v>
      </c>
      <c r="K122" s="435" t="str">
        <f t="shared" ref="K122:K125" si="10">IF(Q122="","null",Q122)</f>
        <v>null</v>
      </c>
      <c r="P122" s="111"/>
      <c r="Q122" s="128"/>
      <c r="AC122" t="s">
        <v>2</v>
      </c>
      <c r="AD122" s="81"/>
      <c r="AE122" s="81"/>
      <c r="AF122" s="81"/>
      <c r="AG122" s="81"/>
      <c r="AH122" s="81"/>
      <c r="AI122" s="81"/>
      <c r="AJ122" s="81"/>
      <c r="AL122" s="81"/>
      <c r="AM122" s="81"/>
    </row>
    <row r="123" spans="1:39">
      <c r="D123" t="s">
        <v>79</v>
      </c>
      <c r="E123" t="s">
        <v>68</v>
      </c>
      <c r="F123" s="435" t="s">
        <v>296</v>
      </c>
      <c r="G123" s="435" t="s">
        <v>12</v>
      </c>
      <c r="H123" t="s">
        <v>276</v>
      </c>
      <c r="I123" t="s">
        <v>7</v>
      </c>
      <c r="J123" t="s">
        <v>275</v>
      </c>
      <c r="K123" s="435" t="str">
        <f t="shared" si="10"/>
        <v>null</v>
      </c>
      <c r="P123" s="111"/>
      <c r="Q123" s="128"/>
      <c r="AC123" t="s">
        <v>2</v>
      </c>
      <c r="AD123" s="81"/>
      <c r="AE123" s="81"/>
      <c r="AF123" s="81"/>
      <c r="AG123" s="81"/>
      <c r="AH123" s="81"/>
      <c r="AI123" s="81"/>
      <c r="AJ123" s="81"/>
      <c r="AL123" s="81"/>
      <c r="AM123" s="81"/>
    </row>
    <row r="124" spans="1:39">
      <c r="D124" t="s">
        <v>79</v>
      </c>
      <c r="E124" t="s">
        <v>68</v>
      </c>
      <c r="F124" s="435" t="s">
        <v>296</v>
      </c>
      <c r="G124" s="435" t="s">
        <v>12</v>
      </c>
      <c r="H124" t="s">
        <v>276</v>
      </c>
      <c r="I124" t="s">
        <v>7</v>
      </c>
      <c r="J124" t="s">
        <v>275</v>
      </c>
      <c r="K124" s="435" t="str">
        <f t="shared" si="10"/>
        <v>null</v>
      </c>
      <c r="L124" s="96"/>
      <c r="P124" s="111"/>
      <c r="Q124" s="111"/>
      <c r="R124" s="76"/>
      <c r="S124" s="76"/>
      <c r="T124" s="76"/>
      <c r="U124" s="76"/>
      <c r="AC124" t="s">
        <v>2</v>
      </c>
      <c r="AD124" s="81"/>
      <c r="AE124" s="81"/>
      <c r="AF124" s="81"/>
      <c r="AG124" s="81"/>
      <c r="AH124" s="81"/>
      <c r="AI124" s="81"/>
      <c r="AJ124" s="81"/>
      <c r="AL124" s="81"/>
      <c r="AM124" s="81"/>
    </row>
    <row r="125" spans="1:39">
      <c r="D125" t="s">
        <v>79</v>
      </c>
      <c r="E125" t="s">
        <v>68</v>
      </c>
      <c r="F125" s="435" t="s">
        <v>296</v>
      </c>
      <c r="G125" s="435" t="s">
        <v>12</v>
      </c>
      <c r="H125" t="s">
        <v>276</v>
      </c>
      <c r="I125" t="s">
        <v>7</v>
      </c>
      <c r="J125" t="s">
        <v>275</v>
      </c>
      <c r="K125" s="435" t="str">
        <f t="shared" si="10"/>
        <v>null</v>
      </c>
      <c r="L125" s="96"/>
      <c r="P125" s="111"/>
      <c r="Q125" s="111"/>
      <c r="R125" s="76"/>
      <c r="S125" s="76"/>
      <c r="T125" s="76"/>
      <c r="U125" s="76"/>
      <c r="AC125" t="s">
        <v>2</v>
      </c>
      <c r="AD125" s="81"/>
      <c r="AE125" s="81"/>
      <c r="AF125" s="81"/>
      <c r="AG125" s="81"/>
      <c r="AH125" s="81"/>
      <c r="AI125" s="81"/>
      <c r="AJ125" s="81"/>
      <c r="AL125" s="81"/>
      <c r="AM125" s="81"/>
    </row>
    <row r="127" spans="1:39" s="1" customFormat="1" ht="13.9">
      <c r="A127" s="66"/>
      <c r="B127" s="78" t="s">
        <v>280</v>
      </c>
      <c r="P127" s="127"/>
      <c r="Q127" s="127"/>
    </row>
    <row r="129" spans="1:39">
      <c r="D129" t="s">
        <v>79</v>
      </c>
      <c r="E129" t="s">
        <v>68</v>
      </c>
      <c r="F129" s="435" t="s">
        <v>296</v>
      </c>
      <c r="G129" s="435" t="s">
        <v>12</v>
      </c>
      <c r="H129" s="435" t="s">
        <v>2868</v>
      </c>
      <c r="I129" t="s">
        <v>7</v>
      </c>
      <c r="J129" t="s">
        <v>280</v>
      </c>
      <c r="K129" s="435" t="str">
        <f t="shared" ref="K129:K135" si="11">IF(Q129="","null",Q129)</f>
        <v>Wormington</v>
      </c>
      <c r="L129" s="96"/>
      <c r="N129" t="s">
        <v>280</v>
      </c>
      <c r="O129" t="s">
        <v>218</v>
      </c>
      <c r="P129" s="111"/>
      <c r="Q129" s="149" t="s">
        <v>297</v>
      </c>
      <c r="R129" s="76"/>
      <c r="S129" s="76"/>
      <c r="T129" s="76"/>
      <c r="U129" s="76"/>
      <c r="AC129" t="s">
        <v>2</v>
      </c>
      <c r="AD129" s="93">
        <f>SUMIFS('6.2_Projects'!AD$9:AD$195,'6.2_Projects'!$F$9:$F$195,$F129,'6.2_Projects'!$Q$9:$Q$195,$Q129)</f>
        <v>0</v>
      </c>
      <c r="AE129" s="93">
        <f>SUMIFS('6.2_Projects'!AE$9:AE$195,'6.2_Projects'!$F$9:$F$195,$F129,'6.2_Projects'!$Q$9:$Q$195,$Q129)</f>
        <v>0</v>
      </c>
      <c r="AF129" s="93">
        <f>SUMIFS('6.2_Projects'!AF$9:AF$195,'6.2_Projects'!$F$9:$F$195,$F129,'6.2_Projects'!$Q$9:$Q$195,$Q129)</f>
        <v>0</v>
      </c>
      <c r="AG129" s="93">
        <f>SUMIFS('6.2_Projects'!AG$9:AG$195,'6.2_Projects'!$F$9:$F$195,$F129,'6.2_Projects'!$Q$9:$Q$195,$Q129)</f>
        <v>0</v>
      </c>
      <c r="AH129" s="93">
        <f>SUMIFS('6.2_Projects'!AH$9:AH$195,'6.2_Projects'!$F$9:$F$195,$F129,'6.2_Projects'!$Q$9:$Q$195,$Q129)</f>
        <v>0</v>
      </c>
      <c r="AI129" s="93">
        <f>SUMIFS('6.2_Projects'!AI$9:AI$195,'6.2_Projects'!$F$9:$F$195,$F129,'6.2_Projects'!$Q$9:$Q$195,$Q129)</f>
        <v>0</v>
      </c>
      <c r="AJ129" s="93">
        <f>SUMIFS('6.2_Projects'!AJ$9:AJ$195,'6.2_Projects'!$F$9:$F$195,$F129,'6.2_Projects'!$Q$9:$Q$195,$Q129)</f>
        <v>0</v>
      </c>
      <c r="AK129" s="435"/>
      <c r="AL129" s="93">
        <f>SUMIFS('6.2_Projects'!AD$9:AD$195,'6.2_Projects'!$F$9:$F$195,$F129,'6.2_Projects'!$Q$9:$Q$195,$Q129,'6.2_Projects'!$S$9:$S$195,AL$7)+SUMIFS('6.2_Projects'!AE$9:AE$195,'6.2_Projects'!$F$9:$F$195,$F129,'6.2_Projects'!$Q$9:$Q$195,$Q129,'6.2_Projects'!$S$9:$S$195,AL$7)+SUMIFS('6.2_Projects'!AF$9:AF$195,'6.2_Projects'!$F$9:$F$195,$F129,'6.2_Projects'!$Q$9:$Q$195,$Q129,'6.2_Projects'!$S$9:$S$195,AL$7)+SUMIFS('6.2_Projects'!AG$9:AG$195,'6.2_Projects'!$F$9:$F$195,$F129,'6.2_Projects'!$Q$9:$Q$195,$Q129,'6.2_Projects'!$S$9:$S$195,AL$7)+SUMIFS('6.2_Projects'!AH$9:AH$195,'6.2_Projects'!$F$9:$F$195,$F129,'6.2_Projects'!$Q$9:$Q$195,$Q129,'6.2_Projects'!$S$9:$S$195,AL$7)+SUMIFS('6.2_Projects'!AI$9:AI$195,'6.2_Projects'!$F$9:$F$195,$F129,'6.2_Projects'!$Q$9:$Q$195,$Q129,'6.2_Projects'!$S$9:$S$195,AL$7)+SUMIFS('6.2_Projects'!AJ$9:AJ$195,'6.2_Projects'!$F$9:$F$195,$F129,'6.2_Projects'!$Q$9:$Q$195,$Q129,'6.2_Projects'!$S$9:$S$195,AL$7)</f>
        <v>0</v>
      </c>
      <c r="AM129" s="93">
        <f>SUMIFS('6.2_Projects'!AD$9:AD$195,'6.2_Projects'!$F$9:$F$195,$F129,'6.2_Projects'!$Q$9:$Q$195,$Q129,'6.2_Projects'!$S$9:$S$195,AM$7)+SUMIFS('6.2_Projects'!AE$9:AE$195,'6.2_Projects'!$F$9:$F$195,$F129,'6.2_Projects'!$Q$9:$Q$195,$Q129,'6.2_Projects'!$S$9:$S$195,AM$7)+SUMIFS('6.2_Projects'!AF$9:AF$195,'6.2_Projects'!$F$9:$F$195,$F129,'6.2_Projects'!$Q$9:$Q$195,$Q129,'6.2_Projects'!$S$9:$S$195,AM$7)+SUMIFS('6.2_Projects'!AG$9:AG$195,'6.2_Projects'!$F$9:$F$195,$F129,'6.2_Projects'!$Q$9:$Q$195,$Q129,'6.2_Projects'!$S$9:$S$195,AM$7)+SUMIFS('6.2_Projects'!AH$9:AH$195,'6.2_Projects'!$F$9:$F$195,$F129,'6.2_Projects'!$Q$9:$Q$195,$Q129,'6.2_Projects'!$S$9:$S$195,AM$7)+SUMIFS('6.2_Projects'!AI$9:AI$195,'6.2_Projects'!$F$9:$F$195,$F129,'6.2_Projects'!$Q$9:$Q$195,$Q129,'6.2_Projects'!$S$9:$S$195,AM$7)+SUMIFS('6.2_Projects'!AJ$9:AJ$195,'6.2_Projects'!$F$9:$F$195,$F129,'6.2_Projects'!$Q$9:$Q$195,$Q129,'6.2_Projects'!$S$9:$S$195,AM$7)</f>
        <v>0</v>
      </c>
    </row>
    <row r="130" spans="1:39">
      <c r="D130" t="s">
        <v>79</v>
      </c>
      <c r="E130" t="s">
        <v>68</v>
      </c>
      <c r="F130" s="435" t="s">
        <v>296</v>
      </c>
      <c r="G130" s="435" t="s">
        <v>12</v>
      </c>
      <c r="H130" s="435" t="s">
        <v>2868</v>
      </c>
      <c r="I130" t="s">
        <v>7</v>
      </c>
      <c r="J130" t="s">
        <v>280</v>
      </c>
      <c r="K130" s="435" t="str">
        <f t="shared" si="11"/>
        <v>Kings Lynn</v>
      </c>
      <c r="L130" s="96"/>
      <c r="N130" t="s">
        <v>280</v>
      </c>
      <c r="O130" t="s">
        <v>218</v>
      </c>
      <c r="P130" s="111"/>
      <c r="Q130" s="149" t="s">
        <v>290</v>
      </c>
      <c r="R130" s="76"/>
      <c r="S130" s="76"/>
      <c r="T130" s="76"/>
      <c r="U130" s="76"/>
      <c r="AC130" t="s">
        <v>2</v>
      </c>
      <c r="AD130" s="93">
        <f>SUMIFS('6.2_Projects'!AD$9:AD$195,'6.2_Projects'!$F$9:$F$195,$F130,'6.2_Projects'!$Q$9:$Q$195,$Q130)</f>
        <v>0</v>
      </c>
      <c r="AE130" s="93">
        <f>SUMIFS('6.2_Projects'!AE$9:AE$195,'6.2_Projects'!$F$9:$F$195,$F130,'6.2_Projects'!$Q$9:$Q$195,$Q130)</f>
        <v>0</v>
      </c>
      <c r="AF130" s="93">
        <f>SUMIFS('6.2_Projects'!AF$9:AF$195,'6.2_Projects'!$F$9:$F$195,$F130,'6.2_Projects'!$Q$9:$Q$195,$Q130)</f>
        <v>0</v>
      </c>
      <c r="AG130" s="93">
        <f>SUMIFS('6.2_Projects'!AG$9:AG$195,'6.2_Projects'!$F$9:$F$195,$F130,'6.2_Projects'!$Q$9:$Q$195,$Q130)</f>
        <v>0</v>
      </c>
      <c r="AH130" s="93">
        <f>SUMIFS('6.2_Projects'!AH$9:AH$195,'6.2_Projects'!$F$9:$F$195,$F130,'6.2_Projects'!$Q$9:$Q$195,$Q130)</f>
        <v>0</v>
      </c>
      <c r="AI130" s="93">
        <f>SUMIFS('6.2_Projects'!AI$9:AI$195,'6.2_Projects'!$F$9:$F$195,$F130,'6.2_Projects'!$Q$9:$Q$195,$Q130)</f>
        <v>0</v>
      </c>
      <c r="AJ130" s="93">
        <f>SUMIFS('6.2_Projects'!AJ$9:AJ$195,'6.2_Projects'!$F$9:$F$195,$F130,'6.2_Projects'!$Q$9:$Q$195,$Q130)</f>
        <v>0</v>
      </c>
      <c r="AK130" s="435"/>
      <c r="AL130" s="93">
        <f>SUMIFS('6.2_Projects'!AD$9:AD$195,'6.2_Projects'!$F$9:$F$195,$F130,'6.2_Projects'!$Q$9:$Q$195,$Q130,'6.2_Projects'!$S$9:$S$195,AL$7)+SUMIFS('6.2_Projects'!AE$9:AE$195,'6.2_Projects'!$F$9:$F$195,$F130,'6.2_Projects'!$Q$9:$Q$195,$Q130,'6.2_Projects'!$S$9:$S$195,AL$7)+SUMIFS('6.2_Projects'!AF$9:AF$195,'6.2_Projects'!$F$9:$F$195,$F130,'6.2_Projects'!$Q$9:$Q$195,$Q130,'6.2_Projects'!$S$9:$S$195,AL$7)+SUMIFS('6.2_Projects'!AG$9:AG$195,'6.2_Projects'!$F$9:$F$195,$F130,'6.2_Projects'!$Q$9:$Q$195,$Q130,'6.2_Projects'!$S$9:$S$195,AL$7)+SUMIFS('6.2_Projects'!AH$9:AH$195,'6.2_Projects'!$F$9:$F$195,$F130,'6.2_Projects'!$Q$9:$Q$195,$Q130,'6.2_Projects'!$S$9:$S$195,AL$7)+SUMIFS('6.2_Projects'!AI$9:AI$195,'6.2_Projects'!$F$9:$F$195,$F130,'6.2_Projects'!$Q$9:$Q$195,$Q130,'6.2_Projects'!$S$9:$S$195,AL$7)+SUMIFS('6.2_Projects'!AJ$9:AJ$195,'6.2_Projects'!$F$9:$F$195,$F130,'6.2_Projects'!$Q$9:$Q$195,$Q130,'6.2_Projects'!$S$9:$S$195,AL$7)</f>
        <v>0</v>
      </c>
      <c r="AM130" s="93">
        <f>SUMIFS('6.2_Projects'!AD$9:AD$195,'6.2_Projects'!$F$9:$F$195,$F130,'6.2_Projects'!$Q$9:$Q$195,$Q130,'6.2_Projects'!$S$9:$S$195,AM$7)+SUMIFS('6.2_Projects'!AE$9:AE$195,'6.2_Projects'!$F$9:$F$195,$F130,'6.2_Projects'!$Q$9:$Q$195,$Q130,'6.2_Projects'!$S$9:$S$195,AM$7)+SUMIFS('6.2_Projects'!AF$9:AF$195,'6.2_Projects'!$F$9:$F$195,$F130,'6.2_Projects'!$Q$9:$Q$195,$Q130,'6.2_Projects'!$S$9:$S$195,AM$7)+SUMIFS('6.2_Projects'!AG$9:AG$195,'6.2_Projects'!$F$9:$F$195,$F130,'6.2_Projects'!$Q$9:$Q$195,$Q130,'6.2_Projects'!$S$9:$S$195,AM$7)+SUMIFS('6.2_Projects'!AH$9:AH$195,'6.2_Projects'!$F$9:$F$195,$F130,'6.2_Projects'!$Q$9:$Q$195,$Q130,'6.2_Projects'!$S$9:$S$195,AM$7)+SUMIFS('6.2_Projects'!AI$9:AI$195,'6.2_Projects'!$F$9:$F$195,$F130,'6.2_Projects'!$Q$9:$Q$195,$Q130,'6.2_Projects'!$S$9:$S$195,AM$7)+SUMIFS('6.2_Projects'!AJ$9:AJ$195,'6.2_Projects'!$F$9:$F$195,$F130,'6.2_Projects'!$Q$9:$Q$195,$Q130,'6.2_Projects'!$S$9:$S$195,AM$7)</f>
        <v>0</v>
      </c>
    </row>
    <row r="131" spans="1:39">
      <c r="D131" t="s">
        <v>79</v>
      </c>
      <c r="E131" t="s">
        <v>68</v>
      </c>
      <c r="F131" s="435" t="s">
        <v>296</v>
      </c>
      <c r="G131" s="435" t="s">
        <v>12</v>
      </c>
      <c r="H131" s="435" t="s">
        <v>2868</v>
      </c>
      <c r="I131" t="s">
        <v>7</v>
      </c>
      <c r="J131" t="s">
        <v>280</v>
      </c>
      <c r="K131" s="435" t="str">
        <f t="shared" si="11"/>
        <v>Peterborough</v>
      </c>
      <c r="L131" s="96"/>
      <c r="N131" t="s">
        <v>280</v>
      </c>
      <c r="O131" t="s">
        <v>218</v>
      </c>
      <c r="P131" s="111"/>
      <c r="Q131" s="149" t="s">
        <v>254</v>
      </c>
      <c r="R131" s="76"/>
      <c r="S131" s="76"/>
      <c r="T131" s="76"/>
      <c r="U131" s="76"/>
      <c r="AC131" t="s">
        <v>2</v>
      </c>
      <c r="AD131" s="93">
        <f>SUMIFS('6.2_Projects'!AD$9:AD$195,'6.2_Projects'!$F$9:$F$195,$F131,'6.2_Projects'!$Q$9:$Q$195,$Q131)</f>
        <v>0</v>
      </c>
      <c r="AE131" s="93">
        <f>SUMIFS('6.2_Projects'!AE$9:AE$195,'6.2_Projects'!$F$9:$F$195,$F131,'6.2_Projects'!$Q$9:$Q$195,$Q131)</f>
        <v>0</v>
      </c>
      <c r="AF131" s="93">
        <f>SUMIFS('6.2_Projects'!AF$9:AF$195,'6.2_Projects'!$F$9:$F$195,$F131,'6.2_Projects'!$Q$9:$Q$195,$Q131)</f>
        <v>0</v>
      </c>
      <c r="AG131" s="93">
        <f>SUMIFS('6.2_Projects'!AG$9:AG$195,'6.2_Projects'!$F$9:$F$195,$F131,'6.2_Projects'!$Q$9:$Q$195,$Q131)</f>
        <v>0</v>
      </c>
      <c r="AH131" s="93">
        <f>SUMIFS('6.2_Projects'!AH$9:AH$195,'6.2_Projects'!$F$9:$F$195,$F131,'6.2_Projects'!$Q$9:$Q$195,$Q131)</f>
        <v>0</v>
      </c>
      <c r="AI131" s="93">
        <f>SUMIFS('6.2_Projects'!AI$9:AI$195,'6.2_Projects'!$F$9:$F$195,$F131,'6.2_Projects'!$Q$9:$Q$195,$Q131)</f>
        <v>0</v>
      </c>
      <c r="AJ131" s="93">
        <f>SUMIFS('6.2_Projects'!AJ$9:AJ$195,'6.2_Projects'!$F$9:$F$195,$F131,'6.2_Projects'!$Q$9:$Q$195,$Q131)</f>
        <v>0</v>
      </c>
      <c r="AK131" s="435"/>
      <c r="AL131" s="93">
        <f>SUMIFS('6.2_Projects'!AD$9:AD$195,'6.2_Projects'!$F$9:$F$195,$F131,'6.2_Projects'!$Q$9:$Q$195,$Q131,'6.2_Projects'!$S$9:$S$195,AL$7)+SUMIFS('6.2_Projects'!AE$9:AE$195,'6.2_Projects'!$F$9:$F$195,$F131,'6.2_Projects'!$Q$9:$Q$195,$Q131,'6.2_Projects'!$S$9:$S$195,AL$7)+SUMIFS('6.2_Projects'!AF$9:AF$195,'6.2_Projects'!$F$9:$F$195,$F131,'6.2_Projects'!$Q$9:$Q$195,$Q131,'6.2_Projects'!$S$9:$S$195,AL$7)+SUMIFS('6.2_Projects'!AG$9:AG$195,'6.2_Projects'!$F$9:$F$195,$F131,'6.2_Projects'!$Q$9:$Q$195,$Q131,'6.2_Projects'!$S$9:$S$195,AL$7)+SUMIFS('6.2_Projects'!AH$9:AH$195,'6.2_Projects'!$F$9:$F$195,$F131,'6.2_Projects'!$Q$9:$Q$195,$Q131,'6.2_Projects'!$S$9:$S$195,AL$7)+SUMIFS('6.2_Projects'!AI$9:AI$195,'6.2_Projects'!$F$9:$F$195,$F131,'6.2_Projects'!$Q$9:$Q$195,$Q131,'6.2_Projects'!$S$9:$S$195,AL$7)+SUMIFS('6.2_Projects'!AJ$9:AJ$195,'6.2_Projects'!$F$9:$F$195,$F131,'6.2_Projects'!$Q$9:$Q$195,$Q131,'6.2_Projects'!$S$9:$S$195,AL$7)</f>
        <v>0</v>
      </c>
      <c r="AM131" s="93">
        <f>SUMIFS('6.2_Projects'!AD$9:AD$195,'6.2_Projects'!$F$9:$F$195,$F131,'6.2_Projects'!$Q$9:$Q$195,$Q131,'6.2_Projects'!$S$9:$S$195,AM$7)+SUMIFS('6.2_Projects'!AE$9:AE$195,'6.2_Projects'!$F$9:$F$195,$F131,'6.2_Projects'!$Q$9:$Q$195,$Q131,'6.2_Projects'!$S$9:$S$195,AM$7)+SUMIFS('6.2_Projects'!AF$9:AF$195,'6.2_Projects'!$F$9:$F$195,$F131,'6.2_Projects'!$Q$9:$Q$195,$Q131,'6.2_Projects'!$S$9:$S$195,AM$7)+SUMIFS('6.2_Projects'!AG$9:AG$195,'6.2_Projects'!$F$9:$F$195,$F131,'6.2_Projects'!$Q$9:$Q$195,$Q131,'6.2_Projects'!$S$9:$S$195,AM$7)+SUMIFS('6.2_Projects'!AH$9:AH$195,'6.2_Projects'!$F$9:$F$195,$F131,'6.2_Projects'!$Q$9:$Q$195,$Q131,'6.2_Projects'!$S$9:$S$195,AM$7)+SUMIFS('6.2_Projects'!AI$9:AI$195,'6.2_Projects'!$F$9:$F$195,$F131,'6.2_Projects'!$Q$9:$Q$195,$Q131,'6.2_Projects'!$S$9:$S$195,AM$7)+SUMIFS('6.2_Projects'!AJ$9:AJ$195,'6.2_Projects'!$F$9:$F$195,$F131,'6.2_Projects'!$Q$9:$Q$195,$Q131,'6.2_Projects'!$S$9:$S$195,AM$7)</f>
        <v>0</v>
      </c>
    </row>
    <row r="132" spans="1:39">
      <c r="D132" t="s">
        <v>79</v>
      </c>
      <c r="E132" t="s">
        <v>68</v>
      </c>
      <c r="F132" s="435" t="s">
        <v>296</v>
      </c>
      <c r="G132" s="435" t="s">
        <v>12</v>
      </c>
      <c r="H132" s="435" t="s">
        <v>2868</v>
      </c>
      <c r="I132" t="s">
        <v>7</v>
      </c>
      <c r="J132" t="s">
        <v>280</v>
      </c>
      <c r="K132" s="435" t="str">
        <f t="shared" si="11"/>
        <v>St Fergus</v>
      </c>
      <c r="L132" s="96"/>
      <c r="N132" t="s">
        <v>280</v>
      </c>
      <c r="O132" t="s">
        <v>218</v>
      </c>
      <c r="P132" s="111"/>
      <c r="Q132" s="149" t="s">
        <v>298</v>
      </c>
      <c r="R132" s="76"/>
      <c r="S132" s="76"/>
      <c r="T132" s="76"/>
      <c r="U132" s="76"/>
      <c r="AC132" t="s">
        <v>2</v>
      </c>
      <c r="AD132" s="93">
        <f>SUMIFS('6.2_Projects'!AD$9:AD$195,'6.2_Projects'!$F$9:$F$195,$F132,'6.2_Projects'!$Q$9:$Q$195,$Q132)</f>
        <v>0</v>
      </c>
      <c r="AE132" s="93">
        <f>SUMIFS('6.2_Projects'!AE$9:AE$195,'6.2_Projects'!$F$9:$F$195,$F132,'6.2_Projects'!$Q$9:$Q$195,$Q132)</f>
        <v>0</v>
      </c>
      <c r="AF132" s="93">
        <f>SUMIFS('6.2_Projects'!AF$9:AF$195,'6.2_Projects'!$F$9:$F$195,$F132,'6.2_Projects'!$Q$9:$Q$195,$Q132)</f>
        <v>0</v>
      </c>
      <c r="AG132" s="93">
        <f>SUMIFS('6.2_Projects'!AG$9:AG$195,'6.2_Projects'!$F$9:$F$195,$F132,'6.2_Projects'!$Q$9:$Q$195,$Q132)</f>
        <v>0</v>
      </c>
      <c r="AH132" s="93">
        <f>SUMIFS('6.2_Projects'!AH$9:AH$195,'6.2_Projects'!$F$9:$F$195,$F132,'6.2_Projects'!$Q$9:$Q$195,$Q132)</f>
        <v>0</v>
      </c>
      <c r="AI132" s="93">
        <f>SUMIFS('6.2_Projects'!AI$9:AI$195,'6.2_Projects'!$F$9:$F$195,$F132,'6.2_Projects'!$Q$9:$Q$195,$Q132)</f>
        <v>0</v>
      </c>
      <c r="AJ132" s="93">
        <f>SUMIFS('6.2_Projects'!AJ$9:AJ$195,'6.2_Projects'!$F$9:$F$195,$F132,'6.2_Projects'!$Q$9:$Q$195,$Q132)</f>
        <v>0</v>
      </c>
      <c r="AK132" s="435"/>
      <c r="AL132" s="93">
        <f>SUMIFS('6.2_Projects'!AD$9:AD$195,'6.2_Projects'!$F$9:$F$195,$F132,'6.2_Projects'!$Q$9:$Q$195,$Q132,'6.2_Projects'!$S$9:$S$195,AL$7)+SUMIFS('6.2_Projects'!AE$9:AE$195,'6.2_Projects'!$F$9:$F$195,$F132,'6.2_Projects'!$Q$9:$Q$195,$Q132,'6.2_Projects'!$S$9:$S$195,AL$7)+SUMIFS('6.2_Projects'!AF$9:AF$195,'6.2_Projects'!$F$9:$F$195,$F132,'6.2_Projects'!$Q$9:$Q$195,$Q132,'6.2_Projects'!$S$9:$S$195,AL$7)+SUMIFS('6.2_Projects'!AG$9:AG$195,'6.2_Projects'!$F$9:$F$195,$F132,'6.2_Projects'!$Q$9:$Q$195,$Q132,'6.2_Projects'!$S$9:$S$195,AL$7)+SUMIFS('6.2_Projects'!AH$9:AH$195,'6.2_Projects'!$F$9:$F$195,$F132,'6.2_Projects'!$Q$9:$Q$195,$Q132,'6.2_Projects'!$S$9:$S$195,AL$7)+SUMIFS('6.2_Projects'!AI$9:AI$195,'6.2_Projects'!$F$9:$F$195,$F132,'6.2_Projects'!$Q$9:$Q$195,$Q132,'6.2_Projects'!$S$9:$S$195,AL$7)+SUMIFS('6.2_Projects'!AJ$9:AJ$195,'6.2_Projects'!$F$9:$F$195,$F132,'6.2_Projects'!$Q$9:$Q$195,$Q132,'6.2_Projects'!$S$9:$S$195,AL$7)</f>
        <v>0</v>
      </c>
      <c r="AM132" s="93">
        <f>SUMIFS('6.2_Projects'!AD$9:AD$195,'6.2_Projects'!$F$9:$F$195,$F132,'6.2_Projects'!$Q$9:$Q$195,$Q132,'6.2_Projects'!$S$9:$S$195,AM$7)+SUMIFS('6.2_Projects'!AE$9:AE$195,'6.2_Projects'!$F$9:$F$195,$F132,'6.2_Projects'!$Q$9:$Q$195,$Q132,'6.2_Projects'!$S$9:$S$195,AM$7)+SUMIFS('6.2_Projects'!AF$9:AF$195,'6.2_Projects'!$F$9:$F$195,$F132,'6.2_Projects'!$Q$9:$Q$195,$Q132,'6.2_Projects'!$S$9:$S$195,AM$7)+SUMIFS('6.2_Projects'!AG$9:AG$195,'6.2_Projects'!$F$9:$F$195,$F132,'6.2_Projects'!$Q$9:$Q$195,$Q132,'6.2_Projects'!$S$9:$S$195,AM$7)+SUMIFS('6.2_Projects'!AH$9:AH$195,'6.2_Projects'!$F$9:$F$195,$F132,'6.2_Projects'!$Q$9:$Q$195,$Q132,'6.2_Projects'!$S$9:$S$195,AM$7)+SUMIFS('6.2_Projects'!AI$9:AI$195,'6.2_Projects'!$F$9:$F$195,$F132,'6.2_Projects'!$Q$9:$Q$195,$Q132,'6.2_Projects'!$S$9:$S$195,AM$7)+SUMIFS('6.2_Projects'!AJ$9:AJ$195,'6.2_Projects'!$F$9:$F$195,$F132,'6.2_Projects'!$Q$9:$Q$195,$Q132,'6.2_Projects'!$S$9:$S$195,AM$7)</f>
        <v>0</v>
      </c>
    </row>
    <row r="133" spans="1:39">
      <c r="D133" t="s">
        <v>79</v>
      </c>
      <c r="E133" t="s">
        <v>68</v>
      </c>
      <c r="F133" s="435" t="s">
        <v>296</v>
      </c>
      <c r="G133" s="435" t="s">
        <v>12</v>
      </c>
      <c r="H133" s="435" t="s">
        <v>2868</v>
      </c>
      <c r="I133" t="s">
        <v>7</v>
      </c>
      <c r="J133" t="s">
        <v>280</v>
      </c>
      <c r="K133" s="435" t="str">
        <f t="shared" si="11"/>
        <v>null</v>
      </c>
      <c r="L133" s="96"/>
      <c r="P133" s="111"/>
      <c r="Q133" s="111"/>
      <c r="R133" s="76"/>
      <c r="S133" s="76"/>
      <c r="T133" s="76"/>
      <c r="U133" s="76"/>
      <c r="AC133" t="s">
        <v>2</v>
      </c>
      <c r="AD133" s="111"/>
      <c r="AE133" s="111"/>
      <c r="AF133" s="111"/>
      <c r="AG133" s="111"/>
      <c r="AH133" s="111"/>
      <c r="AI133" s="111"/>
      <c r="AJ133" s="111"/>
      <c r="AL133" s="111"/>
      <c r="AM133" s="111"/>
    </row>
    <row r="134" spans="1:39">
      <c r="D134" t="s">
        <v>79</v>
      </c>
      <c r="E134" t="s">
        <v>68</v>
      </c>
      <c r="F134" s="435" t="s">
        <v>296</v>
      </c>
      <c r="G134" s="435" t="s">
        <v>12</v>
      </c>
      <c r="H134" s="435" t="s">
        <v>2868</v>
      </c>
      <c r="I134" t="s">
        <v>7</v>
      </c>
      <c r="J134" t="s">
        <v>280</v>
      </c>
      <c r="K134" s="435" t="str">
        <f t="shared" si="11"/>
        <v>null</v>
      </c>
      <c r="L134" s="96"/>
      <c r="P134" s="111"/>
      <c r="Q134" s="111"/>
      <c r="R134" s="76"/>
      <c r="S134" s="76"/>
      <c r="T134" s="76"/>
      <c r="U134" s="76"/>
      <c r="AC134" t="s">
        <v>2</v>
      </c>
      <c r="AD134" s="111"/>
      <c r="AE134" s="111"/>
      <c r="AF134" s="111"/>
      <c r="AG134" s="111"/>
      <c r="AH134" s="111"/>
      <c r="AI134" s="111"/>
      <c r="AJ134" s="111"/>
      <c r="AL134" s="111"/>
      <c r="AM134" s="111"/>
    </row>
    <row r="135" spans="1:39">
      <c r="D135" t="s">
        <v>79</v>
      </c>
      <c r="E135" t="s">
        <v>68</v>
      </c>
      <c r="F135" s="435" t="s">
        <v>296</v>
      </c>
      <c r="G135" s="435" t="s">
        <v>12</v>
      </c>
      <c r="H135" s="435" t="s">
        <v>2868</v>
      </c>
      <c r="I135" t="s">
        <v>7</v>
      </c>
      <c r="J135" t="s">
        <v>280</v>
      </c>
      <c r="K135" s="435" t="str">
        <f t="shared" si="11"/>
        <v>null</v>
      </c>
      <c r="L135" s="96"/>
      <c r="P135" s="111"/>
      <c r="Q135" s="111"/>
      <c r="R135" s="76"/>
      <c r="S135" s="76"/>
      <c r="T135" s="76"/>
      <c r="U135" s="76"/>
      <c r="AC135" t="s">
        <v>2</v>
      </c>
      <c r="AD135" s="111"/>
      <c r="AE135" s="111"/>
      <c r="AF135" s="111"/>
      <c r="AG135" s="111"/>
      <c r="AH135" s="111"/>
      <c r="AI135" s="111"/>
      <c r="AJ135" s="111"/>
      <c r="AL135" s="111"/>
      <c r="AM135" s="111"/>
    </row>
    <row r="137" spans="1:39" s="1" customFormat="1" ht="13.9">
      <c r="A137" s="66"/>
      <c r="B137" s="78" t="s">
        <v>299</v>
      </c>
      <c r="P137" s="127"/>
      <c r="Q137" s="127"/>
    </row>
    <row r="139" spans="1:39">
      <c r="D139" t="s">
        <v>79</v>
      </c>
      <c r="E139" t="s">
        <v>68</v>
      </c>
      <c r="F139" s="435" t="s">
        <v>296</v>
      </c>
      <c r="G139" s="435" t="s">
        <v>12</v>
      </c>
      <c r="H139" s="435" t="s">
        <v>2868</v>
      </c>
      <c r="I139" t="s">
        <v>7</v>
      </c>
      <c r="J139" t="s">
        <v>299</v>
      </c>
      <c r="K139" s="435" t="s">
        <v>323</v>
      </c>
      <c r="N139" s="435" t="s">
        <v>829</v>
      </c>
      <c r="O139" s="435" t="s">
        <v>214</v>
      </c>
      <c r="P139" s="111"/>
      <c r="Q139" s="111"/>
      <c r="AC139" t="s">
        <v>2</v>
      </c>
      <c r="AD139" s="122"/>
      <c r="AE139" s="93">
        <f>SUMIFS('6.3 Asset_Health'!AE$9:AE$721,'6.3 Asset_Health'!$F$9:$F$721,$F139,'6.3 Asset_Health'!$K$9:$K$721,$K139,'6.3 Asset_Health'!$N$9:$N$721,$N139)</f>
        <v>0</v>
      </c>
      <c r="AF139" s="93">
        <f>SUMIFS('6.3 Asset_Health'!AF$9:AF$721,'6.3 Asset_Health'!$F$9:$F$721,$F139,'6.3 Asset_Health'!$K$9:$K$721,$K139,'6.3 Asset_Health'!$N$9:$N$721,$N139)</f>
        <v>0</v>
      </c>
      <c r="AG139" s="93">
        <f>SUMIFS('6.3 Asset_Health'!AG$9:AG$721,'6.3 Asset_Health'!$F$9:$F$721,$F139,'6.3 Asset_Health'!$K$9:$K$721,$K139,'6.3 Asset_Health'!$N$9:$N$721,$N139)</f>
        <v>0</v>
      </c>
      <c r="AH139" s="93">
        <f>SUMIFS('6.3 Asset_Health'!AH$9:AH$721,'6.3 Asset_Health'!$F$9:$F$721,$F139,'6.3 Asset_Health'!$K$9:$K$721,$K139,'6.3 Asset_Health'!$N$9:$N$721,$N139)</f>
        <v>0</v>
      </c>
      <c r="AI139" s="93">
        <f>SUMIFS('6.3 Asset_Health'!AI$9:AI$721,'6.3 Asset_Health'!$F$9:$F$721,$F139,'6.3 Asset_Health'!$K$9:$K$721,$K139,'6.3 Asset_Health'!$N$9:$N$721,$N139)</f>
        <v>0</v>
      </c>
      <c r="AJ139" s="122"/>
      <c r="AL139" s="81"/>
      <c r="AM139" s="81"/>
    </row>
    <row r="140" spans="1:39" s="435" customFormat="1">
      <c r="D140" s="435" t="s">
        <v>79</v>
      </c>
      <c r="E140" s="435" t="s">
        <v>68</v>
      </c>
      <c r="F140" s="435" t="s">
        <v>296</v>
      </c>
      <c r="G140" s="435" t="s">
        <v>12</v>
      </c>
      <c r="H140" s="435" t="s">
        <v>2868</v>
      </c>
      <c r="I140" s="435" t="s">
        <v>7</v>
      </c>
      <c r="J140" s="435" t="s">
        <v>299</v>
      </c>
      <c r="K140" s="435" t="s">
        <v>323</v>
      </c>
      <c r="N140" s="436" t="s">
        <v>1054</v>
      </c>
      <c r="P140" s="111"/>
      <c r="Q140" s="111"/>
      <c r="AC140" s="435" t="s">
        <v>2</v>
      </c>
      <c r="AD140" s="122"/>
      <c r="AE140" s="93">
        <f>SUMIFS('6.3 Asset_Health'!AE$9:AE$721,'6.3 Asset_Health'!$F$9:$F$721,$F140,'6.3 Asset_Health'!$K$9:$K$721,$K140,'6.3 Asset_Health'!$N$9:$N$721,$N140)</f>
        <v>0</v>
      </c>
      <c r="AF140" s="93">
        <f>SUMIFS('6.3 Asset_Health'!AF$9:AF$721,'6.3 Asset_Health'!$F$9:$F$721,$F140,'6.3 Asset_Health'!$K$9:$K$721,$K140,'6.3 Asset_Health'!$N$9:$N$721,$N140)</f>
        <v>0</v>
      </c>
      <c r="AG140" s="93">
        <f>SUMIFS('6.3 Asset_Health'!AG$9:AG$721,'6.3 Asset_Health'!$F$9:$F$721,$F140,'6.3 Asset_Health'!$K$9:$K$721,$K140,'6.3 Asset_Health'!$N$9:$N$721,$N140)</f>
        <v>0</v>
      </c>
      <c r="AH140" s="93">
        <f>SUMIFS('6.3 Asset_Health'!AH$9:AH$721,'6.3 Asset_Health'!$F$9:$F$721,$F140,'6.3 Asset_Health'!$K$9:$K$721,$K140,'6.3 Asset_Health'!$N$9:$N$721,$N140)</f>
        <v>0</v>
      </c>
      <c r="AI140" s="93">
        <f>SUMIFS('6.3 Asset_Health'!AI$9:AI$721,'6.3 Asset_Health'!$F$9:$F$721,$F140,'6.3 Asset_Health'!$K$9:$K$721,$K140,'6.3 Asset_Health'!$N$9:$N$721,$N140)</f>
        <v>0</v>
      </c>
      <c r="AJ140" s="122"/>
      <c r="AL140" s="81"/>
      <c r="AM140" s="81"/>
    </row>
    <row r="141" spans="1:39" s="435" customFormat="1">
      <c r="D141" s="435" t="s">
        <v>79</v>
      </c>
      <c r="E141" s="435" t="s">
        <v>68</v>
      </c>
      <c r="F141" s="435" t="s">
        <v>296</v>
      </c>
      <c r="G141" s="435" t="s">
        <v>12</v>
      </c>
      <c r="H141" s="435" t="s">
        <v>2868</v>
      </c>
      <c r="I141" s="435" t="s">
        <v>7</v>
      </c>
      <c r="J141" s="435" t="s">
        <v>299</v>
      </c>
      <c r="K141" s="435" t="s">
        <v>319</v>
      </c>
      <c r="N141" s="435" t="s">
        <v>829</v>
      </c>
      <c r="O141" s="435" t="s">
        <v>214</v>
      </c>
      <c r="P141" s="111"/>
      <c r="Q141" s="111"/>
      <c r="AC141" s="435" t="s">
        <v>2</v>
      </c>
      <c r="AD141" s="122"/>
      <c r="AE141" s="93">
        <f>SUMIFS('6.3 Asset_Health'!AE$9:AE$721,'6.3 Asset_Health'!$F$9:$F$721,$F141,'6.3 Asset_Health'!$K$9:$K$721,$K141,'6.3 Asset_Health'!$N$9:$N$721,$N141)</f>
        <v>0</v>
      </c>
      <c r="AF141" s="93">
        <f>SUMIFS('6.3 Asset_Health'!AF$9:AF$721,'6.3 Asset_Health'!$F$9:$F$721,$F141,'6.3 Asset_Health'!$K$9:$K$721,$K141,'6.3 Asset_Health'!$N$9:$N$721,$N141)</f>
        <v>0</v>
      </c>
      <c r="AG141" s="93">
        <f>SUMIFS('6.3 Asset_Health'!AG$9:AG$721,'6.3 Asset_Health'!$F$9:$F$721,$F141,'6.3 Asset_Health'!$K$9:$K$721,$K141,'6.3 Asset_Health'!$N$9:$N$721,$N141)</f>
        <v>0</v>
      </c>
      <c r="AH141" s="93">
        <f>SUMIFS('6.3 Asset_Health'!AH$9:AH$721,'6.3 Asset_Health'!$F$9:$F$721,$F141,'6.3 Asset_Health'!$K$9:$K$721,$K141,'6.3 Asset_Health'!$N$9:$N$721,$N141)</f>
        <v>0</v>
      </c>
      <c r="AI141" s="93">
        <f>SUMIFS('6.3 Asset_Health'!AI$9:AI$721,'6.3 Asset_Health'!$F$9:$F$721,$F141,'6.3 Asset_Health'!$K$9:$K$721,$K141,'6.3 Asset_Health'!$N$9:$N$721,$N141)</f>
        <v>0</v>
      </c>
      <c r="AJ141" s="122"/>
      <c r="AL141" s="81"/>
      <c r="AM141" s="81"/>
    </row>
    <row r="142" spans="1:39" s="435" customFormat="1">
      <c r="D142" s="435" t="s">
        <v>79</v>
      </c>
      <c r="E142" s="435" t="s">
        <v>68</v>
      </c>
      <c r="F142" s="435" t="s">
        <v>296</v>
      </c>
      <c r="G142" s="435" t="s">
        <v>12</v>
      </c>
      <c r="H142" s="435" t="s">
        <v>2868</v>
      </c>
      <c r="I142" s="435" t="s">
        <v>7</v>
      </c>
      <c r="J142" s="435" t="s">
        <v>299</v>
      </c>
      <c r="K142" s="435" t="s">
        <v>319</v>
      </c>
      <c r="N142" s="436" t="s">
        <v>1054</v>
      </c>
      <c r="P142" s="111"/>
      <c r="Q142" s="111"/>
      <c r="AC142" s="435" t="s">
        <v>2</v>
      </c>
      <c r="AD142" s="122"/>
      <c r="AE142" s="93">
        <f>SUMIFS('6.3 Asset_Health'!AE$9:AE$721,'6.3 Asset_Health'!$F$9:$F$721,$F142,'6.3 Asset_Health'!$K$9:$K$721,$K142,'6.3 Asset_Health'!$N$9:$N$721,$N142)</f>
        <v>0</v>
      </c>
      <c r="AF142" s="93">
        <f>SUMIFS('6.3 Asset_Health'!AF$9:AF$721,'6.3 Asset_Health'!$F$9:$F$721,$F142,'6.3 Asset_Health'!$K$9:$K$721,$K142,'6.3 Asset_Health'!$N$9:$N$721,$N142)</f>
        <v>0</v>
      </c>
      <c r="AG142" s="93">
        <f>SUMIFS('6.3 Asset_Health'!AG$9:AG$721,'6.3 Asset_Health'!$F$9:$F$721,$F142,'6.3 Asset_Health'!$K$9:$K$721,$K142,'6.3 Asset_Health'!$N$9:$N$721,$N142)</f>
        <v>0</v>
      </c>
      <c r="AH142" s="93">
        <f>SUMIFS('6.3 Asset_Health'!AH$9:AH$721,'6.3 Asset_Health'!$F$9:$F$721,$F142,'6.3 Asset_Health'!$K$9:$K$721,$K142,'6.3 Asset_Health'!$N$9:$N$721,$N142)</f>
        <v>0</v>
      </c>
      <c r="AI142" s="93">
        <f>SUMIFS('6.3 Asset_Health'!AI$9:AI$721,'6.3 Asset_Health'!$F$9:$F$721,$F142,'6.3 Asset_Health'!$K$9:$K$721,$K142,'6.3 Asset_Health'!$N$9:$N$721,$N142)</f>
        <v>0</v>
      </c>
      <c r="AJ142" s="122"/>
      <c r="AL142" s="81"/>
      <c r="AM142" s="81"/>
    </row>
    <row r="143" spans="1:39">
      <c r="D143" t="s">
        <v>79</v>
      </c>
      <c r="E143" t="s">
        <v>68</v>
      </c>
      <c r="F143" s="435" t="s">
        <v>296</v>
      </c>
      <c r="G143" s="435" t="s">
        <v>12</v>
      </c>
      <c r="H143" s="435" t="s">
        <v>2868</v>
      </c>
      <c r="I143" t="s">
        <v>7</v>
      </c>
      <c r="J143" t="s">
        <v>299</v>
      </c>
      <c r="K143" s="435" t="s">
        <v>300</v>
      </c>
      <c r="N143" s="435" t="s">
        <v>829</v>
      </c>
      <c r="O143" s="435" t="s">
        <v>214</v>
      </c>
      <c r="P143" s="111"/>
      <c r="Q143" s="111"/>
      <c r="AC143" s="435" t="s">
        <v>2</v>
      </c>
      <c r="AD143" s="122"/>
      <c r="AE143" s="93">
        <f>SUMIFS('6.3 Asset_Health'!AE$9:AE$721,'6.3 Asset_Health'!$F$9:$F$721,$F143,'6.3 Asset_Health'!$K$9:$K$721,$K143,'6.3 Asset_Health'!$N$9:$N$721,$N143)</f>
        <v>0</v>
      </c>
      <c r="AF143" s="93">
        <f>SUMIFS('6.3 Asset_Health'!AF$9:AF$721,'6.3 Asset_Health'!$F$9:$F$721,$F143,'6.3 Asset_Health'!$K$9:$K$721,$K143,'6.3 Asset_Health'!$N$9:$N$721,$N143)</f>
        <v>0</v>
      </c>
      <c r="AG143" s="93">
        <f>SUMIFS('6.3 Asset_Health'!AG$9:AG$721,'6.3 Asset_Health'!$F$9:$F$721,$F143,'6.3 Asset_Health'!$K$9:$K$721,$K143,'6.3 Asset_Health'!$N$9:$N$721,$N143)</f>
        <v>0</v>
      </c>
      <c r="AH143" s="93">
        <f>SUMIFS('6.3 Asset_Health'!AH$9:AH$721,'6.3 Asset_Health'!$F$9:$F$721,$F143,'6.3 Asset_Health'!$K$9:$K$721,$K143,'6.3 Asset_Health'!$N$9:$N$721,$N143)</f>
        <v>0</v>
      </c>
      <c r="AI143" s="93">
        <f>SUMIFS('6.3 Asset_Health'!AI$9:AI$721,'6.3 Asset_Health'!$F$9:$F$721,$F143,'6.3 Asset_Health'!$K$9:$K$721,$K143,'6.3 Asset_Health'!$N$9:$N$721,$N143)</f>
        <v>0</v>
      </c>
      <c r="AJ143" s="122"/>
      <c r="AL143" s="81"/>
      <c r="AM143" s="81"/>
    </row>
    <row r="144" spans="1:39">
      <c r="D144" t="s">
        <v>79</v>
      </c>
      <c r="E144" t="s">
        <v>68</v>
      </c>
      <c r="F144" s="435" t="s">
        <v>296</v>
      </c>
      <c r="G144" s="435" t="s">
        <v>12</v>
      </c>
      <c r="H144" s="435" t="s">
        <v>2868</v>
      </c>
      <c r="I144" t="s">
        <v>7</v>
      </c>
      <c r="J144" t="s">
        <v>299</v>
      </c>
      <c r="K144" s="435" t="s">
        <v>300</v>
      </c>
      <c r="L144" s="96"/>
      <c r="N144" s="435" t="s">
        <v>828</v>
      </c>
      <c r="O144" s="435" t="s">
        <v>217</v>
      </c>
      <c r="P144" s="111"/>
      <c r="Q144" s="111"/>
      <c r="R144" s="76"/>
      <c r="S144" s="76"/>
      <c r="T144" s="76"/>
      <c r="U144" s="76"/>
      <c r="AC144" t="s">
        <v>2</v>
      </c>
      <c r="AD144" s="122"/>
      <c r="AE144" s="93">
        <f>SUMIFS('6.3 Asset_Health'!AE$9:AE$721,'6.3 Asset_Health'!$F$9:$F$721,$F144,'6.3 Asset_Health'!$K$9:$K$721,$K144,'6.3 Asset_Health'!$N$9:$N$721,$N144)</f>
        <v>0</v>
      </c>
      <c r="AF144" s="93">
        <f>SUMIFS('6.3 Asset_Health'!AF$9:AF$721,'6.3 Asset_Health'!$F$9:$F$721,$F144,'6.3 Asset_Health'!$K$9:$K$721,$K144,'6.3 Asset_Health'!$N$9:$N$721,$N144)</f>
        <v>0</v>
      </c>
      <c r="AG144" s="93">
        <f>SUMIFS('6.3 Asset_Health'!AG$9:AG$721,'6.3 Asset_Health'!$F$9:$F$721,$F144,'6.3 Asset_Health'!$K$9:$K$721,$K144,'6.3 Asset_Health'!$N$9:$N$721,$N144)</f>
        <v>0</v>
      </c>
      <c r="AH144" s="93">
        <f>SUMIFS('6.3 Asset_Health'!AH$9:AH$721,'6.3 Asset_Health'!$F$9:$F$721,$F144,'6.3 Asset_Health'!$K$9:$K$721,$K144,'6.3 Asset_Health'!$N$9:$N$721,$N144)</f>
        <v>0</v>
      </c>
      <c r="AI144" s="93">
        <f>SUMIFS('6.3 Asset_Health'!AI$9:AI$721,'6.3 Asset_Health'!$F$9:$F$721,$F144,'6.3 Asset_Health'!$K$9:$K$721,$K144,'6.3 Asset_Health'!$N$9:$N$721,$N144)</f>
        <v>0</v>
      </c>
      <c r="AJ144" s="122"/>
      <c r="AL144" s="81"/>
      <c r="AM144" s="81"/>
    </row>
    <row r="145" spans="1:39">
      <c r="D145" t="s">
        <v>79</v>
      </c>
      <c r="E145" t="s">
        <v>68</v>
      </c>
      <c r="F145" s="435" t="s">
        <v>296</v>
      </c>
      <c r="G145" s="435" t="s">
        <v>12</v>
      </c>
      <c r="H145" s="435" t="s">
        <v>2868</v>
      </c>
      <c r="I145" t="s">
        <v>7</v>
      </c>
      <c r="J145" t="s">
        <v>299</v>
      </c>
      <c r="K145" s="435" t="s">
        <v>300</v>
      </c>
      <c r="L145" s="96"/>
      <c r="N145" s="436" t="s">
        <v>1054</v>
      </c>
      <c r="P145" s="111"/>
      <c r="Q145" s="111"/>
      <c r="R145" s="76"/>
      <c r="S145" s="76"/>
      <c r="T145" s="76"/>
      <c r="U145" s="76"/>
      <c r="AC145" t="s">
        <v>2</v>
      </c>
      <c r="AD145" s="122"/>
      <c r="AE145" s="93">
        <f>SUMIFS('6.3 Asset_Health'!AE$9:AE$721,'6.3 Asset_Health'!$F$9:$F$721,$F145,'6.3 Asset_Health'!$K$9:$K$721,$K145,'6.3 Asset_Health'!$N$9:$N$721,$N145)</f>
        <v>0</v>
      </c>
      <c r="AF145" s="93">
        <f>SUMIFS('6.3 Asset_Health'!AF$9:AF$721,'6.3 Asset_Health'!$F$9:$F$721,$F145,'6.3 Asset_Health'!$K$9:$K$721,$K145,'6.3 Asset_Health'!$N$9:$N$721,$N145)</f>
        <v>0</v>
      </c>
      <c r="AG145" s="93">
        <f>SUMIFS('6.3 Asset_Health'!AG$9:AG$721,'6.3 Asset_Health'!$F$9:$F$721,$F145,'6.3 Asset_Health'!$K$9:$K$721,$K145,'6.3 Asset_Health'!$N$9:$N$721,$N145)</f>
        <v>0</v>
      </c>
      <c r="AH145" s="93">
        <f>SUMIFS('6.3 Asset_Health'!AH$9:AH$721,'6.3 Asset_Health'!$F$9:$F$721,$F145,'6.3 Asset_Health'!$K$9:$K$721,$K145,'6.3 Asset_Health'!$N$9:$N$721,$N145)</f>
        <v>0</v>
      </c>
      <c r="AI145" s="93">
        <f>SUMIFS('6.3 Asset_Health'!AI$9:AI$721,'6.3 Asset_Health'!$F$9:$F$721,$F145,'6.3 Asset_Health'!$K$9:$K$721,$K145,'6.3 Asset_Health'!$N$9:$N$721,$N145)</f>
        <v>0</v>
      </c>
      <c r="AJ145" s="122"/>
      <c r="AL145" s="81"/>
      <c r="AM145" s="81"/>
    </row>
    <row r="146" spans="1:39" s="58" customFormat="1">
      <c r="K146" s="121"/>
      <c r="L146" s="121"/>
      <c r="P146" s="129"/>
      <c r="Q146" s="129"/>
      <c r="R146" s="120"/>
      <c r="S146" s="120"/>
      <c r="T146" s="120"/>
      <c r="U146" s="120"/>
      <c r="AD146" s="122"/>
      <c r="AE146" s="118"/>
      <c r="AF146" s="118"/>
      <c r="AG146" s="118"/>
      <c r="AH146" s="118"/>
      <c r="AI146" s="118"/>
      <c r="AJ146" s="122"/>
    </row>
    <row r="147" spans="1:39" s="1" customFormat="1" ht="13.9">
      <c r="A147" s="66"/>
      <c r="B147" s="78" t="s">
        <v>282</v>
      </c>
      <c r="P147" s="127"/>
      <c r="Q147" s="127"/>
    </row>
    <row r="149" spans="1:39">
      <c r="D149" t="s">
        <v>79</v>
      </c>
      <c r="E149" t="s">
        <v>68</v>
      </c>
      <c r="F149" s="435" t="s">
        <v>296</v>
      </c>
      <c r="G149" s="435" t="s">
        <v>12</v>
      </c>
      <c r="H149" s="435" t="s">
        <v>2868</v>
      </c>
      <c r="I149" t="s">
        <v>7</v>
      </c>
      <c r="J149" s="435" t="s">
        <v>2646</v>
      </c>
      <c r="K149" s="435" t="str">
        <f t="shared" ref="K149:K153" si="12">IF(Q149="","null",Q149)</f>
        <v>Bacton Site Redevelopment</v>
      </c>
      <c r="L149" s="96"/>
      <c r="N149" t="s">
        <v>257</v>
      </c>
      <c r="O149" t="s">
        <v>215</v>
      </c>
      <c r="P149" s="111"/>
      <c r="Q149" s="150" t="s">
        <v>1014</v>
      </c>
      <c r="R149" s="76"/>
      <c r="S149" s="76"/>
      <c r="T149" s="76"/>
      <c r="U149" s="76"/>
      <c r="AC149" t="s">
        <v>2</v>
      </c>
      <c r="AD149" s="93">
        <f>SUMIFS('6.2_Projects'!AD$9:AD$195,'6.2_Projects'!$F$9:$F$195,$F149,'6.2_Projects'!$Q$9:$Q$195,$Q149)</f>
        <v>0</v>
      </c>
      <c r="AE149" s="93">
        <f>SUMIFS('6.2_Projects'!AE$9:AE$195,'6.2_Projects'!$F$9:$F$195,$F149,'6.2_Projects'!$Q$9:$Q$195,$Q149)</f>
        <v>0</v>
      </c>
      <c r="AF149" s="93">
        <f>SUMIFS('6.2_Projects'!AF$9:AF$195,'6.2_Projects'!$F$9:$F$195,$F149,'6.2_Projects'!$Q$9:$Q$195,$Q149)</f>
        <v>0</v>
      </c>
      <c r="AG149" s="93">
        <f>SUMIFS('6.2_Projects'!AG$9:AG$195,'6.2_Projects'!$F$9:$F$195,$F149,'6.2_Projects'!$Q$9:$Q$195,$Q149)</f>
        <v>0</v>
      </c>
      <c r="AH149" s="93">
        <f>SUMIFS('6.2_Projects'!AH$9:AH$195,'6.2_Projects'!$F$9:$F$195,$F149,'6.2_Projects'!$Q$9:$Q$195,$Q149)</f>
        <v>0</v>
      </c>
      <c r="AI149" s="93">
        <f>SUMIFS('6.2_Projects'!AI$9:AI$195,'6.2_Projects'!$F$9:$F$195,$F149,'6.2_Projects'!$Q$9:$Q$195,$Q149)</f>
        <v>0</v>
      </c>
      <c r="AJ149" s="93">
        <f>SUMIFS('6.2_Projects'!AJ$9:AJ$195,'6.2_Projects'!$F$9:$F$195,$F149,'6.2_Projects'!$Q$9:$Q$195,$Q149)</f>
        <v>0</v>
      </c>
      <c r="AK149" s="435"/>
      <c r="AL149" s="93">
        <f>SUMIFS('6.2_Projects'!AD$9:AD$195,'6.2_Projects'!$F$9:$F$195,$F149,'6.2_Projects'!$Q$9:$Q$195,$Q149,'6.2_Projects'!$S$9:$S$195,AL$7)+SUMIFS('6.2_Projects'!AE$9:AE$195,'6.2_Projects'!$F$9:$F$195,$F149,'6.2_Projects'!$Q$9:$Q$195,$Q149,'6.2_Projects'!$S$9:$S$195,AL$7)+SUMIFS('6.2_Projects'!AF$9:AF$195,'6.2_Projects'!$F$9:$F$195,$F149,'6.2_Projects'!$Q$9:$Q$195,$Q149,'6.2_Projects'!$S$9:$S$195,AL$7)+SUMIFS('6.2_Projects'!AG$9:AG$195,'6.2_Projects'!$F$9:$F$195,$F149,'6.2_Projects'!$Q$9:$Q$195,$Q149,'6.2_Projects'!$S$9:$S$195,AL$7)+SUMIFS('6.2_Projects'!AH$9:AH$195,'6.2_Projects'!$F$9:$F$195,$F149,'6.2_Projects'!$Q$9:$Q$195,$Q149,'6.2_Projects'!$S$9:$S$195,AL$7)+SUMIFS('6.2_Projects'!AI$9:AI$195,'6.2_Projects'!$F$9:$F$195,$F149,'6.2_Projects'!$Q$9:$Q$195,$Q149,'6.2_Projects'!$S$9:$S$195,AL$7)+SUMIFS('6.2_Projects'!AJ$9:AJ$195,'6.2_Projects'!$F$9:$F$195,$F149,'6.2_Projects'!$Q$9:$Q$195,$Q149,'6.2_Projects'!$S$9:$S$195,AL$7)</f>
        <v>0</v>
      </c>
      <c r="AM149" s="93">
        <f>SUMIFS('6.2_Projects'!AD$9:AD$195,'6.2_Projects'!$F$9:$F$195,$F149,'6.2_Projects'!$Q$9:$Q$195,$Q149,'6.2_Projects'!$S$9:$S$195,AM$7)+SUMIFS('6.2_Projects'!AE$9:AE$195,'6.2_Projects'!$F$9:$F$195,$F149,'6.2_Projects'!$Q$9:$Q$195,$Q149,'6.2_Projects'!$S$9:$S$195,AM$7)+SUMIFS('6.2_Projects'!AF$9:AF$195,'6.2_Projects'!$F$9:$F$195,$F149,'6.2_Projects'!$Q$9:$Q$195,$Q149,'6.2_Projects'!$S$9:$S$195,AM$7)+SUMIFS('6.2_Projects'!AG$9:AG$195,'6.2_Projects'!$F$9:$F$195,$F149,'6.2_Projects'!$Q$9:$Q$195,$Q149,'6.2_Projects'!$S$9:$S$195,AM$7)+SUMIFS('6.2_Projects'!AH$9:AH$195,'6.2_Projects'!$F$9:$F$195,$F149,'6.2_Projects'!$Q$9:$Q$195,$Q149,'6.2_Projects'!$S$9:$S$195,AM$7)+SUMIFS('6.2_Projects'!AI$9:AI$195,'6.2_Projects'!$F$9:$F$195,$F149,'6.2_Projects'!$Q$9:$Q$195,$Q149,'6.2_Projects'!$S$9:$S$195,AM$7)+SUMIFS('6.2_Projects'!AJ$9:AJ$195,'6.2_Projects'!$F$9:$F$195,$F149,'6.2_Projects'!$Q$9:$Q$195,$Q149,'6.2_Projects'!$S$9:$S$195,AM$7)</f>
        <v>0</v>
      </c>
    </row>
    <row r="150" spans="1:39">
      <c r="D150" t="s">
        <v>79</v>
      </c>
      <c r="E150" t="s">
        <v>68</v>
      </c>
      <c r="F150" s="435" t="s">
        <v>296</v>
      </c>
      <c r="G150" s="435" t="s">
        <v>12</v>
      </c>
      <c r="H150" s="435" t="s">
        <v>2868</v>
      </c>
      <c r="I150" t="s">
        <v>7</v>
      </c>
      <c r="J150" s="435" t="s">
        <v>2646</v>
      </c>
      <c r="K150" s="435" t="str">
        <f t="shared" si="12"/>
        <v>Kings Lynn Subsidence</v>
      </c>
      <c r="L150" s="96"/>
      <c r="N150" t="s">
        <v>290</v>
      </c>
      <c r="O150" t="s">
        <v>216</v>
      </c>
      <c r="P150" s="111"/>
      <c r="Q150" s="150" t="s">
        <v>1015</v>
      </c>
      <c r="R150" s="76"/>
      <c r="S150" s="76"/>
      <c r="T150" s="76"/>
      <c r="U150" s="76"/>
      <c r="AC150" t="s">
        <v>2</v>
      </c>
      <c r="AD150" s="93">
        <f>SUMIFS('6.2_Projects'!AD$9:AD$195,'6.2_Projects'!$F$9:$F$195,$F150,'6.2_Projects'!$Q$9:$Q$195,$Q150)</f>
        <v>0</v>
      </c>
      <c r="AE150" s="93">
        <f>SUMIFS('6.2_Projects'!AE$9:AE$195,'6.2_Projects'!$F$9:$F$195,$F150,'6.2_Projects'!$Q$9:$Q$195,$Q150)</f>
        <v>0</v>
      </c>
      <c r="AF150" s="93">
        <f>SUMIFS('6.2_Projects'!AF$9:AF$195,'6.2_Projects'!$F$9:$F$195,$F150,'6.2_Projects'!$Q$9:$Q$195,$Q150)</f>
        <v>0</v>
      </c>
      <c r="AG150" s="93">
        <f>SUMIFS('6.2_Projects'!AG$9:AG$195,'6.2_Projects'!$F$9:$F$195,$F150,'6.2_Projects'!$Q$9:$Q$195,$Q150)</f>
        <v>0</v>
      </c>
      <c r="AH150" s="93">
        <f>SUMIFS('6.2_Projects'!AH$9:AH$195,'6.2_Projects'!$F$9:$F$195,$F150,'6.2_Projects'!$Q$9:$Q$195,$Q150)</f>
        <v>0</v>
      </c>
      <c r="AI150" s="93">
        <f>SUMIFS('6.2_Projects'!AI$9:AI$195,'6.2_Projects'!$F$9:$F$195,$F150,'6.2_Projects'!$Q$9:$Q$195,$Q150)</f>
        <v>0</v>
      </c>
      <c r="AJ150" s="93">
        <f>SUMIFS('6.2_Projects'!AJ$9:AJ$195,'6.2_Projects'!$F$9:$F$195,$F150,'6.2_Projects'!$Q$9:$Q$195,$Q150)</f>
        <v>0</v>
      </c>
      <c r="AK150" s="435"/>
      <c r="AL150" s="93">
        <f>SUMIFS('6.2_Projects'!AD$9:AD$195,'6.2_Projects'!$F$9:$F$195,$F150,'6.2_Projects'!$Q$9:$Q$195,$Q150,'6.2_Projects'!$S$9:$S$195,AL$7)+SUMIFS('6.2_Projects'!AE$9:AE$195,'6.2_Projects'!$F$9:$F$195,$F150,'6.2_Projects'!$Q$9:$Q$195,$Q150,'6.2_Projects'!$S$9:$S$195,AL$7)+SUMIFS('6.2_Projects'!AF$9:AF$195,'6.2_Projects'!$F$9:$F$195,$F150,'6.2_Projects'!$Q$9:$Q$195,$Q150,'6.2_Projects'!$S$9:$S$195,AL$7)+SUMIFS('6.2_Projects'!AG$9:AG$195,'6.2_Projects'!$F$9:$F$195,$F150,'6.2_Projects'!$Q$9:$Q$195,$Q150,'6.2_Projects'!$S$9:$S$195,AL$7)+SUMIFS('6.2_Projects'!AH$9:AH$195,'6.2_Projects'!$F$9:$F$195,$F150,'6.2_Projects'!$Q$9:$Q$195,$Q150,'6.2_Projects'!$S$9:$S$195,AL$7)+SUMIFS('6.2_Projects'!AI$9:AI$195,'6.2_Projects'!$F$9:$F$195,$F150,'6.2_Projects'!$Q$9:$Q$195,$Q150,'6.2_Projects'!$S$9:$S$195,AL$7)+SUMIFS('6.2_Projects'!AJ$9:AJ$195,'6.2_Projects'!$F$9:$F$195,$F150,'6.2_Projects'!$Q$9:$Q$195,$Q150,'6.2_Projects'!$S$9:$S$195,AL$7)</f>
        <v>0</v>
      </c>
      <c r="AM150" s="93">
        <f>SUMIFS('6.2_Projects'!AD$9:AD$195,'6.2_Projects'!$F$9:$F$195,$F150,'6.2_Projects'!$Q$9:$Q$195,$Q150,'6.2_Projects'!$S$9:$S$195,AM$7)+SUMIFS('6.2_Projects'!AE$9:AE$195,'6.2_Projects'!$F$9:$F$195,$F150,'6.2_Projects'!$Q$9:$Q$195,$Q150,'6.2_Projects'!$S$9:$S$195,AM$7)+SUMIFS('6.2_Projects'!AF$9:AF$195,'6.2_Projects'!$F$9:$F$195,$F150,'6.2_Projects'!$Q$9:$Q$195,$Q150,'6.2_Projects'!$S$9:$S$195,AM$7)+SUMIFS('6.2_Projects'!AG$9:AG$195,'6.2_Projects'!$F$9:$F$195,$F150,'6.2_Projects'!$Q$9:$Q$195,$Q150,'6.2_Projects'!$S$9:$S$195,AM$7)+SUMIFS('6.2_Projects'!AH$9:AH$195,'6.2_Projects'!$F$9:$F$195,$F150,'6.2_Projects'!$Q$9:$Q$195,$Q150,'6.2_Projects'!$S$9:$S$195,AM$7)+SUMIFS('6.2_Projects'!AI$9:AI$195,'6.2_Projects'!$F$9:$F$195,$F150,'6.2_Projects'!$Q$9:$Q$195,$Q150,'6.2_Projects'!$S$9:$S$195,AM$7)+SUMIFS('6.2_Projects'!AJ$9:AJ$195,'6.2_Projects'!$F$9:$F$195,$F150,'6.2_Projects'!$Q$9:$Q$195,$Q150,'6.2_Projects'!$S$9:$S$195,AM$7)</f>
        <v>0</v>
      </c>
    </row>
    <row r="151" spans="1:39">
      <c r="D151" t="s">
        <v>79</v>
      </c>
      <c r="E151" t="s">
        <v>68</v>
      </c>
      <c r="F151" s="435" t="s">
        <v>296</v>
      </c>
      <c r="G151" s="435" t="s">
        <v>12</v>
      </c>
      <c r="H151" s="435" t="s">
        <v>2868</v>
      </c>
      <c r="I151" t="s">
        <v>7</v>
      </c>
      <c r="J151" s="435" t="s">
        <v>2646</v>
      </c>
      <c r="K151" s="435" t="str">
        <f t="shared" si="12"/>
        <v>null</v>
      </c>
      <c r="L151" s="96"/>
      <c r="O151" t="s">
        <v>281</v>
      </c>
      <c r="P151" s="111"/>
      <c r="Q151" s="111"/>
      <c r="R151" s="76"/>
      <c r="S151" s="76"/>
      <c r="T151" s="76"/>
      <c r="U151" s="76"/>
      <c r="AC151" t="s">
        <v>2</v>
      </c>
      <c r="AD151" s="81"/>
      <c r="AE151" s="81"/>
      <c r="AF151" s="81"/>
      <c r="AG151" s="81"/>
      <c r="AH151" s="81"/>
      <c r="AI151" s="81"/>
      <c r="AJ151" s="81"/>
      <c r="AK151" s="435"/>
      <c r="AL151" s="81"/>
      <c r="AM151" s="81"/>
    </row>
    <row r="152" spans="1:39">
      <c r="D152" t="s">
        <v>79</v>
      </c>
      <c r="E152" t="s">
        <v>68</v>
      </c>
      <c r="F152" s="435" t="s">
        <v>296</v>
      </c>
      <c r="G152" s="435" t="s">
        <v>12</v>
      </c>
      <c r="H152" s="435" t="s">
        <v>2868</v>
      </c>
      <c r="I152" t="s">
        <v>7</v>
      </c>
      <c r="J152" s="435" t="s">
        <v>2646</v>
      </c>
      <c r="K152" s="435" t="str">
        <f t="shared" si="12"/>
        <v>null</v>
      </c>
      <c r="L152" s="96"/>
      <c r="O152" t="s">
        <v>281</v>
      </c>
      <c r="P152" s="111"/>
      <c r="Q152" s="111"/>
      <c r="R152" s="76"/>
      <c r="S152" s="76"/>
      <c r="T152" s="76"/>
      <c r="U152" s="76"/>
      <c r="AC152" t="s">
        <v>2</v>
      </c>
      <c r="AD152" s="81"/>
      <c r="AE152" s="81"/>
      <c r="AF152" s="81"/>
      <c r="AG152" s="81"/>
      <c r="AH152" s="81"/>
      <c r="AI152" s="81"/>
      <c r="AJ152" s="81"/>
      <c r="AK152" s="435"/>
      <c r="AL152" s="81"/>
      <c r="AM152" s="81"/>
    </row>
    <row r="153" spans="1:39">
      <c r="D153" t="s">
        <v>79</v>
      </c>
      <c r="E153" t="s">
        <v>68</v>
      </c>
      <c r="F153" s="435" t="s">
        <v>296</v>
      </c>
      <c r="G153" s="435" t="s">
        <v>12</v>
      </c>
      <c r="H153" s="435" t="s">
        <v>2868</v>
      </c>
      <c r="I153" t="s">
        <v>7</v>
      </c>
      <c r="J153" s="435" t="s">
        <v>2646</v>
      </c>
      <c r="K153" s="435" t="str">
        <f t="shared" si="12"/>
        <v>null</v>
      </c>
      <c r="L153" s="96"/>
      <c r="O153" t="s">
        <v>281</v>
      </c>
      <c r="P153" s="111"/>
      <c r="Q153" s="111"/>
      <c r="R153" s="76"/>
      <c r="S153" s="76"/>
      <c r="T153" s="76"/>
      <c r="U153" s="76"/>
      <c r="AC153" t="s">
        <v>2</v>
      </c>
      <c r="AD153" s="81"/>
      <c r="AE153" s="81"/>
      <c r="AF153" s="81"/>
      <c r="AG153" s="81"/>
      <c r="AH153" s="81"/>
      <c r="AI153" s="81"/>
      <c r="AJ153" s="81"/>
      <c r="AK153" s="435"/>
      <c r="AL153" s="81"/>
      <c r="AM153" s="81"/>
    </row>
    <row r="154" spans="1:39">
      <c r="K154" s="96"/>
      <c r="L154" s="96"/>
      <c r="R154" s="76"/>
      <c r="S154" s="76"/>
      <c r="T154" s="76"/>
      <c r="U154" s="76"/>
      <c r="AD154" s="80"/>
      <c r="AJ154" s="80"/>
    </row>
    <row r="155" spans="1:39" s="1" customFormat="1" ht="13.9">
      <c r="A155" s="66"/>
      <c r="B155" s="78" t="s">
        <v>2432</v>
      </c>
      <c r="P155" s="127"/>
      <c r="Q155" s="127"/>
    </row>
    <row r="156" spans="1:39" s="435" customFormat="1">
      <c r="P156" s="125"/>
      <c r="Q156" s="125"/>
    </row>
    <row r="157" spans="1:39" s="435" customFormat="1">
      <c r="D157" s="435" t="s">
        <v>79</v>
      </c>
      <c r="E157" s="435" t="s">
        <v>68</v>
      </c>
      <c r="F157" s="435" t="s">
        <v>274</v>
      </c>
      <c r="G157" s="435" t="s">
        <v>12</v>
      </c>
      <c r="H157" s="435" t="s">
        <v>2653</v>
      </c>
      <c r="I157" s="435" t="s">
        <v>7</v>
      </c>
      <c r="J157" s="435" t="s">
        <v>2653</v>
      </c>
      <c r="L157" s="96"/>
      <c r="O157" s="435" t="s">
        <v>3064</v>
      </c>
      <c r="P157" s="111"/>
      <c r="Q157" s="111"/>
      <c r="R157" s="76"/>
      <c r="S157" s="76"/>
      <c r="T157" s="76"/>
      <c r="U157" s="76"/>
      <c r="AC157" s="435" t="s">
        <v>2</v>
      </c>
      <c r="AE157" s="93">
        <f>SUM('6.7 TO_NonOp_Capex'!AD100:AD110)</f>
        <v>0</v>
      </c>
      <c r="AF157" s="93">
        <f>SUM('6.7 TO_NonOp_Capex'!AF86:AF141)</f>
        <v>0</v>
      </c>
      <c r="AG157" s="93">
        <f>SUM('6.7 TO_NonOp_Capex'!AG86:AG141)</f>
        <v>0</v>
      </c>
      <c r="AH157" s="93">
        <f>SUM('6.7 TO_NonOp_Capex'!AH86:AH141)</f>
        <v>0</v>
      </c>
      <c r="AI157" s="93">
        <f>SUM('6.7 TO_NonOp_Capex'!AI86:AI141)</f>
        <v>0</v>
      </c>
      <c r="AL157" s="81"/>
      <c r="AM157" s="81"/>
    </row>
    <row r="158" spans="1:39" s="435" customFormat="1">
      <c r="D158" s="435" t="s">
        <v>185</v>
      </c>
      <c r="E158" s="435" t="s">
        <v>68</v>
      </c>
      <c r="F158" s="435" t="s">
        <v>274</v>
      </c>
      <c r="G158" s="435" t="s">
        <v>12</v>
      </c>
      <c r="H158" s="435" t="s">
        <v>2653</v>
      </c>
      <c r="I158" s="435" t="s">
        <v>7</v>
      </c>
      <c r="J158" s="435" t="s">
        <v>2653</v>
      </c>
      <c r="L158" s="96"/>
      <c r="O158" s="435" t="s">
        <v>3064</v>
      </c>
      <c r="P158" s="111"/>
      <c r="Q158" s="111"/>
      <c r="R158" s="76"/>
      <c r="S158" s="76"/>
      <c r="T158" s="76"/>
      <c r="U158" s="76"/>
      <c r="AC158" s="435" t="s">
        <v>2</v>
      </c>
      <c r="AE158" s="93">
        <f>SUM('6.8 SO_NonOp_Capex'!AD100:AD110)</f>
        <v>0</v>
      </c>
      <c r="AF158" s="93">
        <f>SUM('6.8 SO_NonOp_Capex'!AF86:AF141)</f>
        <v>0</v>
      </c>
      <c r="AG158" s="93">
        <f>SUM('6.8 SO_NonOp_Capex'!AG86:AG141)</f>
        <v>0</v>
      </c>
      <c r="AH158" s="93">
        <f>SUM('6.8 SO_NonOp_Capex'!AH86:AH141)</f>
        <v>0</v>
      </c>
      <c r="AI158" s="93">
        <f>SUM('6.8 SO_NonOp_Capex'!AI86:AI141)</f>
        <v>0</v>
      </c>
      <c r="AL158" s="81"/>
      <c r="AM158" s="81"/>
    </row>
    <row r="159" spans="1:39" s="435" customFormat="1">
      <c r="K159" s="96"/>
      <c r="L159" s="96"/>
      <c r="P159" s="125"/>
      <c r="Q159" s="125"/>
      <c r="R159" s="76"/>
      <c r="S159" s="76"/>
      <c r="T159" s="76"/>
      <c r="U159" s="76"/>
      <c r="AD159" s="80"/>
      <c r="AJ159" s="80"/>
    </row>
    <row r="160" spans="1:39" s="1" customFormat="1" ht="13.9">
      <c r="A160" s="66"/>
      <c r="B160" s="78" t="s">
        <v>287</v>
      </c>
      <c r="P160" s="127"/>
      <c r="Q160" s="127"/>
    </row>
    <row r="162" spans="1:39">
      <c r="D162" t="s">
        <v>79</v>
      </c>
      <c r="E162" t="s">
        <v>68</v>
      </c>
      <c r="F162" s="435" t="s">
        <v>296</v>
      </c>
      <c r="G162" s="435" t="s">
        <v>12</v>
      </c>
      <c r="H162" s="111"/>
      <c r="I162" t="s">
        <v>7</v>
      </c>
      <c r="J162" s="123"/>
      <c r="K162" s="435" t="str">
        <f t="shared" ref="K162:K165" si="13">IF(Q162="","null",Q162)</f>
        <v>null</v>
      </c>
      <c r="L162" s="96"/>
      <c r="O162" t="s">
        <v>281</v>
      </c>
      <c r="P162" s="111"/>
      <c r="Q162" s="111"/>
      <c r="R162" s="76"/>
      <c r="S162" s="76"/>
      <c r="T162" s="76"/>
      <c r="U162" s="76"/>
      <c r="AC162" t="s">
        <v>2</v>
      </c>
      <c r="AD162" s="81"/>
      <c r="AE162" s="81"/>
      <c r="AF162" s="81"/>
      <c r="AG162" s="81"/>
      <c r="AH162" s="81"/>
      <c r="AI162" s="81"/>
      <c r="AJ162" s="81"/>
      <c r="AL162" s="81"/>
      <c r="AM162" s="81"/>
    </row>
    <row r="163" spans="1:39">
      <c r="D163" t="s">
        <v>79</v>
      </c>
      <c r="E163" t="s">
        <v>68</v>
      </c>
      <c r="F163" s="435" t="s">
        <v>296</v>
      </c>
      <c r="G163" s="435" t="s">
        <v>12</v>
      </c>
      <c r="H163" s="111"/>
      <c r="I163" t="s">
        <v>7</v>
      </c>
      <c r="J163" s="81"/>
      <c r="K163" s="435" t="str">
        <f t="shared" si="13"/>
        <v>null</v>
      </c>
      <c r="L163" s="96"/>
      <c r="O163" t="s">
        <v>281</v>
      </c>
      <c r="P163" s="111"/>
      <c r="Q163" s="111"/>
      <c r="R163" s="76"/>
      <c r="S163" s="76"/>
      <c r="T163" s="76"/>
      <c r="U163" s="76"/>
      <c r="AC163" t="s">
        <v>2</v>
      </c>
      <c r="AD163" s="81"/>
      <c r="AE163" s="81"/>
      <c r="AF163" s="81"/>
      <c r="AG163" s="81"/>
      <c r="AH163" s="81"/>
      <c r="AI163" s="81"/>
      <c r="AJ163" s="81"/>
      <c r="AL163" s="81"/>
      <c r="AM163" s="81"/>
    </row>
    <row r="164" spans="1:39">
      <c r="D164" t="s">
        <v>79</v>
      </c>
      <c r="E164" t="s">
        <v>68</v>
      </c>
      <c r="F164" s="435" t="s">
        <v>296</v>
      </c>
      <c r="G164" s="435" t="s">
        <v>12</v>
      </c>
      <c r="H164" s="111"/>
      <c r="I164" t="s">
        <v>7</v>
      </c>
      <c r="J164" s="81"/>
      <c r="K164" s="435" t="str">
        <f t="shared" si="13"/>
        <v>null</v>
      </c>
      <c r="L164" s="96"/>
      <c r="O164" t="s">
        <v>281</v>
      </c>
      <c r="P164" s="111"/>
      <c r="Q164" s="111"/>
      <c r="R164" s="76"/>
      <c r="S164" s="76"/>
      <c r="T164" s="76"/>
      <c r="U164" s="76"/>
      <c r="AC164" t="s">
        <v>2</v>
      </c>
      <c r="AD164" s="81"/>
      <c r="AE164" s="81"/>
      <c r="AF164" s="81"/>
      <c r="AG164" s="81"/>
      <c r="AH164" s="81"/>
      <c r="AI164" s="81"/>
      <c r="AJ164" s="81"/>
      <c r="AL164" s="81"/>
      <c r="AM164" s="81"/>
    </row>
    <row r="165" spans="1:39">
      <c r="D165" t="s">
        <v>79</v>
      </c>
      <c r="E165" t="s">
        <v>68</v>
      </c>
      <c r="F165" s="435" t="s">
        <v>296</v>
      </c>
      <c r="G165" s="435" t="s">
        <v>12</v>
      </c>
      <c r="H165" s="111"/>
      <c r="I165" t="s">
        <v>7</v>
      </c>
      <c r="J165" s="81"/>
      <c r="K165" s="435" t="str">
        <f t="shared" si="13"/>
        <v>null</v>
      </c>
      <c r="L165" s="96"/>
      <c r="O165" t="s">
        <v>281</v>
      </c>
      <c r="P165" s="111"/>
      <c r="Q165" s="111"/>
      <c r="R165" s="76"/>
      <c r="S165" s="76"/>
      <c r="T165" s="76"/>
      <c r="U165" s="76"/>
      <c r="AC165" t="s">
        <v>2</v>
      </c>
      <c r="AD165" s="81"/>
      <c r="AE165" s="81"/>
      <c r="AF165" s="81"/>
      <c r="AG165" s="81"/>
      <c r="AH165" s="81"/>
      <c r="AI165" s="81"/>
      <c r="AJ165" s="81"/>
      <c r="AL165" s="81"/>
      <c r="AM165" s="81"/>
    </row>
    <row r="166" spans="1:39">
      <c r="I166" s="96"/>
      <c r="J166" s="96"/>
      <c r="K166" s="96"/>
      <c r="L166" s="96"/>
      <c r="R166" s="76"/>
      <c r="S166" s="76"/>
      <c r="T166" s="76"/>
      <c r="U166" s="76"/>
      <c r="AD166" s="80"/>
      <c r="AJ166" s="80"/>
    </row>
    <row r="167" spans="1:39" s="73" customFormat="1" ht="18">
      <c r="A167" s="74" t="s">
        <v>76</v>
      </c>
      <c r="P167" s="124"/>
      <c r="Q167" s="124"/>
    </row>
    <row r="173" spans="1:39">
      <c r="R173" t="s">
        <v>1054</v>
      </c>
    </row>
    <row r="174" spans="1:39">
      <c r="R174" t="s">
        <v>829</v>
      </c>
    </row>
    <row r="175" spans="1:39">
      <c r="R175" t="s">
        <v>1054</v>
      </c>
    </row>
    <row r="176" spans="1:39">
      <c r="R176" t="s">
        <v>829</v>
      </c>
    </row>
    <row r="177" spans="18:18">
      <c r="R177" t="s">
        <v>1054</v>
      </c>
    </row>
    <row r="178" spans="18:18">
      <c r="R178" t="s">
        <v>829</v>
      </c>
    </row>
    <row r="179" spans="18:18">
      <c r="R179" t="s">
        <v>3140</v>
      </c>
    </row>
  </sheetData>
  <mergeCells count="2">
    <mergeCell ref="AE6:AI6"/>
    <mergeCell ref="AL6:AM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BAC050-ED52-4B72-9A22-40A85426004B}">
          <x14:formula1>
            <xm:f>'1.3 Lists'!$G$11:$G$18</xm:f>
          </x14:formula1>
          <xm:sqref>J92:J95 J162:J165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Z16"/>
  <sheetViews>
    <sheetView zoomScale="90" zoomScaleNormal="90" workbookViewId="0"/>
  </sheetViews>
  <sheetFormatPr defaultColWidth="0" defaultRowHeight="14.25"/>
  <cols>
    <col min="1" max="1" width="11" customWidth="1"/>
    <col min="2" max="5" width="24.59765625" customWidth="1"/>
    <col min="6" max="6" width="11.265625" customWidth="1"/>
    <col min="7" max="26" width="0" hidden="1" customWidth="1"/>
    <col min="27" max="16384" width="8.73046875" hidden="1"/>
  </cols>
  <sheetData>
    <row r="1" spans="1:13" s="73" customFormat="1" ht="23.25">
      <c r="A1" s="89" t="str">
        <f>'1.1 Cover'!A2</f>
        <v>Regulatory Reporting Pack</v>
      </c>
    </row>
    <row r="2" spans="1:13" s="73" customFormat="1" ht="23.25">
      <c r="A2" s="89" t="str">
        <f>'1.1 Cover'!A3</f>
        <v>Price base - 2018/19</v>
      </c>
    </row>
    <row r="3" spans="1:13" s="73" customFormat="1" ht="23.25">
      <c r="A3" s="89" t="str">
        <f>'1.1 Cover'!A4</f>
        <v>Regulatory Year: April 2021 - March 2022</v>
      </c>
    </row>
    <row r="4" spans="1:13" s="73" customFormat="1" ht="23.25">
      <c r="A4" s="89" t="s">
        <v>18</v>
      </c>
    </row>
    <row r="6" spans="1:13">
      <c r="B6" s="51" t="s">
        <v>49</v>
      </c>
      <c r="C6" s="51" t="s">
        <v>50</v>
      </c>
      <c r="D6" s="52" t="s">
        <v>51</v>
      </c>
      <c r="E6" s="51" t="s">
        <v>52</v>
      </c>
      <c r="H6" s="53"/>
      <c r="I6" s="53"/>
      <c r="M6" s="54"/>
    </row>
    <row r="7" spans="1:13">
      <c r="B7" s="55"/>
      <c r="C7" s="55"/>
      <c r="D7" s="55"/>
      <c r="E7" s="55"/>
    </row>
    <row r="8" spans="1:13">
      <c r="B8" s="55"/>
      <c r="C8" s="55"/>
      <c r="D8" s="55"/>
      <c r="E8" s="55"/>
    </row>
    <row r="9" spans="1:13">
      <c r="B9" s="55"/>
      <c r="C9" s="55"/>
      <c r="D9" s="55"/>
      <c r="E9" s="55"/>
    </row>
    <row r="10" spans="1:13">
      <c r="B10" s="55"/>
      <c r="C10" s="55"/>
      <c r="D10" s="55"/>
      <c r="E10" s="55"/>
    </row>
    <row r="11" spans="1:13">
      <c r="B11" s="55"/>
      <c r="C11" s="55"/>
      <c r="D11" s="55"/>
      <c r="E11" s="55"/>
    </row>
    <row r="12" spans="1:13">
      <c r="B12" s="55"/>
      <c r="C12" s="55"/>
      <c r="D12" s="55"/>
      <c r="E12" s="55"/>
    </row>
    <row r="13" spans="1:13">
      <c r="B13" s="55"/>
      <c r="C13" s="55"/>
      <c r="D13" s="55"/>
      <c r="E13" s="55"/>
    </row>
    <row r="14" spans="1:13">
      <c r="B14" s="55"/>
      <c r="C14" s="55"/>
      <c r="D14" s="55"/>
      <c r="E14" s="55"/>
    </row>
    <row r="15" spans="1:13">
      <c r="B15" s="55"/>
      <c r="C15" s="55"/>
      <c r="D15" s="55"/>
      <c r="E15" s="55"/>
    </row>
    <row r="16" spans="1:13">
      <c r="B16" s="55"/>
      <c r="C16" s="55"/>
      <c r="D16" s="55"/>
      <c r="E16" s="55"/>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L195"/>
  <sheetViews>
    <sheetView zoomScale="80" zoomScaleNormal="80" workbookViewId="0">
      <pane ySplit="8" topLeftCell="A9" activePane="bottomLeft" state="frozen"/>
      <selection activeCell="J37" sqref="J37"/>
      <selection pane="bottomLeft"/>
    </sheetView>
  </sheetViews>
  <sheetFormatPr defaultRowHeight="14.25"/>
  <cols>
    <col min="1" max="3" width="1.73046875" customWidth="1"/>
    <col min="4" max="4" width="8.1328125" bestFit="1" customWidth="1"/>
    <col min="5" max="5" width="5" bestFit="1" customWidth="1"/>
    <col min="6" max="6" width="24.59765625" style="435" bestFit="1" customWidth="1"/>
    <col min="7" max="7" width="11.265625" style="435" bestFit="1" customWidth="1"/>
    <col min="8" max="8" width="13.73046875" bestFit="1" customWidth="1"/>
    <col min="9" max="9" width="9.3984375" bestFit="1" customWidth="1"/>
    <col min="10" max="10" width="28.73046875" customWidth="1"/>
    <col min="11" max="13" width="1.73046875" customWidth="1"/>
    <col min="14" max="14" width="23.73046875" bestFit="1" customWidth="1"/>
    <col min="15" max="15" width="7.265625" bestFit="1" customWidth="1"/>
    <col min="16" max="16" width="11.3984375" style="133" customWidth="1"/>
    <col min="17" max="17" width="32.1328125" style="125" customWidth="1"/>
    <col min="18" max="18" width="1.73046875" style="133" customWidth="1"/>
    <col min="19" max="19" width="18.1328125" style="133" bestFit="1" customWidth="1"/>
    <col min="20" max="20" width="27.265625" style="133" bestFit="1" customWidth="1"/>
    <col min="21" max="28" width="1.73046875" hidden="1" customWidth="1"/>
    <col min="29" max="29" width="5" bestFit="1" customWidth="1"/>
    <col min="30" max="30" width="9.1328125" customWidth="1"/>
  </cols>
  <sheetData>
    <row r="1" spans="1:36" s="73" customFormat="1" ht="23.25">
      <c r="A1" s="89" t="str">
        <f>'1.1 Cover'!A2</f>
        <v>Regulatory Reporting Pack</v>
      </c>
      <c r="P1" s="132"/>
      <c r="Q1" s="124"/>
      <c r="R1" s="132"/>
      <c r="S1" s="132"/>
      <c r="T1" s="132"/>
    </row>
    <row r="2" spans="1:36" s="73" customFormat="1" ht="23.25">
      <c r="A2" s="89" t="str">
        <f>'1.1 Cover'!A3</f>
        <v>Price base - 2018/19</v>
      </c>
      <c r="P2" s="132"/>
      <c r="Q2" s="124"/>
      <c r="R2" s="132"/>
      <c r="S2" s="132"/>
      <c r="T2" s="132"/>
    </row>
    <row r="3" spans="1:36" s="73" customFormat="1" ht="23.25">
      <c r="A3" s="89" t="str">
        <f>'1.1 Cover'!A4</f>
        <v>Regulatory Year: April 2021 - March 2022</v>
      </c>
      <c r="P3" s="132"/>
      <c r="Q3" s="124"/>
      <c r="R3" s="132"/>
      <c r="S3" s="132"/>
      <c r="T3" s="132"/>
    </row>
    <row r="4" spans="1:36" s="73" customFormat="1" ht="23.25">
      <c r="A4" s="89" t="s">
        <v>2621</v>
      </c>
      <c r="P4" s="132"/>
      <c r="Q4" s="124"/>
      <c r="R4" s="132"/>
      <c r="S4" s="132"/>
      <c r="T4" s="132"/>
    </row>
    <row r="6" spans="1:36">
      <c r="AD6" s="88" t="s">
        <v>2616</v>
      </c>
      <c r="AE6" s="1347" t="s">
        <v>112</v>
      </c>
      <c r="AF6" s="1348"/>
      <c r="AG6" s="1348"/>
      <c r="AH6" s="1348"/>
      <c r="AI6" s="1349"/>
      <c r="AJ6" s="88" t="s">
        <v>2614</v>
      </c>
    </row>
    <row r="7" spans="1:36" s="67" customFormat="1">
      <c r="D7" s="87" t="s">
        <v>111</v>
      </c>
      <c r="E7" s="87" t="s">
        <v>68</v>
      </c>
      <c r="F7" s="87" t="s">
        <v>2680</v>
      </c>
      <c r="G7" s="87" t="s">
        <v>2681</v>
      </c>
      <c r="H7" s="87" t="s">
        <v>110</v>
      </c>
      <c r="I7" s="87" t="s">
        <v>109</v>
      </c>
      <c r="J7" s="87" t="s">
        <v>108</v>
      </c>
      <c r="K7" s="87" t="s">
        <v>107</v>
      </c>
      <c r="L7" s="87" t="s">
        <v>106</v>
      </c>
      <c r="M7" s="87" t="s">
        <v>105</v>
      </c>
      <c r="N7" s="87" t="s">
        <v>104</v>
      </c>
      <c r="O7" s="87" t="s">
        <v>103</v>
      </c>
      <c r="P7" s="134" t="s">
        <v>102</v>
      </c>
      <c r="Q7" s="126" t="s">
        <v>71</v>
      </c>
      <c r="R7" s="135" t="s">
        <v>101</v>
      </c>
      <c r="S7" s="136" t="s">
        <v>3152</v>
      </c>
      <c r="T7" s="136" t="s">
        <v>2716</v>
      </c>
      <c r="U7" s="86" t="s">
        <v>98</v>
      </c>
      <c r="V7" s="86" t="s">
        <v>97</v>
      </c>
      <c r="W7" s="86" t="s">
        <v>96</v>
      </c>
      <c r="X7" s="86" t="s">
        <v>95</v>
      </c>
      <c r="Y7" s="86" t="s">
        <v>94</v>
      </c>
      <c r="Z7" s="86" t="s">
        <v>93</v>
      </c>
      <c r="AA7" s="86" t="s">
        <v>92</v>
      </c>
      <c r="AB7" s="86" t="s">
        <v>91</v>
      </c>
      <c r="AC7" s="67" t="s">
        <v>5</v>
      </c>
      <c r="AD7" s="85" t="s">
        <v>88</v>
      </c>
      <c r="AE7" s="84">
        <v>2022</v>
      </c>
      <c r="AF7" s="83">
        <v>2023</v>
      </c>
      <c r="AG7" s="83">
        <v>2024</v>
      </c>
      <c r="AH7" s="83">
        <v>2025</v>
      </c>
      <c r="AI7" s="82">
        <v>2026</v>
      </c>
      <c r="AJ7" s="85" t="s">
        <v>2615</v>
      </c>
    </row>
    <row r="8" spans="1:36">
      <c r="R8" s="136"/>
      <c r="S8" s="136"/>
      <c r="T8" s="136"/>
      <c r="U8" s="67"/>
    </row>
    <row r="9" spans="1:36" s="1" customFormat="1" ht="17.649999999999999">
      <c r="B9" s="2" t="s">
        <v>274</v>
      </c>
      <c r="P9" s="137"/>
      <c r="Q9" s="127"/>
      <c r="R9" s="137"/>
      <c r="S9" s="137"/>
      <c r="T9" s="137"/>
    </row>
    <row r="11" spans="1:36" s="1" customFormat="1" ht="13.9">
      <c r="A11" s="66"/>
      <c r="B11" s="78" t="s">
        <v>1023</v>
      </c>
      <c r="P11" s="137"/>
      <c r="Q11" s="127"/>
      <c r="R11" s="137"/>
      <c r="S11" s="137"/>
      <c r="T11" s="137"/>
    </row>
    <row r="13" spans="1:36">
      <c r="D13" t="s">
        <v>79</v>
      </c>
      <c r="E13" t="s">
        <v>68</v>
      </c>
      <c r="F13" s="435" t="s">
        <v>274</v>
      </c>
      <c r="G13" s="435" t="s">
        <v>12</v>
      </c>
      <c r="H13" t="s">
        <v>281</v>
      </c>
      <c r="I13" t="s">
        <v>7</v>
      </c>
      <c r="J13" t="s">
        <v>280</v>
      </c>
      <c r="K13" s="96"/>
      <c r="L13" s="96"/>
      <c r="N13" t="s">
        <v>280</v>
      </c>
      <c r="O13" t="s">
        <v>218</v>
      </c>
      <c r="P13" s="138"/>
      <c r="Q13" s="145" t="s">
        <v>252</v>
      </c>
      <c r="R13" s="139"/>
      <c r="S13" s="140" t="s">
        <v>1016</v>
      </c>
      <c r="T13" s="140" t="s">
        <v>1017</v>
      </c>
      <c r="U13" s="76"/>
      <c r="AC13" t="s">
        <v>2</v>
      </c>
      <c r="AD13" s="81"/>
      <c r="AE13" s="81"/>
      <c r="AF13" s="81"/>
      <c r="AG13" s="81"/>
      <c r="AH13" s="81"/>
      <c r="AI13" s="81"/>
      <c r="AJ13" s="81"/>
    </row>
    <row r="14" spans="1:36">
      <c r="D14" t="s">
        <v>79</v>
      </c>
      <c r="E14" t="s">
        <v>68</v>
      </c>
      <c r="F14" s="435" t="s">
        <v>274</v>
      </c>
      <c r="G14" s="435" t="s">
        <v>12</v>
      </c>
      <c r="H14" t="s">
        <v>281</v>
      </c>
      <c r="I14" t="s">
        <v>7</v>
      </c>
      <c r="J14" t="s">
        <v>280</v>
      </c>
      <c r="K14" s="96"/>
      <c r="L14" s="96"/>
      <c r="N14" t="s">
        <v>280</v>
      </c>
      <c r="O14" t="s">
        <v>218</v>
      </c>
      <c r="P14" s="138"/>
      <c r="Q14" s="145" t="s">
        <v>252</v>
      </c>
      <c r="R14" s="139"/>
      <c r="S14" s="140" t="s">
        <v>1016</v>
      </c>
      <c r="T14" s="140" t="s">
        <v>1018</v>
      </c>
      <c r="U14" s="76"/>
      <c r="AC14" t="s">
        <v>2</v>
      </c>
      <c r="AD14" s="81"/>
      <c r="AE14" s="81"/>
      <c r="AF14" s="81"/>
      <c r="AG14" s="81"/>
      <c r="AH14" s="81"/>
      <c r="AI14" s="81"/>
      <c r="AJ14" s="81"/>
    </row>
    <row r="15" spans="1:36">
      <c r="D15" t="s">
        <v>79</v>
      </c>
      <c r="E15" t="s">
        <v>68</v>
      </c>
      <c r="F15" s="435" t="s">
        <v>274</v>
      </c>
      <c r="G15" s="435" t="s">
        <v>12</v>
      </c>
      <c r="H15" t="s">
        <v>281</v>
      </c>
      <c r="I15" t="s">
        <v>7</v>
      </c>
      <c r="J15" t="s">
        <v>280</v>
      </c>
      <c r="K15" s="96"/>
      <c r="L15" s="96"/>
      <c r="N15" t="s">
        <v>280</v>
      </c>
      <c r="O15" t="s">
        <v>218</v>
      </c>
      <c r="P15" s="138"/>
      <c r="Q15" s="145" t="s">
        <v>252</v>
      </c>
      <c r="R15" s="139"/>
      <c r="S15" s="140" t="s">
        <v>1016</v>
      </c>
      <c r="T15" s="141" t="s">
        <v>1050</v>
      </c>
      <c r="U15" s="76"/>
      <c r="AC15" t="s">
        <v>2</v>
      </c>
      <c r="AD15" s="81"/>
      <c r="AE15" s="81"/>
      <c r="AF15" s="81"/>
      <c r="AG15" s="81"/>
      <c r="AH15" s="81"/>
      <c r="AI15" s="81"/>
      <c r="AJ15" s="81"/>
    </row>
    <row r="16" spans="1:36">
      <c r="D16" t="s">
        <v>79</v>
      </c>
      <c r="E16" t="s">
        <v>68</v>
      </c>
      <c r="F16" s="435" t="s">
        <v>274</v>
      </c>
      <c r="G16" s="435" t="s">
        <v>12</v>
      </c>
      <c r="H16" t="s">
        <v>281</v>
      </c>
      <c r="I16" t="s">
        <v>7</v>
      </c>
      <c r="J16" t="s">
        <v>280</v>
      </c>
      <c r="K16" s="96"/>
      <c r="L16" s="96"/>
      <c r="N16" t="s">
        <v>280</v>
      </c>
      <c r="O16" t="s">
        <v>218</v>
      </c>
      <c r="P16" s="138"/>
      <c r="Q16" s="145" t="s">
        <v>252</v>
      </c>
      <c r="R16" s="139"/>
      <c r="S16" s="140" t="s">
        <v>1016</v>
      </c>
      <c r="T16" s="141" t="s">
        <v>1051</v>
      </c>
      <c r="U16" s="76"/>
      <c r="AC16" t="s">
        <v>2</v>
      </c>
      <c r="AD16" s="81"/>
      <c r="AE16" s="81"/>
      <c r="AF16" s="81"/>
      <c r="AG16" s="81"/>
      <c r="AH16" s="81"/>
      <c r="AI16" s="81"/>
      <c r="AJ16" s="81"/>
    </row>
    <row r="17" spans="1:38">
      <c r="D17" t="s">
        <v>79</v>
      </c>
      <c r="E17" t="s">
        <v>68</v>
      </c>
      <c r="F17" s="435" t="s">
        <v>274</v>
      </c>
      <c r="G17" s="435" t="s">
        <v>12</v>
      </c>
      <c r="H17" t="s">
        <v>281</v>
      </c>
      <c r="I17" t="s">
        <v>7</v>
      </c>
      <c r="J17" t="s">
        <v>280</v>
      </c>
      <c r="K17" s="96"/>
      <c r="L17" s="96"/>
      <c r="N17" t="s">
        <v>280</v>
      </c>
      <c r="O17" t="s">
        <v>218</v>
      </c>
      <c r="P17" s="138"/>
      <c r="Q17" s="145" t="s">
        <v>252</v>
      </c>
      <c r="R17" s="139"/>
      <c r="S17" s="140" t="s">
        <v>1016</v>
      </c>
      <c r="T17" s="140" t="s">
        <v>1019</v>
      </c>
      <c r="U17" s="76"/>
      <c r="AC17" t="s">
        <v>2</v>
      </c>
      <c r="AD17" s="81"/>
      <c r="AE17" s="81"/>
      <c r="AF17" s="81"/>
      <c r="AG17" s="81"/>
      <c r="AH17" s="81"/>
      <c r="AI17" s="81"/>
      <c r="AJ17" s="81"/>
    </row>
    <row r="18" spans="1:38">
      <c r="D18" t="s">
        <v>79</v>
      </c>
      <c r="E18" t="s">
        <v>68</v>
      </c>
      <c r="F18" s="435" t="s">
        <v>274</v>
      </c>
      <c r="G18" s="435" t="s">
        <v>12</v>
      </c>
      <c r="H18" t="s">
        <v>281</v>
      </c>
      <c r="I18" t="s">
        <v>7</v>
      </c>
      <c r="J18" t="s">
        <v>280</v>
      </c>
      <c r="K18" s="96"/>
      <c r="L18" s="96"/>
      <c r="N18" t="s">
        <v>280</v>
      </c>
      <c r="O18" t="s">
        <v>218</v>
      </c>
      <c r="P18" s="138"/>
      <c r="Q18" s="145" t="s">
        <v>252</v>
      </c>
      <c r="R18" s="139"/>
      <c r="S18" s="141" t="s">
        <v>1049</v>
      </c>
      <c r="T18" s="140" t="s">
        <v>1020</v>
      </c>
      <c r="U18" s="76"/>
      <c r="AC18" t="s">
        <v>2</v>
      </c>
      <c r="AD18" s="81"/>
      <c r="AE18" s="81"/>
      <c r="AF18" s="81"/>
      <c r="AG18" s="81"/>
      <c r="AH18" s="81"/>
      <c r="AI18" s="81"/>
      <c r="AJ18" s="81"/>
    </row>
    <row r="19" spans="1:38">
      <c r="D19" t="s">
        <v>79</v>
      </c>
      <c r="E19" t="s">
        <v>68</v>
      </c>
      <c r="F19" s="435" t="s">
        <v>274</v>
      </c>
      <c r="G19" s="435" t="s">
        <v>12</v>
      </c>
      <c r="H19" t="s">
        <v>281</v>
      </c>
      <c r="I19" t="s">
        <v>7</v>
      </c>
      <c r="J19" t="s">
        <v>280</v>
      </c>
      <c r="K19" s="96"/>
      <c r="L19" s="96"/>
      <c r="N19" t="s">
        <v>280</v>
      </c>
      <c r="O19" t="s">
        <v>218</v>
      </c>
      <c r="P19" s="138"/>
      <c r="Q19" s="145" t="s">
        <v>252</v>
      </c>
      <c r="R19" s="139"/>
      <c r="S19" s="141" t="s">
        <v>1049</v>
      </c>
      <c r="T19" s="140" t="s">
        <v>131</v>
      </c>
      <c r="U19" s="76"/>
      <c r="AC19" t="s">
        <v>2</v>
      </c>
      <c r="AD19" s="81"/>
      <c r="AE19" s="81"/>
      <c r="AF19" s="81"/>
      <c r="AG19" s="81"/>
      <c r="AH19" s="81"/>
      <c r="AI19" s="81"/>
      <c r="AJ19" s="81"/>
    </row>
    <row r="20" spans="1:38">
      <c r="D20" t="s">
        <v>79</v>
      </c>
      <c r="E20" t="s">
        <v>68</v>
      </c>
      <c r="F20" s="435" t="s">
        <v>274</v>
      </c>
      <c r="G20" s="435" t="s">
        <v>12</v>
      </c>
      <c r="H20" t="s">
        <v>281</v>
      </c>
      <c r="I20" t="s">
        <v>7</v>
      </c>
      <c r="J20" t="s">
        <v>280</v>
      </c>
      <c r="K20" s="96"/>
      <c r="L20" s="96"/>
      <c r="N20" t="s">
        <v>280</v>
      </c>
      <c r="O20" t="s">
        <v>218</v>
      </c>
      <c r="P20" s="138"/>
      <c r="Q20" s="145" t="s">
        <v>252</v>
      </c>
      <c r="R20" s="139"/>
      <c r="S20" s="141" t="s">
        <v>1049</v>
      </c>
      <c r="T20" s="140" t="s">
        <v>1021</v>
      </c>
      <c r="U20" s="76"/>
      <c r="AC20" t="s">
        <v>2</v>
      </c>
      <c r="AD20" s="81"/>
      <c r="AE20" s="81"/>
      <c r="AF20" s="81"/>
      <c r="AG20" s="81"/>
      <c r="AH20" s="81"/>
      <c r="AI20" s="81"/>
      <c r="AJ20" s="81"/>
    </row>
    <row r="21" spans="1:38">
      <c r="D21" t="s">
        <v>79</v>
      </c>
      <c r="E21" t="s">
        <v>68</v>
      </c>
      <c r="F21" s="435" t="s">
        <v>274</v>
      </c>
      <c r="G21" s="435" t="s">
        <v>12</v>
      </c>
      <c r="H21" t="s">
        <v>281</v>
      </c>
      <c r="I21" t="s">
        <v>7</v>
      </c>
      <c r="J21" t="s">
        <v>280</v>
      </c>
      <c r="K21" s="96"/>
      <c r="L21" s="96"/>
      <c r="N21" t="s">
        <v>280</v>
      </c>
      <c r="O21" t="s">
        <v>218</v>
      </c>
      <c r="P21" s="138"/>
      <c r="Q21" s="145" t="s">
        <v>252</v>
      </c>
      <c r="R21" s="139"/>
      <c r="S21" s="141" t="s">
        <v>1049</v>
      </c>
      <c r="T21" s="141" t="s">
        <v>1052</v>
      </c>
      <c r="U21" s="76"/>
      <c r="AC21" t="s">
        <v>2</v>
      </c>
      <c r="AD21" s="81"/>
      <c r="AE21" s="81"/>
      <c r="AF21" s="81"/>
      <c r="AG21" s="81"/>
      <c r="AH21" s="81"/>
      <c r="AI21" s="81"/>
      <c r="AJ21" s="81"/>
    </row>
    <row r="22" spans="1:38">
      <c r="D22" t="s">
        <v>79</v>
      </c>
      <c r="E22" t="s">
        <v>68</v>
      </c>
      <c r="F22" s="435" t="s">
        <v>274</v>
      </c>
      <c r="G22" s="435" t="s">
        <v>12</v>
      </c>
      <c r="H22" t="s">
        <v>281</v>
      </c>
      <c r="I22" t="s">
        <v>7</v>
      </c>
      <c r="J22" t="s">
        <v>280</v>
      </c>
      <c r="K22" s="96"/>
      <c r="L22" s="96"/>
      <c r="N22" t="s">
        <v>280</v>
      </c>
      <c r="O22" t="s">
        <v>218</v>
      </c>
      <c r="P22" s="142"/>
      <c r="Q22" s="145" t="s">
        <v>252</v>
      </c>
      <c r="R22" s="139"/>
      <c r="S22" s="81"/>
      <c r="T22" s="81"/>
      <c r="U22" s="76"/>
      <c r="AC22" t="s">
        <v>2</v>
      </c>
      <c r="AD22" s="81"/>
      <c r="AE22" s="81"/>
      <c r="AF22" s="81"/>
      <c r="AG22" s="81"/>
      <c r="AH22" s="81"/>
      <c r="AI22" s="81"/>
      <c r="AJ22" s="81"/>
    </row>
    <row r="23" spans="1:38">
      <c r="D23" t="s">
        <v>79</v>
      </c>
      <c r="E23" t="s">
        <v>68</v>
      </c>
      <c r="F23" s="435" t="s">
        <v>274</v>
      </c>
      <c r="G23" s="435" t="s">
        <v>12</v>
      </c>
      <c r="H23" t="s">
        <v>281</v>
      </c>
      <c r="I23" t="s">
        <v>7</v>
      </c>
      <c r="J23" t="s">
        <v>280</v>
      </c>
      <c r="K23" s="96"/>
      <c r="L23" s="96"/>
      <c r="N23" t="s">
        <v>280</v>
      </c>
      <c r="O23" t="s">
        <v>218</v>
      </c>
      <c r="P23" s="142"/>
      <c r="Q23" s="145" t="s">
        <v>252</v>
      </c>
      <c r="R23" s="139"/>
      <c r="S23" s="81"/>
      <c r="T23" s="81"/>
      <c r="U23" s="76"/>
      <c r="AC23" t="s">
        <v>2</v>
      </c>
      <c r="AD23" s="81"/>
      <c r="AE23" s="81"/>
      <c r="AF23" s="81"/>
      <c r="AG23" s="81"/>
      <c r="AH23" s="81"/>
      <c r="AI23" s="81"/>
      <c r="AJ23" s="81"/>
    </row>
    <row r="24" spans="1:38">
      <c r="P24" s="143"/>
      <c r="Q24" s="146"/>
      <c r="AJ24" s="435"/>
    </row>
    <row r="25" spans="1:38" s="1" customFormat="1" ht="13.9">
      <c r="A25" s="66"/>
      <c r="B25" s="78" t="s">
        <v>289</v>
      </c>
      <c r="P25" s="144"/>
      <c r="Q25" s="147"/>
      <c r="R25" s="137"/>
      <c r="S25" s="137"/>
      <c r="T25" s="137"/>
    </row>
    <row r="26" spans="1:38">
      <c r="P26" s="143"/>
      <c r="Q26" s="146"/>
      <c r="AJ26" s="435"/>
    </row>
    <row r="27" spans="1:38">
      <c r="D27" t="s">
        <v>79</v>
      </c>
      <c r="E27" t="s">
        <v>68</v>
      </c>
      <c r="F27" s="435" t="s">
        <v>274</v>
      </c>
      <c r="G27" s="435" t="s">
        <v>12</v>
      </c>
      <c r="H27" t="s">
        <v>281</v>
      </c>
      <c r="I27" t="s">
        <v>7</v>
      </c>
      <c r="J27" t="s">
        <v>280</v>
      </c>
      <c r="K27" s="96"/>
      <c r="L27" s="96"/>
      <c r="N27" t="s">
        <v>280</v>
      </c>
      <c r="O27" t="s">
        <v>218</v>
      </c>
      <c r="P27" s="138"/>
      <c r="Q27" s="148" t="s">
        <v>289</v>
      </c>
      <c r="R27" s="139"/>
      <c r="S27" s="140" t="s">
        <v>1016</v>
      </c>
      <c r="T27" s="140" t="s">
        <v>1017</v>
      </c>
      <c r="U27" s="76"/>
      <c r="AC27" t="s">
        <v>2</v>
      </c>
      <c r="AD27" s="81"/>
      <c r="AE27" s="81"/>
      <c r="AF27" s="81"/>
      <c r="AG27" s="81"/>
      <c r="AH27" s="81"/>
      <c r="AI27" s="81"/>
      <c r="AJ27" s="81"/>
      <c r="AL27" s="435"/>
    </row>
    <row r="28" spans="1:38">
      <c r="D28" t="s">
        <v>79</v>
      </c>
      <c r="E28" t="s">
        <v>68</v>
      </c>
      <c r="F28" s="435" t="s">
        <v>274</v>
      </c>
      <c r="G28" s="435" t="s">
        <v>12</v>
      </c>
      <c r="H28" t="s">
        <v>281</v>
      </c>
      <c r="I28" t="s">
        <v>7</v>
      </c>
      <c r="J28" t="s">
        <v>280</v>
      </c>
      <c r="K28" s="96"/>
      <c r="L28" s="96"/>
      <c r="N28" t="s">
        <v>280</v>
      </c>
      <c r="O28" t="s">
        <v>218</v>
      </c>
      <c r="P28" s="138"/>
      <c r="Q28" s="148" t="s">
        <v>289</v>
      </c>
      <c r="R28" s="139"/>
      <c r="S28" s="140" t="s">
        <v>1016</v>
      </c>
      <c r="T28" s="140" t="s">
        <v>1018</v>
      </c>
      <c r="U28" s="76"/>
      <c r="AC28" t="s">
        <v>2</v>
      </c>
      <c r="AD28" s="81"/>
      <c r="AE28" s="81"/>
      <c r="AF28" s="81"/>
      <c r="AG28" s="81"/>
      <c r="AH28" s="81"/>
      <c r="AI28" s="81"/>
      <c r="AJ28" s="81"/>
    </row>
    <row r="29" spans="1:38">
      <c r="D29" t="s">
        <v>79</v>
      </c>
      <c r="E29" t="s">
        <v>68</v>
      </c>
      <c r="F29" s="435" t="s">
        <v>274</v>
      </c>
      <c r="G29" s="435" t="s">
        <v>12</v>
      </c>
      <c r="H29" t="s">
        <v>281</v>
      </c>
      <c r="I29" t="s">
        <v>7</v>
      </c>
      <c r="J29" t="s">
        <v>280</v>
      </c>
      <c r="K29" s="96"/>
      <c r="L29" s="96"/>
      <c r="N29" t="s">
        <v>280</v>
      </c>
      <c r="O29" t="s">
        <v>218</v>
      </c>
      <c r="P29" s="138"/>
      <c r="Q29" s="148" t="s">
        <v>289</v>
      </c>
      <c r="R29" s="139"/>
      <c r="S29" s="140" t="s">
        <v>1016</v>
      </c>
      <c r="T29" s="141" t="s">
        <v>1050</v>
      </c>
      <c r="U29" s="76"/>
      <c r="AC29" t="s">
        <v>2</v>
      </c>
      <c r="AD29" s="81"/>
      <c r="AE29" s="81"/>
      <c r="AF29" s="81"/>
      <c r="AG29" s="81"/>
      <c r="AH29" s="81"/>
      <c r="AI29" s="81"/>
      <c r="AJ29" s="81"/>
    </row>
    <row r="30" spans="1:38">
      <c r="D30" t="s">
        <v>79</v>
      </c>
      <c r="E30" t="s">
        <v>68</v>
      </c>
      <c r="F30" s="435" t="s">
        <v>274</v>
      </c>
      <c r="G30" s="435" t="s">
        <v>12</v>
      </c>
      <c r="H30" t="s">
        <v>281</v>
      </c>
      <c r="I30" t="s">
        <v>7</v>
      </c>
      <c r="J30" t="s">
        <v>280</v>
      </c>
      <c r="K30" s="96"/>
      <c r="L30" s="96"/>
      <c r="N30" t="s">
        <v>280</v>
      </c>
      <c r="O30" t="s">
        <v>218</v>
      </c>
      <c r="P30" s="138"/>
      <c r="Q30" s="148" t="s">
        <v>289</v>
      </c>
      <c r="R30" s="139"/>
      <c r="S30" s="140" t="s">
        <v>1016</v>
      </c>
      <c r="T30" s="141" t="s">
        <v>1051</v>
      </c>
      <c r="U30" s="76"/>
      <c r="AC30" t="s">
        <v>2</v>
      </c>
      <c r="AD30" s="81"/>
      <c r="AE30" s="81"/>
      <c r="AF30" s="81"/>
      <c r="AG30" s="81"/>
      <c r="AH30" s="81"/>
      <c r="AI30" s="81"/>
      <c r="AJ30" s="81"/>
    </row>
    <row r="31" spans="1:38">
      <c r="D31" t="s">
        <v>79</v>
      </c>
      <c r="E31" t="s">
        <v>68</v>
      </c>
      <c r="F31" s="435" t="s">
        <v>274</v>
      </c>
      <c r="G31" s="435" t="s">
        <v>12</v>
      </c>
      <c r="H31" t="s">
        <v>281</v>
      </c>
      <c r="I31" t="s">
        <v>7</v>
      </c>
      <c r="J31" t="s">
        <v>280</v>
      </c>
      <c r="K31" s="96"/>
      <c r="L31" s="96"/>
      <c r="N31" t="s">
        <v>280</v>
      </c>
      <c r="O31" t="s">
        <v>218</v>
      </c>
      <c r="P31" s="138"/>
      <c r="Q31" s="148" t="s">
        <v>289</v>
      </c>
      <c r="R31" s="139"/>
      <c r="S31" s="140" t="s">
        <v>1016</v>
      </c>
      <c r="T31" s="140" t="s">
        <v>1019</v>
      </c>
      <c r="U31" s="76"/>
      <c r="AC31" t="s">
        <v>2</v>
      </c>
      <c r="AD31" s="81"/>
      <c r="AE31" s="81"/>
      <c r="AF31" s="81"/>
      <c r="AG31" s="81"/>
      <c r="AH31" s="81"/>
      <c r="AI31" s="81"/>
      <c r="AJ31" s="81"/>
    </row>
    <row r="32" spans="1:38">
      <c r="D32" t="s">
        <v>79</v>
      </c>
      <c r="E32" t="s">
        <v>68</v>
      </c>
      <c r="F32" s="435" t="s">
        <v>274</v>
      </c>
      <c r="G32" s="435" t="s">
        <v>12</v>
      </c>
      <c r="H32" t="s">
        <v>281</v>
      </c>
      <c r="I32" t="s">
        <v>7</v>
      </c>
      <c r="J32" t="s">
        <v>280</v>
      </c>
      <c r="K32" s="96"/>
      <c r="L32" s="96"/>
      <c r="N32" t="s">
        <v>280</v>
      </c>
      <c r="O32" t="s">
        <v>218</v>
      </c>
      <c r="P32" s="138"/>
      <c r="Q32" s="148" t="s">
        <v>289</v>
      </c>
      <c r="R32" s="139"/>
      <c r="S32" s="141" t="s">
        <v>1049</v>
      </c>
      <c r="T32" s="140" t="s">
        <v>1020</v>
      </c>
      <c r="U32" s="76"/>
      <c r="AC32" t="s">
        <v>2</v>
      </c>
      <c r="AD32" s="81"/>
      <c r="AE32" s="81"/>
      <c r="AF32" s="81"/>
      <c r="AG32" s="81"/>
      <c r="AH32" s="81"/>
      <c r="AI32" s="81"/>
      <c r="AJ32" s="81"/>
    </row>
    <row r="33" spans="1:38">
      <c r="D33" t="s">
        <v>79</v>
      </c>
      <c r="E33" t="s">
        <v>68</v>
      </c>
      <c r="F33" s="435" t="s">
        <v>274</v>
      </c>
      <c r="G33" s="435" t="s">
        <v>12</v>
      </c>
      <c r="H33" t="s">
        <v>281</v>
      </c>
      <c r="I33" t="s">
        <v>7</v>
      </c>
      <c r="J33" t="s">
        <v>280</v>
      </c>
      <c r="K33" s="96"/>
      <c r="L33" s="96"/>
      <c r="N33" t="s">
        <v>280</v>
      </c>
      <c r="O33" t="s">
        <v>218</v>
      </c>
      <c r="P33" s="138"/>
      <c r="Q33" s="148" t="s">
        <v>289</v>
      </c>
      <c r="R33" s="139"/>
      <c r="S33" s="141" t="s">
        <v>1049</v>
      </c>
      <c r="T33" s="140" t="s">
        <v>131</v>
      </c>
      <c r="U33" s="76"/>
      <c r="AC33" t="s">
        <v>2</v>
      </c>
      <c r="AD33" s="81"/>
      <c r="AE33" s="81"/>
      <c r="AF33" s="81"/>
      <c r="AG33" s="81"/>
      <c r="AH33" s="81"/>
      <c r="AI33" s="81"/>
      <c r="AJ33" s="81"/>
    </row>
    <row r="34" spans="1:38">
      <c r="D34" t="s">
        <v>79</v>
      </c>
      <c r="E34" t="s">
        <v>68</v>
      </c>
      <c r="F34" s="435" t="s">
        <v>274</v>
      </c>
      <c r="G34" s="435" t="s">
        <v>12</v>
      </c>
      <c r="H34" t="s">
        <v>281</v>
      </c>
      <c r="I34" t="s">
        <v>7</v>
      </c>
      <c r="J34" t="s">
        <v>280</v>
      </c>
      <c r="K34" s="96"/>
      <c r="L34" s="96"/>
      <c r="N34" t="s">
        <v>280</v>
      </c>
      <c r="O34" t="s">
        <v>218</v>
      </c>
      <c r="P34" s="138"/>
      <c r="Q34" s="148" t="s">
        <v>289</v>
      </c>
      <c r="R34" s="139"/>
      <c r="S34" s="141" t="s">
        <v>1049</v>
      </c>
      <c r="T34" s="140" t="s">
        <v>1021</v>
      </c>
      <c r="U34" s="76"/>
      <c r="AC34" t="s">
        <v>2</v>
      </c>
      <c r="AD34" s="81"/>
      <c r="AE34" s="81"/>
      <c r="AF34" s="81"/>
      <c r="AG34" s="81"/>
      <c r="AH34" s="81"/>
      <c r="AI34" s="81"/>
      <c r="AJ34" s="81"/>
    </row>
    <row r="35" spans="1:38">
      <c r="D35" t="s">
        <v>79</v>
      </c>
      <c r="E35" t="s">
        <v>68</v>
      </c>
      <c r="F35" s="435" t="s">
        <v>274</v>
      </c>
      <c r="G35" s="435" t="s">
        <v>12</v>
      </c>
      <c r="H35" t="s">
        <v>281</v>
      </c>
      <c r="I35" t="s">
        <v>7</v>
      </c>
      <c r="J35" t="s">
        <v>280</v>
      </c>
      <c r="K35" s="96"/>
      <c r="L35" s="96"/>
      <c r="N35" t="s">
        <v>280</v>
      </c>
      <c r="O35" t="s">
        <v>218</v>
      </c>
      <c r="P35" s="138"/>
      <c r="Q35" s="148" t="s">
        <v>289</v>
      </c>
      <c r="R35" s="139"/>
      <c r="S35" s="141" t="s">
        <v>1049</v>
      </c>
      <c r="T35" s="141" t="s">
        <v>1052</v>
      </c>
      <c r="U35" s="76"/>
      <c r="AC35" t="s">
        <v>2</v>
      </c>
      <c r="AD35" s="81"/>
      <c r="AE35" s="81"/>
      <c r="AF35" s="81"/>
      <c r="AG35" s="81"/>
      <c r="AH35" s="81"/>
      <c r="AI35" s="81"/>
      <c r="AJ35" s="81"/>
    </row>
    <row r="36" spans="1:38">
      <c r="D36" t="s">
        <v>79</v>
      </c>
      <c r="E36" t="s">
        <v>68</v>
      </c>
      <c r="F36" s="435" t="s">
        <v>274</v>
      </c>
      <c r="G36" s="435" t="s">
        <v>12</v>
      </c>
      <c r="H36" t="s">
        <v>281</v>
      </c>
      <c r="I36" t="s">
        <v>7</v>
      </c>
      <c r="J36" t="s">
        <v>280</v>
      </c>
      <c r="K36" s="96"/>
      <c r="L36" s="96"/>
      <c r="N36" t="s">
        <v>280</v>
      </c>
      <c r="O36" t="s">
        <v>218</v>
      </c>
      <c r="P36" s="142"/>
      <c r="Q36" s="148" t="s">
        <v>289</v>
      </c>
      <c r="R36" s="139"/>
      <c r="S36" s="81"/>
      <c r="T36" s="81"/>
      <c r="U36" s="76"/>
      <c r="AC36" t="s">
        <v>2</v>
      </c>
      <c r="AD36" s="81"/>
      <c r="AE36" s="81"/>
      <c r="AF36" s="81"/>
      <c r="AG36" s="81"/>
      <c r="AH36" s="81"/>
      <c r="AI36" s="81"/>
      <c r="AJ36" s="81"/>
    </row>
    <row r="37" spans="1:38">
      <c r="D37" t="s">
        <v>79</v>
      </c>
      <c r="E37" t="s">
        <v>68</v>
      </c>
      <c r="F37" s="435" t="s">
        <v>274</v>
      </c>
      <c r="G37" s="435" t="s">
        <v>12</v>
      </c>
      <c r="H37" t="s">
        <v>281</v>
      </c>
      <c r="I37" t="s">
        <v>7</v>
      </c>
      <c r="J37" t="s">
        <v>280</v>
      </c>
      <c r="K37" s="96"/>
      <c r="L37" s="96"/>
      <c r="N37" t="s">
        <v>280</v>
      </c>
      <c r="O37" t="s">
        <v>218</v>
      </c>
      <c r="P37" s="142"/>
      <c r="Q37" s="148" t="s">
        <v>289</v>
      </c>
      <c r="R37" s="139"/>
      <c r="S37" s="81"/>
      <c r="T37" s="81"/>
      <c r="U37" s="76"/>
      <c r="AC37" t="s">
        <v>2</v>
      </c>
      <c r="AD37" s="81"/>
      <c r="AE37" s="81"/>
      <c r="AF37" s="81"/>
      <c r="AG37" s="81"/>
      <c r="AH37" s="81"/>
      <c r="AI37" s="81"/>
      <c r="AJ37" s="81"/>
    </row>
    <row r="38" spans="1:38">
      <c r="P38" s="143"/>
      <c r="Q38" s="146"/>
      <c r="AJ38" s="435"/>
    </row>
    <row r="39" spans="1:38" s="1" customFormat="1" ht="13.9">
      <c r="A39" s="66"/>
      <c r="B39" s="78" t="s">
        <v>1053</v>
      </c>
      <c r="P39" s="144"/>
      <c r="Q39" s="147"/>
      <c r="R39" s="137"/>
      <c r="S39" s="137"/>
      <c r="T39" s="137"/>
    </row>
    <row r="40" spans="1:38">
      <c r="P40" s="143"/>
      <c r="Q40" s="146"/>
      <c r="AJ40" s="435"/>
    </row>
    <row r="41" spans="1:38">
      <c r="D41" t="s">
        <v>79</v>
      </c>
      <c r="E41" t="s">
        <v>68</v>
      </c>
      <c r="F41" s="435" t="s">
        <v>274</v>
      </c>
      <c r="G41" s="435" t="s">
        <v>12</v>
      </c>
      <c r="H41" t="s">
        <v>281</v>
      </c>
      <c r="I41" t="s">
        <v>7</v>
      </c>
      <c r="J41" t="s">
        <v>280</v>
      </c>
      <c r="K41" s="96"/>
      <c r="L41" s="96"/>
      <c r="N41" t="s">
        <v>280</v>
      </c>
      <c r="O41" t="s">
        <v>218</v>
      </c>
      <c r="P41" s="138"/>
      <c r="Q41" s="145" t="s">
        <v>1053</v>
      </c>
      <c r="R41" s="139"/>
      <c r="S41" s="140" t="s">
        <v>1016</v>
      </c>
      <c r="T41" s="140" t="s">
        <v>1017</v>
      </c>
      <c r="U41" s="76"/>
      <c r="AC41" t="s">
        <v>2</v>
      </c>
      <c r="AD41" s="81"/>
      <c r="AE41" s="81"/>
      <c r="AF41" s="81"/>
      <c r="AG41" s="81"/>
      <c r="AH41" s="81"/>
      <c r="AI41" s="81"/>
      <c r="AJ41" s="81"/>
      <c r="AL41" s="435"/>
    </row>
    <row r="42" spans="1:38">
      <c r="D42" t="s">
        <v>79</v>
      </c>
      <c r="E42" t="s">
        <v>68</v>
      </c>
      <c r="F42" s="435" t="s">
        <v>274</v>
      </c>
      <c r="G42" s="435" t="s">
        <v>12</v>
      </c>
      <c r="H42" t="s">
        <v>281</v>
      </c>
      <c r="I42" t="s">
        <v>7</v>
      </c>
      <c r="J42" t="s">
        <v>280</v>
      </c>
      <c r="K42" s="96"/>
      <c r="L42" s="96"/>
      <c r="N42" t="s">
        <v>280</v>
      </c>
      <c r="O42" t="s">
        <v>218</v>
      </c>
      <c r="P42" s="138"/>
      <c r="Q42" s="145" t="s">
        <v>1053</v>
      </c>
      <c r="R42" s="139"/>
      <c r="S42" s="140" t="s">
        <v>1016</v>
      </c>
      <c r="T42" s="140" t="s">
        <v>1018</v>
      </c>
      <c r="U42" s="76"/>
      <c r="AC42" t="s">
        <v>2</v>
      </c>
      <c r="AD42" s="81"/>
      <c r="AE42" s="81"/>
      <c r="AF42" s="81"/>
      <c r="AG42" s="81"/>
      <c r="AH42" s="81"/>
      <c r="AI42" s="81"/>
      <c r="AJ42" s="81"/>
    </row>
    <row r="43" spans="1:38">
      <c r="D43" t="s">
        <v>79</v>
      </c>
      <c r="E43" t="s">
        <v>68</v>
      </c>
      <c r="F43" s="435" t="s">
        <v>274</v>
      </c>
      <c r="G43" s="435" t="s">
        <v>12</v>
      </c>
      <c r="H43" t="s">
        <v>281</v>
      </c>
      <c r="I43" t="s">
        <v>7</v>
      </c>
      <c r="J43" t="s">
        <v>280</v>
      </c>
      <c r="K43" s="96"/>
      <c r="L43" s="96"/>
      <c r="N43" t="s">
        <v>280</v>
      </c>
      <c r="O43" t="s">
        <v>218</v>
      </c>
      <c r="P43" s="138"/>
      <c r="Q43" s="145" t="s">
        <v>1053</v>
      </c>
      <c r="R43" s="139"/>
      <c r="S43" s="140" t="s">
        <v>1016</v>
      </c>
      <c r="T43" s="141" t="s">
        <v>1050</v>
      </c>
      <c r="U43" s="76"/>
      <c r="AC43" t="s">
        <v>2</v>
      </c>
      <c r="AD43" s="81"/>
      <c r="AE43" s="81"/>
      <c r="AF43" s="81"/>
      <c r="AG43" s="81"/>
      <c r="AH43" s="81"/>
      <c r="AI43" s="81"/>
      <c r="AJ43" s="81"/>
    </row>
    <row r="44" spans="1:38">
      <c r="D44" t="s">
        <v>79</v>
      </c>
      <c r="E44" t="s">
        <v>68</v>
      </c>
      <c r="F44" s="435" t="s">
        <v>274</v>
      </c>
      <c r="G44" s="435" t="s">
        <v>12</v>
      </c>
      <c r="H44" t="s">
        <v>281</v>
      </c>
      <c r="I44" t="s">
        <v>7</v>
      </c>
      <c r="J44" t="s">
        <v>280</v>
      </c>
      <c r="K44" s="96"/>
      <c r="L44" s="96"/>
      <c r="N44" t="s">
        <v>280</v>
      </c>
      <c r="O44" t="s">
        <v>218</v>
      </c>
      <c r="P44" s="138"/>
      <c r="Q44" s="145" t="s">
        <v>1053</v>
      </c>
      <c r="R44" s="139"/>
      <c r="S44" s="140" t="s">
        <v>1016</v>
      </c>
      <c r="T44" s="141" t="s">
        <v>1051</v>
      </c>
      <c r="U44" s="76"/>
      <c r="AC44" t="s">
        <v>2</v>
      </c>
      <c r="AD44" s="81"/>
      <c r="AE44" s="81"/>
      <c r="AF44" s="81"/>
      <c r="AG44" s="81"/>
      <c r="AH44" s="81"/>
      <c r="AI44" s="81"/>
      <c r="AJ44" s="81"/>
    </row>
    <row r="45" spans="1:38">
      <c r="D45" t="s">
        <v>79</v>
      </c>
      <c r="E45" t="s">
        <v>68</v>
      </c>
      <c r="F45" s="435" t="s">
        <v>274</v>
      </c>
      <c r="G45" s="435" t="s">
        <v>12</v>
      </c>
      <c r="H45" t="s">
        <v>281</v>
      </c>
      <c r="I45" t="s">
        <v>7</v>
      </c>
      <c r="J45" t="s">
        <v>280</v>
      </c>
      <c r="K45" s="96"/>
      <c r="L45" s="96"/>
      <c r="N45" t="s">
        <v>280</v>
      </c>
      <c r="O45" t="s">
        <v>218</v>
      </c>
      <c r="P45" s="138"/>
      <c r="Q45" s="145" t="s">
        <v>1053</v>
      </c>
      <c r="R45" s="139"/>
      <c r="S45" s="140" t="s">
        <v>1016</v>
      </c>
      <c r="T45" s="140" t="s">
        <v>1019</v>
      </c>
      <c r="U45" s="76"/>
      <c r="AC45" t="s">
        <v>2</v>
      </c>
      <c r="AD45" s="81"/>
      <c r="AE45" s="81"/>
      <c r="AF45" s="81"/>
      <c r="AG45" s="81"/>
      <c r="AH45" s="81"/>
      <c r="AI45" s="81"/>
      <c r="AJ45" s="81"/>
    </row>
    <row r="46" spans="1:38">
      <c r="D46" t="s">
        <v>79</v>
      </c>
      <c r="E46" t="s">
        <v>68</v>
      </c>
      <c r="F46" s="435" t="s">
        <v>274</v>
      </c>
      <c r="G46" s="435" t="s">
        <v>12</v>
      </c>
      <c r="H46" t="s">
        <v>281</v>
      </c>
      <c r="I46" t="s">
        <v>7</v>
      </c>
      <c r="J46" t="s">
        <v>280</v>
      </c>
      <c r="K46" s="96"/>
      <c r="L46" s="96"/>
      <c r="N46" t="s">
        <v>280</v>
      </c>
      <c r="O46" t="s">
        <v>218</v>
      </c>
      <c r="P46" s="138"/>
      <c r="Q46" s="145" t="s">
        <v>1053</v>
      </c>
      <c r="R46" s="139"/>
      <c r="S46" s="141" t="s">
        <v>1049</v>
      </c>
      <c r="T46" s="140" t="s">
        <v>1020</v>
      </c>
      <c r="U46" s="76"/>
      <c r="AC46" t="s">
        <v>2</v>
      </c>
      <c r="AD46" s="81"/>
      <c r="AE46" s="81"/>
      <c r="AF46" s="81"/>
      <c r="AG46" s="81"/>
      <c r="AH46" s="81"/>
      <c r="AI46" s="81"/>
      <c r="AJ46" s="81"/>
    </row>
    <row r="47" spans="1:38">
      <c r="D47" t="s">
        <v>79</v>
      </c>
      <c r="E47" t="s">
        <v>68</v>
      </c>
      <c r="F47" s="435" t="s">
        <v>274</v>
      </c>
      <c r="G47" s="435" t="s">
        <v>12</v>
      </c>
      <c r="H47" t="s">
        <v>281</v>
      </c>
      <c r="I47" t="s">
        <v>7</v>
      </c>
      <c r="J47" t="s">
        <v>280</v>
      </c>
      <c r="K47" s="96"/>
      <c r="L47" s="96"/>
      <c r="N47" t="s">
        <v>280</v>
      </c>
      <c r="O47" t="s">
        <v>218</v>
      </c>
      <c r="P47" s="138"/>
      <c r="Q47" s="145" t="s">
        <v>1053</v>
      </c>
      <c r="R47" s="139"/>
      <c r="S47" s="141" t="s">
        <v>1049</v>
      </c>
      <c r="T47" s="140" t="s">
        <v>131</v>
      </c>
      <c r="U47" s="76"/>
      <c r="AC47" t="s">
        <v>2</v>
      </c>
      <c r="AD47" s="81"/>
      <c r="AE47" s="81"/>
      <c r="AF47" s="81"/>
      <c r="AG47" s="81"/>
      <c r="AH47" s="81"/>
      <c r="AI47" s="81"/>
      <c r="AJ47" s="81"/>
    </row>
    <row r="48" spans="1:38">
      <c r="D48" t="s">
        <v>79</v>
      </c>
      <c r="E48" t="s">
        <v>68</v>
      </c>
      <c r="F48" s="435" t="s">
        <v>274</v>
      </c>
      <c r="G48" s="435" t="s">
        <v>12</v>
      </c>
      <c r="H48" t="s">
        <v>281</v>
      </c>
      <c r="I48" t="s">
        <v>7</v>
      </c>
      <c r="J48" t="s">
        <v>280</v>
      </c>
      <c r="K48" s="96"/>
      <c r="L48" s="96"/>
      <c r="N48" t="s">
        <v>280</v>
      </c>
      <c r="O48" t="s">
        <v>218</v>
      </c>
      <c r="P48" s="138"/>
      <c r="Q48" s="145" t="s">
        <v>1053</v>
      </c>
      <c r="R48" s="139"/>
      <c r="S48" s="141" t="s">
        <v>1049</v>
      </c>
      <c r="T48" s="140" t="s">
        <v>1021</v>
      </c>
      <c r="U48" s="76"/>
      <c r="AC48" t="s">
        <v>2</v>
      </c>
      <c r="AD48" s="81"/>
      <c r="AE48" s="81"/>
      <c r="AF48" s="81"/>
      <c r="AG48" s="81"/>
      <c r="AH48" s="81"/>
      <c r="AI48" s="81"/>
      <c r="AJ48" s="81"/>
    </row>
    <row r="49" spans="1:38">
      <c r="D49" t="s">
        <v>79</v>
      </c>
      <c r="E49" t="s">
        <v>68</v>
      </c>
      <c r="F49" s="435" t="s">
        <v>274</v>
      </c>
      <c r="G49" s="435" t="s">
        <v>12</v>
      </c>
      <c r="H49" t="s">
        <v>281</v>
      </c>
      <c r="I49" t="s">
        <v>7</v>
      </c>
      <c r="J49" t="s">
        <v>280</v>
      </c>
      <c r="K49" s="96"/>
      <c r="L49" s="96"/>
      <c r="N49" t="s">
        <v>280</v>
      </c>
      <c r="O49" t="s">
        <v>218</v>
      </c>
      <c r="P49" s="138"/>
      <c r="Q49" s="145" t="s">
        <v>1053</v>
      </c>
      <c r="R49" s="139"/>
      <c r="S49" s="141" t="s">
        <v>1049</v>
      </c>
      <c r="T49" s="141" t="s">
        <v>1052</v>
      </c>
      <c r="U49" s="76"/>
      <c r="AC49" t="s">
        <v>2</v>
      </c>
      <c r="AD49" s="81"/>
      <c r="AE49" s="81"/>
      <c r="AF49" s="81"/>
      <c r="AG49" s="81"/>
      <c r="AH49" s="81"/>
      <c r="AI49" s="81"/>
      <c r="AJ49" s="81"/>
    </row>
    <row r="50" spans="1:38">
      <c r="D50" t="s">
        <v>79</v>
      </c>
      <c r="E50" t="s">
        <v>68</v>
      </c>
      <c r="F50" s="435" t="s">
        <v>274</v>
      </c>
      <c r="G50" s="435" t="s">
        <v>12</v>
      </c>
      <c r="H50" t="s">
        <v>281</v>
      </c>
      <c r="I50" t="s">
        <v>7</v>
      </c>
      <c r="J50" t="s">
        <v>280</v>
      </c>
      <c r="K50" s="96"/>
      <c r="L50" s="96"/>
      <c r="N50" t="s">
        <v>280</v>
      </c>
      <c r="O50" t="s">
        <v>218</v>
      </c>
      <c r="P50" s="142"/>
      <c r="Q50" s="145" t="s">
        <v>1053</v>
      </c>
      <c r="R50" s="139"/>
      <c r="S50" s="81"/>
      <c r="T50" s="81"/>
      <c r="U50" s="76"/>
      <c r="AC50" t="s">
        <v>2</v>
      </c>
      <c r="AD50" s="81"/>
      <c r="AE50" s="81"/>
      <c r="AF50" s="81"/>
      <c r="AG50" s="81"/>
      <c r="AH50" s="81"/>
      <c r="AI50" s="81"/>
      <c r="AJ50" s="81"/>
    </row>
    <row r="51" spans="1:38">
      <c r="D51" t="s">
        <v>79</v>
      </c>
      <c r="E51" t="s">
        <v>68</v>
      </c>
      <c r="F51" s="435" t="s">
        <v>274</v>
      </c>
      <c r="G51" s="435" t="s">
        <v>12</v>
      </c>
      <c r="H51" t="s">
        <v>281</v>
      </c>
      <c r="I51" t="s">
        <v>7</v>
      </c>
      <c r="J51" t="s">
        <v>280</v>
      </c>
      <c r="K51" s="96"/>
      <c r="L51" s="96"/>
      <c r="N51" t="s">
        <v>280</v>
      </c>
      <c r="O51" t="s">
        <v>218</v>
      </c>
      <c r="P51" s="142"/>
      <c r="Q51" s="145" t="s">
        <v>1053</v>
      </c>
      <c r="R51" s="139"/>
      <c r="S51" s="81"/>
      <c r="T51" s="81"/>
      <c r="U51" s="76"/>
      <c r="AC51" t="s">
        <v>2</v>
      </c>
      <c r="AD51" s="81"/>
      <c r="AE51" s="81"/>
      <c r="AF51" s="81"/>
      <c r="AG51" s="81"/>
      <c r="AH51" s="81"/>
      <c r="AI51" s="81"/>
      <c r="AJ51" s="81"/>
    </row>
    <row r="52" spans="1:38">
      <c r="P52" s="143"/>
      <c r="Q52" s="146"/>
      <c r="AJ52" s="435"/>
    </row>
    <row r="53" spans="1:38" s="1" customFormat="1" ht="13.9">
      <c r="A53" s="66"/>
      <c r="B53" s="78" t="s">
        <v>1022</v>
      </c>
      <c r="P53" s="144"/>
      <c r="Q53" s="147"/>
      <c r="R53" s="137"/>
      <c r="S53" s="137"/>
      <c r="T53" s="137"/>
    </row>
    <row r="54" spans="1:38">
      <c r="P54" s="143"/>
      <c r="Q54" s="146"/>
      <c r="AJ54" s="435"/>
    </row>
    <row r="55" spans="1:38">
      <c r="D55" t="s">
        <v>79</v>
      </c>
      <c r="E55" t="s">
        <v>68</v>
      </c>
      <c r="F55" s="435" t="s">
        <v>274</v>
      </c>
      <c r="G55" s="435" t="s">
        <v>12</v>
      </c>
      <c r="H55" t="s">
        <v>281</v>
      </c>
      <c r="I55" t="s">
        <v>7</v>
      </c>
      <c r="J55" t="s">
        <v>280</v>
      </c>
      <c r="K55" s="96"/>
      <c r="L55" s="96"/>
      <c r="N55" t="s">
        <v>280</v>
      </c>
      <c r="O55" t="s">
        <v>218</v>
      </c>
      <c r="P55" s="138"/>
      <c r="Q55" s="145" t="s">
        <v>1022</v>
      </c>
      <c r="R55" s="139"/>
      <c r="S55" s="140" t="s">
        <v>1016</v>
      </c>
      <c r="T55" s="140" t="s">
        <v>1017</v>
      </c>
      <c r="U55" s="76"/>
      <c r="AC55" t="s">
        <v>2</v>
      </c>
      <c r="AD55" s="81"/>
      <c r="AE55" s="81"/>
      <c r="AF55" s="81"/>
      <c r="AG55" s="81"/>
      <c r="AH55" s="81"/>
      <c r="AI55" s="81"/>
      <c r="AJ55" s="81"/>
      <c r="AL55" s="435"/>
    </row>
    <row r="56" spans="1:38">
      <c r="D56" t="s">
        <v>79</v>
      </c>
      <c r="E56" t="s">
        <v>68</v>
      </c>
      <c r="F56" s="435" t="s">
        <v>274</v>
      </c>
      <c r="G56" s="435" t="s">
        <v>12</v>
      </c>
      <c r="H56" t="s">
        <v>281</v>
      </c>
      <c r="I56" t="s">
        <v>7</v>
      </c>
      <c r="J56" t="s">
        <v>280</v>
      </c>
      <c r="K56" s="96"/>
      <c r="L56" s="96"/>
      <c r="N56" t="s">
        <v>280</v>
      </c>
      <c r="O56" t="s">
        <v>218</v>
      </c>
      <c r="P56" s="138"/>
      <c r="Q56" s="145" t="s">
        <v>1022</v>
      </c>
      <c r="R56" s="139"/>
      <c r="S56" s="140" t="s">
        <v>1016</v>
      </c>
      <c r="T56" s="140" t="s">
        <v>1018</v>
      </c>
      <c r="U56" s="76"/>
      <c r="AC56" t="s">
        <v>2</v>
      </c>
      <c r="AD56" s="81"/>
      <c r="AE56" s="81"/>
      <c r="AF56" s="81"/>
      <c r="AG56" s="81"/>
      <c r="AH56" s="81"/>
      <c r="AI56" s="81"/>
      <c r="AJ56" s="81"/>
    </row>
    <row r="57" spans="1:38">
      <c r="D57" t="s">
        <v>79</v>
      </c>
      <c r="E57" t="s">
        <v>68</v>
      </c>
      <c r="F57" s="435" t="s">
        <v>274</v>
      </c>
      <c r="G57" s="435" t="s">
        <v>12</v>
      </c>
      <c r="H57" t="s">
        <v>281</v>
      </c>
      <c r="I57" t="s">
        <v>7</v>
      </c>
      <c r="J57" t="s">
        <v>280</v>
      </c>
      <c r="K57" s="96"/>
      <c r="L57" s="96"/>
      <c r="N57" t="s">
        <v>280</v>
      </c>
      <c r="O57" t="s">
        <v>218</v>
      </c>
      <c r="P57" s="138"/>
      <c r="Q57" s="145" t="s">
        <v>1022</v>
      </c>
      <c r="R57" s="139"/>
      <c r="S57" s="140" t="s">
        <v>1016</v>
      </c>
      <c r="T57" s="141" t="s">
        <v>1050</v>
      </c>
      <c r="U57" s="76"/>
      <c r="AC57" t="s">
        <v>2</v>
      </c>
      <c r="AD57" s="81"/>
      <c r="AE57" s="81"/>
      <c r="AF57" s="81"/>
      <c r="AG57" s="81"/>
      <c r="AH57" s="81"/>
      <c r="AI57" s="81"/>
      <c r="AJ57" s="81"/>
    </row>
    <row r="58" spans="1:38">
      <c r="D58" t="s">
        <v>79</v>
      </c>
      <c r="E58" t="s">
        <v>68</v>
      </c>
      <c r="F58" s="435" t="s">
        <v>274</v>
      </c>
      <c r="G58" s="435" t="s">
        <v>12</v>
      </c>
      <c r="H58" t="s">
        <v>281</v>
      </c>
      <c r="I58" t="s">
        <v>7</v>
      </c>
      <c r="J58" t="s">
        <v>280</v>
      </c>
      <c r="K58" s="96"/>
      <c r="L58" s="96"/>
      <c r="N58" t="s">
        <v>280</v>
      </c>
      <c r="O58" t="s">
        <v>218</v>
      </c>
      <c r="P58" s="138"/>
      <c r="Q58" s="145" t="s">
        <v>1022</v>
      </c>
      <c r="R58" s="139"/>
      <c r="S58" s="140" t="s">
        <v>1016</v>
      </c>
      <c r="T58" s="141" t="s">
        <v>1051</v>
      </c>
      <c r="U58" s="76"/>
      <c r="AC58" t="s">
        <v>2</v>
      </c>
      <c r="AD58" s="81"/>
      <c r="AE58" s="81"/>
      <c r="AF58" s="81"/>
      <c r="AG58" s="81"/>
      <c r="AH58" s="81"/>
      <c r="AI58" s="81"/>
      <c r="AJ58" s="81"/>
    </row>
    <row r="59" spans="1:38">
      <c r="D59" t="s">
        <v>79</v>
      </c>
      <c r="E59" t="s">
        <v>68</v>
      </c>
      <c r="F59" s="435" t="s">
        <v>274</v>
      </c>
      <c r="G59" s="435" t="s">
        <v>12</v>
      </c>
      <c r="H59" t="s">
        <v>281</v>
      </c>
      <c r="I59" t="s">
        <v>7</v>
      </c>
      <c r="J59" t="s">
        <v>280</v>
      </c>
      <c r="K59" s="96"/>
      <c r="L59" s="96"/>
      <c r="N59" t="s">
        <v>280</v>
      </c>
      <c r="O59" t="s">
        <v>218</v>
      </c>
      <c r="P59" s="138"/>
      <c r="Q59" s="145" t="s">
        <v>1022</v>
      </c>
      <c r="R59" s="139"/>
      <c r="S59" s="140" t="s">
        <v>1016</v>
      </c>
      <c r="T59" s="140" t="s">
        <v>1019</v>
      </c>
      <c r="U59" s="76"/>
      <c r="AC59" t="s">
        <v>2</v>
      </c>
      <c r="AD59" s="81"/>
      <c r="AE59" s="81"/>
      <c r="AF59" s="81"/>
      <c r="AG59" s="81"/>
      <c r="AH59" s="81"/>
      <c r="AI59" s="81"/>
      <c r="AJ59" s="81"/>
    </row>
    <row r="60" spans="1:38">
      <c r="D60" t="s">
        <v>79</v>
      </c>
      <c r="E60" t="s">
        <v>68</v>
      </c>
      <c r="F60" s="435" t="s">
        <v>274</v>
      </c>
      <c r="G60" s="435" t="s">
        <v>12</v>
      </c>
      <c r="H60" t="s">
        <v>281</v>
      </c>
      <c r="I60" t="s">
        <v>7</v>
      </c>
      <c r="J60" t="s">
        <v>280</v>
      </c>
      <c r="K60" s="96"/>
      <c r="L60" s="96"/>
      <c r="N60" t="s">
        <v>280</v>
      </c>
      <c r="O60" t="s">
        <v>218</v>
      </c>
      <c r="P60" s="138"/>
      <c r="Q60" s="145" t="s">
        <v>1022</v>
      </c>
      <c r="R60" s="139"/>
      <c r="S60" s="141" t="s">
        <v>1049</v>
      </c>
      <c r="T60" s="140" t="s">
        <v>1020</v>
      </c>
      <c r="U60" s="76"/>
      <c r="AC60" t="s">
        <v>2</v>
      </c>
      <c r="AD60" s="81"/>
      <c r="AE60" s="81"/>
      <c r="AF60" s="81"/>
      <c r="AG60" s="81"/>
      <c r="AH60" s="81"/>
      <c r="AI60" s="81"/>
      <c r="AJ60" s="81"/>
    </row>
    <row r="61" spans="1:38">
      <c r="D61" t="s">
        <v>79</v>
      </c>
      <c r="E61" t="s">
        <v>68</v>
      </c>
      <c r="F61" s="435" t="s">
        <v>274</v>
      </c>
      <c r="G61" s="435" t="s">
        <v>12</v>
      </c>
      <c r="H61" t="s">
        <v>281</v>
      </c>
      <c r="I61" t="s">
        <v>7</v>
      </c>
      <c r="J61" t="s">
        <v>280</v>
      </c>
      <c r="K61" s="96"/>
      <c r="L61" s="96"/>
      <c r="N61" t="s">
        <v>280</v>
      </c>
      <c r="O61" t="s">
        <v>218</v>
      </c>
      <c r="P61" s="138"/>
      <c r="Q61" s="145" t="s">
        <v>1022</v>
      </c>
      <c r="R61" s="139"/>
      <c r="S61" s="141" t="s">
        <v>1049</v>
      </c>
      <c r="T61" s="140" t="s">
        <v>131</v>
      </c>
      <c r="U61" s="76"/>
      <c r="AC61" t="s">
        <v>2</v>
      </c>
      <c r="AD61" s="81"/>
      <c r="AE61" s="81"/>
      <c r="AF61" s="81"/>
      <c r="AG61" s="81"/>
      <c r="AH61" s="81"/>
      <c r="AI61" s="81"/>
      <c r="AJ61" s="81"/>
    </row>
    <row r="62" spans="1:38">
      <c r="D62" t="s">
        <v>79</v>
      </c>
      <c r="E62" t="s">
        <v>68</v>
      </c>
      <c r="F62" s="435" t="s">
        <v>274</v>
      </c>
      <c r="G62" s="435" t="s">
        <v>12</v>
      </c>
      <c r="H62" t="s">
        <v>281</v>
      </c>
      <c r="I62" t="s">
        <v>7</v>
      </c>
      <c r="J62" t="s">
        <v>280</v>
      </c>
      <c r="K62" s="96"/>
      <c r="L62" s="96"/>
      <c r="N62" t="s">
        <v>280</v>
      </c>
      <c r="O62" t="s">
        <v>218</v>
      </c>
      <c r="P62" s="138"/>
      <c r="Q62" s="145" t="s">
        <v>1022</v>
      </c>
      <c r="R62" s="139"/>
      <c r="S62" s="141" t="s">
        <v>1049</v>
      </c>
      <c r="T62" s="140" t="s">
        <v>1021</v>
      </c>
      <c r="U62" s="76"/>
      <c r="AC62" t="s">
        <v>2</v>
      </c>
      <c r="AD62" s="81"/>
      <c r="AE62" s="81"/>
      <c r="AF62" s="81"/>
      <c r="AG62" s="81"/>
      <c r="AH62" s="81"/>
      <c r="AI62" s="81"/>
      <c r="AJ62" s="81"/>
    </row>
    <row r="63" spans="1:38">
      <c r="D63" t="s">
        <v>79</v>
      </c>
      <c r="E63" t="s">
        <v>68</v>
      </c>
      <c r="F63" s="435" t="s">
        <v>274</v>
      </c>
      <c r="G63" s="435" t="s">
        <v>12</v>
      </c>
      <c r="H63" t="s">
        <v>281</v>
      </c>
      <c r="I63" t="s">
        <v>7</v>
      </c>
      <c r="J63" t="s">
        <v>280</v>
      </c>
      <c r="K63" s="96"/>
      <c r="L63" s="96"/>
      <c r="N63" t="s">
        <v>280</v>
      </c>
      <c r="O63" t="s">
        <v>218</v>
      </c>
      <c r="P63" s="138"/>
      <c r="Q63" s="145" t="s">
        <v>1022</v>
      </c>
      <c r="R63" s="139"/>
      <c r="S63" s="141" t="s">
        <v>1049</v>
      </c>
      <c r="T63" s="141" t="s">
        <v>1052</v>
      </c>
      <c r="U63" s="76"/>
      <c r="AC63" t="s">
        <v>2</v>
      </c>
      <c r="AD63" s="81"/>
      <c r="AE63" s="81"/>
      <c r="AF63" s="81"/>
      <c r="AG63" s="81"/>
      <c r="AH63" s="81"/>
      <c r="AI63" s="81"/>
      <c r="AJ63" s="81"/>
    </row>
    <row r="64" spans="1:38">
      <c r="D64" t="s">
        <v>79</v>
      </c>
      <c r="E64" t="s">
        <v>68</v>
      </c>
      <c r="F64" s="435" t="s">
        <v>274</v>
      </c>
      <c r="G64" s="435" t="s">
        <v>12</v>
      </c>
      <c r="H64" t="s">
        <v>281</v>
      </c>
      <c r="I64" t="s">
        <v>7</v>
      </c>
      <c r="J64" t="s">
        <v>280</v>
      </c>
      <c r="K64" s="96"/>
      <c r="L64" s="96"/>
      <c r="N64" t="s">
        <v>280</v>
      </c>
      <c r="O64" t="s">
        <v>218</v>
      </c>
      <c r="P64" s="142"/>
      <c r="Q64" s="145" t="s">
        <v>1022</v>
      </c>
      <c r="R64" s="139"/>
      <c r="S64" s="81"/>
      <c r="T64" s="81"/>
      <c r="U64" s="76"/>
      <c r="AC64" t="s">
        <v>2</v>
      </c>
      <c r="AD64" s="81"/>
      <c r="AE64" s="81"/>
      <c r="AF64" s="81"/>
      <c r="AG64" s="81"/>
      <c r="AH64" s="81"/>
      <c r="AI64" s="81"/>
      <c r="AJ64" s="81"/>
    </row>
    <row r="65" spans="1:38">
      <c r="D65" t="s">
        <v>79</v>
      </c>
      <c r="E65" t="s">
        <v>68</v>
      </c>
      <c r="F65" s="435" t="s">
        <v>274</v>
      </c>
      <c r="G65" s="435" t="s">
        <v>12</v>
      </c>
      <c r="H65" t="s">
        <v>281</v>
      </c>
      <c r="I65" t="s">
        <v>7</v>
      </c>
      <c r="J65" t="s">
        <v>280</v>
      </c>
      <c r="K65" s="96"/>
      <c r="L65" s="96"/>
      <c r="N65" t="s">
        <v>280</v>
      </c>
      <c r="O65" t="s">
        <v>218</v>
      </c>
      <c r="P65" s="142"/>
      <c r="Q65" s="145" t="s">
        <v>1022</v>
      </c>
      <c r="R65" s="139"/>
      <c r="S65" s="81"/>
      <c r="T65" s="81"/>
      <c r="U65" s="76"/>
      <c r="AC65" t="s">
        <v>2</v>
      </c>
      <c r="AD65" s="81"/>
      <c r="AE65" s="81"/>
      <c r="AF65" s="81"/>
      <c r="AG65" s="81"/>
      <c r="AH65" s="81"/>
      <c r="AI65" s="81"/>
      <c r="AJ65" s="81"/>
    </row>
    <row r="66" spans="1:38">
      <c r="P66" s="143"/>
      <c r="Q66" s="146"/>
      <c r="AJ66" s="435"/>
    </row>
    <row r="67" spans="1:38" s="1" customFormat="1" ht="13.9">
      <c r="A67" s="66"/>
      <c r="B67" s="78" t="s">
        <v>288</v>
      </c>
      <c r="P67" s="144"/>
      <c r="Q67" s="147"/>
      <c r="R67" s="137"/>
      <c r="S67" s="137"/>
      <c r="T67" s="137"/>
    </row>
    <row r="68" spans="1:38">
      <c r="P68" s="143"/>
      <c r="Q68" s="146"/>
      <c r="AJ68" s="435"/>
    </row>
    <row r="69" spans="1:38">
      <c r="D69" t="s">
        <v>79</v>
      </c>
      <c r="E69" t="s">
        <v>68</v>
      </c>
      <c r="F69" s="435" t="s">
        <v>274</v>
      </c>
      <c r="G69" s="435" t="s">
        <v>12</v>
      </c>
      <c r="H69" t="s">
        <v>281</v>
      </c>
      <c r="I69" t="s">
        <v>7</v>
      </c>
      <c r="J69" t="s">
        <v>280</v>
      </c>
      <c r="K69" s="96"/>
      <c r="L69" s="96"/>
      <c r="N69" t="s">
        <v>280</v>
      </c>
      <c r="O69" t="s">
        <v>218</v>
      </c>
      <c r="P69" s="138"/>
      <c r="Q69" s="148" t="s">
        <v>288</v>
      </c>
      <c r="R69" s="139"/>
      <c r="S69" s="140" t="s">
        <v>1016</v>
      </c>
      <c r="T69" s="140" t="s">
        <v>1017</v>
      </c>
      <c r="U69" s="76"/>
      <c r="AC69" t="s">
        <v>2</v>
      </c>
      <c r="AD69" s="81"/>
      <c r="AE69" s="81"/>
      <c r="AF69" s="81"/>
      <c r="AG69" s="81"/>
      <c r="AH69" s="81"/>
      <c r="AI69" s="81"/>
      <c r="AJ69" s="81"/>
      <c r="AL69" s="435"/>
    </row>
    <row r="70" spans="1:38">
      <c r="D70" t="s">
        <v>79</v>
      </c>
      <c r="E70" t="s">
        <v>68</v>
      </c>
      <c r="F70" s="435" t="s">
        <v>274</v>
      </c>
      <c r="G70" s="435" t="s">
        <v>12</v>
      </c>
      <c r="H70" t="s">
        <v>281</v>
      </c>
      <c r="I70" t="s">
        <v>7</v>
      </c>
      <c r="J70" t="s">
        <v>280</v>
      </c>
      <c r="K70" s="96"/>
      <c r="L70" s="96"/>
      <c r="N70" t="s">
        <v>280</v>
      </c>
      <c r="O70" t="s">
        <v>218</v>
      </c>
      <c r="P70" s="138"/>
      <c r="Q70" s="148" t="s">
        <v>288</v>
      </c>
      <c r="R70" s="139"/>
      <c r="S70" s="140" t="s">
        <v>1016</v>
      </c>
      <c r="T70" s="140" t="s">
        <v>1018</v>
      </c>
      <c r="U70" s="76"/>
      <c r="AC70" t="s">
        <v>2</v>
      </c>
      <c r="AD70" s="81"/>
      <c r="AE70" s="81"/>
      <c r="AF70" s="81"/>
      <c r="AG70" s="81"/>
      <c r="AH70" s="81"/>
      <c r="AI70" s="81"/>
      <c r="AJ70" s="81"/>
    </row>
    <row r="71" spans="1:38">
      <c r="D71" t="s">
        <v>79</v>
      </c>
      <c r="E71" t="s">
        <v>68</v>
      </c>
      <c r="F71" s="435" t="s">
        <v>274</v>
      </c>
      <c r="G71" s="435" t="s">
        <v>12</v>
      </c>
      <c r="H71" t="s">
        <v>281</v>
      </c>
      <c r="I71" t="s">
        <v>7</v>
      </c>
      <c r="J71" t="s">
        <v>280</v>
      </c>
      <c r="K71" s="96"/>
      <c r="L71" s="96"/>
      <c r="N71" t="s">
        <v>280</v>
      </c>
      <c r="O71" t="s">
        <v>218</v>
      </c>
      <c r="P71" s="138"/>
      <c r="Q71" s="148" t="s">
        <v>288</v>
      </c>
      <c r="R71" s="139"/>
      <c r="S71" s="140" t="s">
        <v>1016</v>
      </c>
      <c r="T71" s="141" t="s">
        <v>1050</v>
      </c>
      <c r="U71" s="76"/>
      <c r="AC71" t="s">
        <v>2</v>
      </c>
      <c r="AD71" s="81"/>
      <c r="AE71" s="81"/>
      <c r="AF71" s="81"/>
      <c r="AG71" s="81"/>
      <c r="AH71" s="81"/>
      <c r="AI71" s="81"/>
      <c r="AJ71" s="81"/>
    </row>
    <row r="72" spans="1:38">
      <c r="D72" t="s">
        <v>79</v>
      </c>
      <c r="E72" t="s">
        <v>68</v>
      </c>
      <c r="F72" s="435" t="s">
        <v>274</v>
      </c>
      <c r="G72" s="435" t="s">
        <v>12</v>
      </c>
      <c r="H72" t="s">
        <v>281</v>
      </c>
      <c r="I72" t="s">
        <v>7</v>
      </c>
      <c r="J72" t="s">
        <v>280</v>
      </c>
      <c r="K72" s="96"/>
      <c r="L72" s="96"/>
      <c r="N72" t="s">
        <v>280</v>
      </c>
      <c r="O72" t="s">
        <v>218</v>
      </c>
      <c r="P72" s="138"/>
      <c r="Q72" s="148" t="s">
        <v>288</v>
      </c>
      <c r="R72" s="139"/>
      <c r="S72" s="140" t="s">
        <v>1016</v>
      </c>
      <c r="T72" s="141" t="s">
        <v>1051</v>
      </c>
      <c r="U72" s="76"/>
      <c r="AC72" t="s">
        <v>2</v>
      </c>
      <c r="AD72" s="81"/>
      <c r="AE72" s="81"/>
      <c r="AF72" s="81"/>
      <c r="AG72" s="81"/>
      <c r="AH72" s="81"/>
      <c r="AI72" s="81"/>
      <c r="AJ72" s="81"/>
    </row>
    <row r="73" spans="1:38">
      <c r="D73" t="s">
        <v>79</v>
      </c>
      <c r="E73" t="s">
        <v>68</v>
      </c>
      <c r="F73" s="435" t="s">
        <v>274</v>
      </c>
      <c r="G73" s="435" t="s">
        <v>12</v>
      </c>
      <c r="H73" t="s">
        <v>281</v>
      </c>
      <c r="I73" t="s">
        <v>7</v>
      </c>
      <c r="J73" t="s">
        <v>280</v>
      </c>
      <c r="K73" s="96"/>
      <c r="L73" s="96"/>
      <c r="N73" t="s">
        <v>280</v>
      </c>
      <c r="O73" t="s">
        <v>218</v>
      </c>
      <c r="P73" s="138"/>
      <c r="Q73" s="148" t="s">
        <v>288</v>
      </c>
      <c r="R73" s="139"/>
      <c r="S73" s="140" t="s">
        <v>1016</v>
      </c>
      <c r="T73" s="140" t="s">
        <v>1019</v>
      </c>
      <c r="U73" s="76"/>
      <c r="AC73" t="s">
        <v>2</v>
      </c>
      <c r="AD73" s="81"/>
      <c r="AE73" s="81"/>
      <c r="AF73" s="81"/>
      <c r="AG73" s="81"/>
      <c r="AH73" s="81"/>
      <c r="AI73" s="81"/>
      <c r="AJ73" s="81"/>
    </row>
    <row r="74" spans="1:38">
      <c r="D74" t="s">
        <v>79</v>
      </c>
      <c r="E74" t="s">
        <v>68</v>
      </c>
      <c r="F74" s="435" t="s">
        <v>274</v>
      </c>
      <c r="G74" s="435" t="s">
        <v>12</v>
      </c>
      <c r="H74" t="s">
        <v>281</v>
      </c>
      <c r="I74" t="s">
        <v>7</v>
      </c>
      <c r="J74" t="s">
        <v>280</v>
      </c>
      <c r="K74" s="96"/>
      <c r="L74" s="96"/>
      <c r="N74" t="s">
        <v>280</v>
      </c>
      <c r="O74" t="s">
        <v>218</v>
      </c>
      <c r="P74" s="138"/>
      <c r="Q74" s="148" t="s">
        <v>288</v>
      </c>
      <c r="R74" s="139"/>
      <c r="S74" s="141" t="s">
        <v>1049</v>
      </c>
      <c r="T74" s="140" t="s">
        <v>1020</v>
      </c>
      <c r="U74" s="76"/>
      <c r="AC74" t="s">
        <v>2</v>
      </c>
      <c r="AD74" s="81"/>
      <c r="AE74" s="81"/>
      <c r="AF74" s="81"/>
      <c r="AG74" s="81"/>
      <c r="AH74" s="81"/>
      <c r="AI74" s="81"/>
      <c r="AJ74" s="81"/>
    </row>
    <row r="75" spans="1:38">
      <c r="D75" t="s">
        <v>79</v>
      </c>
      <c r="E75" t="s">
        <v>68</v>
      </c>
      <c r="F75" s="435" t="s">
        <v>274</v>
      </c>
      <c r="G75" s="435" t="s">
        <v>12</v>
      </c>
      <c r="H75" t="s">
        <v>281</v>
      </c>
      <c r="I75" t="s">
        <v>7</v>
      </c>
      <c r="J75" t="s">
        <v>280</v>
      </c>
      <c r="K75" s="96"/>
      <c r="L75" s="96"/>
      <c r="N75" t="s">
        <v>280</v>
      </c>
      <c r="O75" t="s">
        <v>218</v>
      </c>
      <c r="P75" s="138"/>
      <c r="Q75" s="148" t="s">
        <v>288</v>
      </c>
      <c r="R75" s="139"/>
      <c r="S75" s="141" t="s">
        <v>1049</v>
      </c>
      <c r="T75" s="140" t="s">
        <v>131</v>
      </c>
      <c r="U75" s="76"/>
      <c r="AC75" t="s">
        <v>2</v>
      </c>
      <c r="AD75" s="81"/>
      <c r="AE75" s="81"/>
      <c r="AF75" s="81"/>
      <c r="AG75" s="81"/>
      <c r="AH75" s="81"/>
      <c r="AI75" s="81"/>
      <c r="AJ75" s="81"/>
    </row>
    <row r="76" spans="1:38">
      <c r="D76" t="s">
        <v>79</v>
      </c>
      <c r="E76" t="s">
        <v>68</v>
      </c>
      <c r="F76" s="435" t="s">
        <v>274</v>
      </c>
      <c r="G76" s="435" t="s">
        <v>12</v>
      </c>
      <c r="H76" t="s">
        <v>281</v>
      </c>
      <c r="I76" t="s">
        <v>7</v>
      </c>
      <c r="J76" t="s">
        <v>280</v>
      </c>
      <c r="K76" s="96"/>
      <c r="L76" s="96"/>
      <c r="N76" t="s">
        <v>280</v>
      </c>
      <c r="O76" t="s">
        <v>218</v>
      </c>
      <c r="P76" s="138"/>
      <c r="Q76" s="148" t="s">
        <v>288</v>
      </c>
      <c r="R76" s="139"/>
      <c r="S76" s="141" t="s">
        <v>1049</v>
      </c>
      <c r="T76" s="140" t="s">
        <v>1021</v>
      </c>
      <c r="U76" s="76"/>
      <c r="AC76" t="s">
        <v>2</v>
      </c>
      <c r="AD76" s="81"/>
      <c r="AE76" s="81"/>
      <c r="AF76" s="81"/>
      <c r="AG76" s="81"/>
      <c r="AH76" s="81"/>
      <c r="AI76" s="81"/>
      <c r="AJ76" s="81"/>
    </row>
    <row r="77" spans="1:38">
      <c r="D77" t="s">
        <v>79</v>
      </c>
      <c r="E77" t="s">
        <v>68</v>
      </c>
      <c r="F77" s="435" t="s">
        <v>274</v>
      </c>
      <c r="G77" s="435" t="s">
        <v>12</v>
      </c>
      <c r="H77" t="s">
        <v>281</v>
      </c>
      <c r="I77" t="s">
        <v>7</v>
      </c>
      <c r="J77" t="s">
        <v>280</v>
      </c>
      <c r="K77" s="96"/>
      <c r="L77" s="96"/>
      <c r="N77" t="s">
        <v>280</v>
      </c>
      <c r="O77" t="s">
        <v>218</v>
      </c>
      <c r="P77" s="138"/>
      <c r="Q77" s="148" t="s">
        <v>288</v>
      </c>
      <c r="R77" s="139"/>
      <c r="S77" s="141" t="s">
        <v>1049</v>
      </c>
      <c r="T77" s="141" t="s">
        <v>1052</v>
      </c>
      <c r="U77" s="76"/>
      <c r="AC77" t="s">
        <v>2</v>
      </c>
      <c r="AD77" s="81"/>
      <c r="AE77" s="81"/>
      <c r="AF77" s="81"/>
      <c r="AG77" s="81"/>
      <c r="AH77" s="81"/>
      <c r="AI77" s="81"/>
      <c r="AJ77" s="81"/>
    </row>
    <row r="78" spans="1:38">
      <c r="D78" t="s">
        <v>79</v>
      </c>
      <c r="E78" t="s">
        <v>68</v>
      </c>
      <c r="F78" s="435" t="s">
        <v>274</v>
      </c>
      <c r="G78" s="435" t="s">
        <v>12</v>
      </c>
      <c r="H78" t="s">
        <v>281</v>
      </c>
      <c r="I78" t="s">
        <v>7</v>
      </c>
      <c r="J78" t="s">
        <v>280</v>
      </c>
      <c r="K78" s="96"/>
      <c r="L78" s="96"/>
      <c r="N78" t="s">
        <v>280</v>
      </c>
      <c r="O78" t="s">
        <v>218</v>
      </c>
      <c r="P78" s="142"/>
      <c r="Q78" s="148" t="s">
        <v>288</v>
      </c>
      <c r="R78" s="139"/>
      <c r="S78" s="81"/>
      <c r="T78" s="81"/>
      <c r="U78" s="76"/>
      <c r="AC78" t="s">
        <v>2</v>
      </c>
      <c r="AD78" s="81"/>
      <c r="AE78" s="81"/>
      <c r="AF78" s="81"/>
      <c r="AG78" s="81"/>
      <c r="AH78" s="81"/>
      <c r="AI78" s="81"/>
      <c r="AJ78" s="81"/>
    </row>
    <row r="79" spans="1:38">
      <c r="D79" t="s">
        <v>79</v>
      </c>
      <c r="E79" t="s">
        <v>68</v>
      </c>
      <c r="F79" s="435" t="s">
        <v>274</v>
      </c>
      <c r="G79" s="435" t="s">
        <v>12</v>
      </c>
      <c r="H79" t="s">
        <v>281</v>
      </c>
      <c r="I79" t="s">
        <v>7</v>
      </c>
      <c r="J79" t="s">
        <v>280</v>
      </c>
      <c r="K79" s="96"/>
      <c r="L79" s="96"/>
      <c r="N79" t="s">
        <v>280</v>
      </c>
      <c r="O79" t="s">
        <v>218</v>
      </c>
      <c r="P79" s="142"/>
      <c r="Q79" s="148" t="s">
        <v>288</v>
      </c>
      <c r="R79" s="139"/>
      <c r="S79" s="81"/>
      <c r="T79" s="81"/>
      <c r="U79" s="76"/>
      <c r="AC79" t="s">
        <v>2</v>
      </c>
      <c r="AD79" s="81"/>
      <c r="AE79" s="81"/>
      <c r="AF79" s="81"/>
      <c r="AG79" s="81"/>
      <c r="AH79" s="81"/>
      <c r="AI79" s="81"/>
      <c r="AJ79" s="81"/>
    </row>
    <row r="80" spans="1:38">
      <c r="P80" s="143"/>
      <c r="Q80" s="146"/>
      <c r="AJ80" s="435"/>
    </row>
    <row r="81" spans="1:38" s="1" customFormat="1" ht="13.9">
      <c r="A81" s="66"/>
      <c r="B81" s="78" t="s">
        <v>291</v>
      </c>
      <c r="P81" s="144"/>
      <c r="Q81" s="147"/>
      <c r="R81" s="137"/>
      <c r="S81" s="137"/>
      <c r="T81" s="137"/>
    </row>
    <row r="82" spans="1:38">
      <c r="P82" s="143"/>
      <c r="Q82" s="146"/>
      <c r="AJ82" s="435"/>
    </row>
    <row r="83" spans="1:38">
      <c r="D83" t="s">
        <v>79</v>
      </c>
      <c r="E83" t="s">
        <v>68</v>
      </c>
      <c r="F83" s="435" t="s">
        <v>274</v>
      </c>
      <c r="G83" s="435" t="s">
        <v>12</v>
      </c>
      <c r="H83" t="s">
        <v>281</v>
      </c>
      <c r="I83" t="s">
        <v>7</v>
      </c>
      <c r="J83" t="s">
        <v>299</v>
      </c>
      <c r="K83" s="96"/>
      <c r="L83" s="96"/>
      <c r="N83" t="s">
        <v>257</v>
      </c>
      <c r="O83" t="s">
        <v>218</v>
      </c>
      <c r="P83" s="138"/>
      <c r="Q83" s="148" t="s">
        <v>291</v>
      </c>
      <c r="R83" s="139"/>
      <c r="S83" s="140" t="s">
        <v>1016</v>
      </c>
      <c r="T83" s="140" t="s">
        <v>1017</v>
      </c>
      <c r="U83" s="76"/>
      <c r="AC83" t="s">
        <v>2</v>
      </c>
      <c r="AD83" s="81"/>
      <c r="AE83" s="81"/>
      <c r="AF83" s="81"/>
      <c r="AG83" s="81"/>
      <c r="AH83" s="81"/>
      <c r="AI83" s="81"/>
      <c r="AJ83" s="81"/>
      <c r="AL83" s="435"/>
    </row>
    <row r="84" spans="1:38">
      <c r="D84" t="s">
        <v>79</v>
      </c>
      <c r="E84" t="s">
        <v>68</v>
      </c>
      <c r="F84" s="435" t="s">
        <v>274</v>
      </c>
      <c r="G84" s="435" t="s">
        <v>12</v>
      </c>
      <c r="H84" t="s">
        <v>281</v>
      </c>
      <c r="I84" t="s">
        <v>7</v>
      </c>
      <c r="J84" t="s">
        <v>299</v>
      </c>
      <c r="K84" s="96"/>
      <c r="L84" s="96"/>
      <c r="N84" t="s">
        <v>257</v>
      </c>
      <c r="O84" t="s">
        <v>218</v>
      </c>
      <c r="P84" s="138"/>
      <c r="Q84" s="148" t="s">
        <v>291</v>
      </c>
      <c r="R84" s="139"/>
      <c r="S84" s="140" t="s">
        <v>1016</v>
      </c>
      <c r="T84" s="140" t="s">
        <v>1018</v>
      </c>
      <c r="U84" s="76"/>
      <c r="AC84" t="s">
        <v>2</v>
      </c>
      <c r="AD84" s="81"/>
      <c r="AE84" s="81"/>
      <c r="AF84" s="81"/>
      <c r="AG84" s="81"/>
      <c r="AH84" s="81"/>
      <c r="AI84" s="81"/>
      <c r="AJ84" s="81"/>
    </row>
    <row r="85" spans="1:38">
      <c r="D85" t="s">
        <v>79</v>
      </c>
      <c r="E85" t="s">
        <v>68</v>
      </c>
      <c r="F85" s="435" t="s">
        <v>274</v>
      </c>
      <c r="G85" s="435" t="s">
        <v>12</v>
      </c>
      <c r="H85" t="s">
        <v>281</v>
      </c>
      <c r="I85" t="s">
        <v>7</v>
      </c>
      <c r="J85" t="s">
        <v>299</v>
      </c>
      <c r="K85" s="96"/>
      <c r="L85" s="96"/>
      <c r="N85" t="s">
        <v>257</v>
      </c>
      <c r="O85" t="s">
        <v>218</v>
      </c>
      <c r="P85" s="138"/>
      <c r="Q85" s="148" t="s">
        <v>291</v>
      </c>
      <c r="R85" s="139"/>
      <c r="S85" s="140" t="s">
        <v>1016</v>
      </c>
      <c r="T85" s="141" t="s">
        <v>1050</v>
      </c>
      <c r="U85" s="76"/>
      <c r="AC85" t="s">
        <v>2</v>
      </c>
      <c r="AD85" s="81"/>
      <c r="AE85" s="81"/>
      <c r="AF85" s="81"/>
      <c r="AG85" s="81"/>
      <c r="AH85" s="81"/>
      <c r="AI85" s="81"/>
      <c r="AJ85" s="81"/>
    </row>
    <row r="86" spans="1:38">
      <c r="D86" t="s">
        <v>79</v>
      </c>
      <c r="E86" t="s">
        <v>68</v>
      </c>
      <c r="F86" s="435" t="s">
        <v>274</v>
      </c>
      <c r="G86" s="435" t="s">
        <v>12</v>
      </c>
      <c r="H86" t="s">
        <v>281</v>
      </c>
      <c r="I86" t="s">
        <v>7</v>
      </c>
      <c r="J86" t="s">
        <v>299</v>
      </c>
      <c r="K86" s="96"/>
      <c r="L86" s="96"/>
      <c r="N86" t="s">
        <v>257</v>
      </c>
      <c r="O86" t="s">
        <v>218</v>
      </c>
      <c r="P86" s="138"/>
      <c r="Q86" s="148" t="s">
        <v>291</v>
      </c>
      <c r="R86" s="139"/>
      <c r="S86" s="140" t="s">
        <v>1016</v>
      </c>
      <c r="T86" s="141" t="s">
        <v>1051</v>
      </c>
      <c r="U86" s="76"/>
      <c r="AC86" t="s">
        <v>2</v>
      </c>
      <c r="AD86" s="81"/>
      <c r="AE86" s="81"/>
      <c r="AF86" s="81"/>
      <c r="AG86" s="81"/>
      <c r="AH86" s="81"/>
      <c r="AI86" s="81"/>
      <c r="AJ86" s="81"/>
    </row>
    <row r="87" spans="1:38">
      <c r="D87" t="s">
        <v>79</v>
      </c>
      <c r="E87" t="s">
        <v>68</v>
      </c>
      <c r="F87" s="435" t="s">
        <v>274</v>
      </c>
      <c r="G87" s="435" t="s">
        <v>12</v>
      </c>
      <c r="H87" t="s">
        <v>281</v>
      </c>
      <c r="I87" t="s">
        <v>7</v>
      </c>
      <c r="J87" t="s">
        <v>299</v>
      </c>
      <c r="K87" s="96"/>
      <c r="L87" s="96"/>
      <c r="N87" t="s">
        <v>257</v>
      </c>
      <c r="O87" t="s">
        <v>218</v>
      </c>
      <c r="P87" s="138"/>
      <c r="Q87" s="148" t="s">
        <v>291</v>
      </c>
      <c r="R87" s="139"/>
      <c r="S87" s="140" t="s">
        <v>1016</v>
      </c>
      <c r="T87" s="140" t="s">
        <v>1019</v>
      </c>
      <c r="U87" s="76"/>
      <c r="AC87" t="s">
        <v>2</v>
      </c>
      <c r="AD87" s="81"/>
      <c r="AE87" s="81"/>
      <c r="AF87" s="81"/>
      <c r="AG87" s="81"/>
      <c r="AH87" s="81"/>
      <c r="AI87" s="81"/>
      <c r="AJ87" s="81"/>
    </row>
    <row r="88" spans="1:38">
      <c r="D88" t="s">
        <v>79</v>
      </c>
      <c r="E88" t="s">
        <v>68</v>
      </c>
      <c r="F88" s="435" t="s">
        <v>274</v>
      </c>
      <c r="G88" s="435" t="s">
        <v>12</v>
      </c>
      <c r="H88" t="s">
        <v>281</v>
      </c>
      <c r="I88" t="s">
        <v>7</v>
      </c>
      <c r="J88" t="s">
        <v>299</v>
      </c>
      <c r="K88" s="96"/>
      <c r="L88" s="96"/>
      <c r="N88" t="s">
        <v>257</v>
      </c>
      <c r="O88" t="s">
        <v>218</v>
      </c>
      <c r="P88" s="138"/>
      <c r="Q88" s="148" t="s">
        <v>291</v>
      </c>
      <c r="R88" s="139"/>
      <c r="S88" s="141" t="s">
        <v>1049</v>
      </c>
      <c r="T88" s="140" t="s">
        <v>1020</v>
      </c>
      <c r="U88" s="76"/>
      <c r="AC88" t="s">
        <v>2</v>
      </c>
      <c r="AD88" s="81"/>
      <c r="AE88" s="81"/>
      <c r="AF88" s="81"/>
      <c r="AG88" s="81"/>
      <c r="AH88" s="81"/>
      <c r="AI88" s="81"/>
      <c r="AJ88" s="81"/>
    </row>
    <row r="89" spans="1:38">
      <c r="D89" t="s">
        <v>79</v>
      </c>
      <c r="E89" t="s">
        <v>68</v>
      </c>
      <c r="F89" s="435" t="s">
        <v>274</v>
      </c>
      <c r="G89" s="435" t="s">
        <v>12</v>
      </c>
      <c r="H89" t="s">
        <v>281</v>
      </c>
      <c r="I89" t="s">
        <v>7</v>
      </c>
      <c r="J89" t="s">
        <v>299</v>
      </c>
      <c r="K89" s="96"/>
      <c r="L89" s="96"/>
      <c r="N89" t="s">
        <v>257</v>
      </c>
      <c r="O89" t="s">
        <v>218</v>
      </c>
      <c r="P89" s="138"/>
      <c r="Q89" s="148" t="s">
        <v>291</v>
      </c>
      <c r="R89" s="139"/>
      <c r="S89" s="141" t="s">
        <v>1049</v>
      </c>
      <c r="T89" s="140" t="s">
        <v>131</v>
      </c>
      <c r="U89" s="76"/>
      <c r="AC89" t="s">
        <v>2</v>
      </c>
      <c r="AD89" s="81"/>
      <c r="AE89" s="81"/>
      <c r="AF89" s="81"/>
      <c r="AG89" s="81"/>
      <c r="AH89" s="81"/>
      <c r="AI89" s="81"/>
      <c r="AJ89" s="81"/>
    </row>
    <row r="90" spans="1:38">
      <c r="D90" t="s">
        <v>79</v>
      </c>
      <c r="E90" t="s">
        <v>68</v>
      </c>
      <c r="F90" s="435" t="s">
        <v>274</v>
      </c>
      <c r="G90" s="435" t="s">
        <v>12</v>
      </c>
      <c r="H90" t="s">
        <v>281</v>
      </c>
      <c r="I90" t="s">
        <v>7</v>
      </c>
      <c r="J90" t="s">
        <v>299</v>
      </c>
      <c r="K90" s="96"/>
      <c r="L90" s="96"/>
      <c r="N90" t="s">
        <v>257</v>
      </c>
      <c r="O90" t="s">
        <v>218</v>
      </c>
      <c r="P90" s="138"/>
      <c r="Q90" s="148" t="s">
        <v>291</v>
      </c>
      <c r="R90" s="139"/>
      <c r="S90" s="141" t="s">
        <v>1049</v>
      </c>
      <c r="T90" s="140" t="s">
        <v>1021</v>
      </c>
      <c r="U90" s="76"/>
      <c r="AC90" t="s">
        <v>2</v>
      </c>
      <c r="AD90" s="81"/>
      <c r="AE90" s="81"/>
      <c r="AF90" s="81"/>
      <c r="AG90" s="81"/>
      <c r="AH90" s="81"/>
      <c r="AI90" s="81"/>
      <c r="AJ90" s="81"/>
    </row>
    <row r="91" spans="1:38">
      <c r="D91" t="s">
        <v>79</v>
      </c>
      <c r="E91" t="s">
        <v>68</v>
      </c>
      <c r="F91" s="435" t="s">
        <v>274</v>
      </c>
      <c r="G91" s="435" t="s">
        <v>12</v>
      </c>
      <c r="H91" t="s">
        <v>281</v>
      </c>
      <c r="I91" t="s">
        <v>7</v>
      </c>
      <c r="J91" t="s">
        <v>299</v>
      </c>
      <c r="K91" s="96"/>
      <c r="L91" s="96"/>
      <c r="N91" t="s">
        <v>257</v>
      </c>
      <c r="O91" t="s">
        <v>218</v>
      </c>
      <c r="P91" s="138"/>
      <c r="Q91" s="148" t="s">
        <v>291</v>
      </c>
      <c r="R91" s="139"/>
      <c r="S91" s="141" t="s">
        <v>1049</v>
      </c>
      <c r="T91" s="141" t="s">
        <v>1052</v>
      </c>
      <c r="U91" s="76"/>
      <c r="AC91" t="s">
        <v>2</v>
      </c>
      <c r="AD91" s="81"/>
      <c r="AE91" s="81"/>
      <c r="AF91" s="81"/>
      <c r="AG91" s="81"/>
      <c r="AH91" s="81"/>
      <c r="AI91" s="81"/>
      <c r="AJ91" s="81"/>
    </row>
    <row r="92" spans="1:38">
      <c r="D92" t="s">
        <v>79</v>
      </c>
      <c r="E92" t="s">
        <v>68</v>
      </c>
      <c r="F92" s="435" t="s">
        <v>274</v>
      </c>
      <c r="G92" s="435" t="s">
        <v>12</v>
      </c>
      <c r="H92" t="s">
        <v>281</v>
      </c>
      <c r="I92" t="s">
        <v>7</v>
      </c>
      <c r="J92" t="s">
        <v>299</v>
      </c>
      <c r="K92" s="96"/>
      <c r="L92" s="96"/>
      <c r="N92" t="s">
        <v>257</v>
      </c>
      <c r="O92" t="s">
        <v>218</v>
      </c>
      <c r="P92" s="142"/>
      <c r="Q92" s="148" t="s">
        <v>291</v>
      </c>
      <c r="R92" s="139"/>
      <c r="S92" s="81"/>
      <c r="T92" s="81"/>
      <c r="U92" s="76"/>
      <c r="AC92" t="s">
        <v>2</v>
      </c>
      <c r="AD92" s="81"/>
      <c r="AE92" s="81"/>
      <c r="AF92" s="81"/>
      <c r="AG92" s="81"/>
      <c r="AH92" s="81"/>
      <c r="AI92" s="81"/>
      <c r="AJ92" s="81"/>
    </row>
    <row r="93" spans="1:38">
      <c r="D93" t="s">
        <v>79</v>
      </c>
      <c r="E93" t="s">
        <v>68</v>
      </c>
      <c r="F93" s="435" t="s">
        <v>274</v>
      </c>
      <c r="G93" s="435" t="s">
        <v>12</v>
      </c>
      <c r="H93" t="s">
        <v>281</v>
      </c>
      <c r="I93" t="s">
        <v>7</v>
      </c>
      <c r="J93" t="s">
        <v>299</v>
      </c>
      <c r="K93" s="96"/>
      <c r="L93" s="96"/>
      <c r="N93" t="s">
        <v>257</v>
      </c>
      <c r="O93" t="s">
        <v>218</v>
      </c>
      <c r="P93" s="142"/>
      <c r="Q93" s="148" t="s">
        <v>291</v>
      </c>
      <c r="R93" s="139"/>
      <c r="S93" s="81"/>
      <c r="T93" s="81"/>
      <c r="U93" s="76"/>
      <c r="AC93" t="s">
        <v>2</v>
      </c>
      <c r="AD93" s="81"/>
      <c r="AE93" s="81"/>
      <c r="AF93" s="81"/>
      <c r="AG93" s="81"/>
      <c r="AH93" s="81"/>
      <c r="AI93" s="81"/>
      <c r="AJ93" s="81"/>
    </row>
    <row r="94" spans="1:38">
      <c r="P94" s="143"/>
      <c r="Q94" s="146"/>
      <c r="AJ94" s="435"/>
    </row>
    <row r="95" spans="1:38" s="1" customFormat="1" ht="13.9">
      <c r="A95" s="66"/>
      <c r="B95" s="78" t="s">
        <v>292</v>
      </c>
      <c r="P95" s="144"/>
      <c r="Q95" s="147"/>
      <c r="R95" s="137"/>
      <c r="S95" s="137"/>
      <c r="T95" s="137"/>
    </row>
    <row r="96" spans="1:38">
      <c r="P96" s="143"/>
      <c r="Q96" s="146"/>
      <c r="AJ96" s="435"/>
    </row>
    <row r="97" spans="1:38">
      <c r="D97" t="s">
        <v>79</v>
      </c>
      <c r="E97" t="s">
        <v>68</v>
      </c>
      <c r="F97" s="435" t="s">
        <v>274</v>
      </c>
      <c r="G97" s="435" t="s">
        <v>12</v>
      </c>
      <c r="H97" t="s">
        <v>281</v>
      </c>
      <c r="I97" t="s">
        <v>7</v>
      </c>
      <c r="J97" t="s">
        <v>299</v>
      </c>
      <c r="K97" s="96"/>
      <c r="L97" s="96"/>
      <c r="N97" t="s">
        <v>1015</v>
      </c>
      <c r="O97" t="s">
        <v>218</v>
      </c>
      <c r="P97" s="138"/>
      <c r="Q97" s="145" t="s">
        <v>292</v>
      </c>
      <c r="R97" s="139"/>
      <c r="S97" s="140" t="s">
        <v>1016</v>
      </c>
      <c r="T97" s="140" t="s">
        <v>1017</v>
      </c>
      <c r="U97" s="76"/>
      <c r="AC97" t="s">
        <v>2</v>
      </c>
      <c r="AD97" s="81"/>
      <c r="AE97" s="81"/>
      <c r="AF97" s="81"/>
      <c r="AG97" s="81"/>
      <c r="AH97" s="81"/>
      <c r="AI97" s="81"/>
      <c r="AJ97" s="81"/>
      <c r="AL97" s="435"/>
    </row>
    <row r="98" spans="1:38">
      <c r="D98" t="s">
        <v>79</v>
      </c>
      <c r="E98" t="s">
        <v>68</v>
      </c>
      <c r="F98" s="435" t="s">
        <v>274</v>
      </c>
      <c r="G98" s="435" t="s">
        <v>12</v>
      </c>
      <c r="H98" t="s">
        <v>281</v>
      </c>
      <c r="I98" t="s">
        <v>7</v>
      </c>
      <c r="J98" t="s">
        <v>299</v>
      </c>
      <c r="K98" s="96"/>
      <c r="L98" s="96"/>
      <c r="N98" t="s">
        <v>1015</v>
      </c>
      <c r="O98" t="s">
        <v>218</v>
      </c>
      <c r="P98" s="138"/>
      <c r="Q98" s="145" t="s">
        <v>292</v>
      </c>
      <c r="R98" s="139"/>
      <c r="S98" s="140" t="s">
        <v>1016</v>
      </c>
      <c r="T98" s="140" t="s">
        <v>1018</v>
      </c>
      <c r="U98" s="76"/>
      <c r="AC98" t="s">
        <v>2</v>
      </c>
      <c r="AD98" s="81"/>
      <c r="AE98" s="81"/>
      <c r="AF98" s="81"/>
      <c r="AG98" s="81"/>
      <c r="AH98" s="81"/>
      <c r="AI98" s="81"/>
      <c r="AJ98" s="81"/>
    </row>
    <row r="99" spans="1:38">
      <c r="D99" t="s">
        <v>79</v>
      </c>
      <c r="E99" t="s">
        <v>68</v>
      </c>
      <c r="F99" s="435" t="s">
        <v>274</v>
      </c>
      <c r="G99" s="435" t="s">
        <v>12</v>
      </c>
      <c r="H99" t="s">
        <v>281</v>
      </c>
      <c r="I99" t="s">
        <v>7</v>
      </c>
      <c r="J99" t="s">
        <v>299</v>
      </c>
      <c r="K99" s="96"/>
      <c r="L99" s="96"/>
      <c r="N99" t="s">
        <v>1015</v>
      </c>
      <c r="O99" t="s">
        <v>218</v>
      </c>
      <c r="P99" s="138"/>
      <c r="Q99" s="145" t="s">
        <v>292</v>
      </c>
      <c r="R99" s="139"/>
      <c r="S99" s="140" t="s">
        <v>1016</v>
      </c>
      <c r="T99" s="141" t="s">
        <v>1050</v>
      </c>
      <c r="U99" s="76"/>
      <c r="AC99" t="s">
        <v>2</v>
      </c>
      <c r="AD99" s="81"/>
      <c r="AE99" s="81"/>
      <c r="AF99" s="81"/>
      <c r="AG99" s="81"/>
      <c r="AH99" s="81"/>
      <c r="AI99" s="81"/>
      <c r="AJ99" s="81"/>
    </row>
    <row r="100" spans="1:38">
      <c r="D100" t="s">
        <v>79</v>
      </c>
      <c r="E100" t="s">
        <v>68</v>
      </c>
      <c r="F100" s="435" t="s">
        <v>274</v>
      </c>
      <c r="G100" s="435" t="s">
        <v>12</v>
      </c>
      <c r="H100" t="s">
        <v>281</v>
      </c>
      <c r="I100" t="s">
        <v>7</v>
      </c>
      <c r="J100" t="s">
        <v>299</v>
      </c>
      <c r="K100" s="96"/>
      <c r="L100" s="96"/>
      <c r="N100" t="s">
        <v>1015</v>
      </c>
      <c r="O100" t="s">
        <v>218</v>
      </c>
      <c r="P100" s="138"/>
      <c r="Q100" s="145" t="s">
        <v>292</v>
      </c>
      <c r="R100" s="139"/>
      <c r="S100" s="140" t="s">
        <v>1016</v>
      </c>
      <c r="T100" s="141" t="s">
        <v>1051</v>
      </c>
      <c r="U100" s="76"/>
      <c r="AC100" t="s">
        <v>2</v>
      </c>
      <c r="AD100" s="81"/>
      <c r="AE100" s="81"/>
      <c r="AF100" s="81"/>
      <c r="AG100" s="81"/>
      <c r="AH100" s="81"/>
      <c r="AI100" s="81"/>
      <c r="AJ100" s="81"/>
    </row>
    <row r="101" spans="1:38">
      <c r="D101" t="s">
        <v>79</v>
      </c>
      <c r="E101" t="s">
        <v>68</v>
      </c>
      <c r="F101" s="435" t="s">
        <v>274</v>
      </c>
      <c r="G101" s="435" t="s">
        <v>12</v>
      </c>
      <c r="H101" t="s">
        <v>281</v>
      </c>
      <c r="I101" t="s">
        <v>7</v>
      </c>
      <c r="J101" t="s">
        <v>299</v>
      </c>
      <c r="K101" s="96"/>
      <c r="L101" s="96"/>
      <c r="N101" t="s">
        <v>1015</v>
      </c>
      <c r="O101" t="s">
        <v>218</v>
      </c>
      <c r="P101" s="138"/>
      <c r="Q101" s="145" t="s">
        <v>292</v>
      </c>
      <c r="R101" s="139"/>
      <c r="S101" s="140" t="s">
        <v>1016</v>
      </c>
      <c r="T101" s="140" t="s">
        <v>1019</v>
      </c>
      <c r="U101" s="76"/>
      <c r="AC101" t="s">
        <v>2</v>
      </c>
      <c r="AD101" s="81"/>
      <c r="AE101" s="81"/>
      <c r="AF101" s="81"/>
      <c r="AG101" s="81"/>
      <c r="AH101" s="81"/>
      <c r="AI101" s="81"/>
      <c r="AJ101" s="81"/>
    </row>
    <row r="102" spans="1:38">
      <c r="D102" t="s">
        <v>79</v>
      </c>
      <c r="E102" t="s">
        <v>68</v>
      </c>
      <c r="F102" s="435" t="s">
        <v>274</v>
      </c>
      <c r="G102" s="435" t="s">
        <v>12</v>
      </c>
      <c r="H102" t="s">
        <v>281</v>
      </c>
      <c r="I102" t="s">
        <v>7</v>
      </c>
      <c r="J102" t="s">
        <v>299</v>
      </c>
      <c r="K102" s="96"/>
      <c r="L102" s="96"/>
      <c r="N102" t="s">
        <v>1015</v>
      </c>
      <c r="O102" t="s">
        <v>218</v>
      </c>
      <c r="P102" s="138"/>
      <c r="Q102" s="145" t="s">
        <v>292</v>
      </c>
      <c r="R102" s="139"/>
      <c r="S102" s="141" t="s">
        <v>1049</v>
      </c>
      <c r="T102" s="140" t="s">
        <v>1020</v>
      </c>
      <c r="U102" s="76"/>
      <c r="AC102" t="s">
        <v>2</v>
      </c>
      <c r="AD102" s="81"/>
      <c r="AE102" s="81"/>
      <c r="AF102" s="81"/>
      <c r="AG102" s="81"/>
      <c r="AH102" s="81"/>
      <c r="AI102" s="81"/>
      <c r="AJ102" s="81"/>
    </row>
    <row r="103" spans="1:38">
      <c r="D103" t="s">
        <v>79</v>
      </c>
      <c r="E103" t="s">
        <v>68</v>
      </c>
      <c r="F103" s="435" t="s">
        <v>274</v>
      </c>
      <c r="G103" s="435" t="s">
        <v>12</v>
      </c>
      <c r="H103" t="s">
        <v>281</v>
      </c>
      <c r="I103" t="s">
        <v>7</v>
      </c>
      <c r="J103" t="s">
        <v>299</v>
      </c>
      <c r="K103" s="96"/>
      <c r="L103" s="96"/>
      <c r="N103" t="s">
        <v>1015</v>
      </c>
      <c r="O103" t="s">
        <v>218</v>
      </c>
      <c r="P103" s="138"/>
      <c r="Q103" s="145" t="s">
        <v>292</v>
      </c>
      <c r="R103" s="139"/>
      <c r="S103" s="141" t="s">
        <v>1049</v>
      </c>
      <c r="T103" s="140" t="s">
        <v>131</v>
      </c>
      <c r="U103" s="76"/>
      <c r="AC103" t="s">
        <v>2</v>
      </c>
      <c r="AD103" s="81"/>
      <c r="AE103" s="81"/>
      <c r="AF103" s="81"/>
      <c r="AG103" s="81"/>
      <c r="AH103" s="81"/>
      <c r="AI103" s="81"/>
      <c r="AJ103" s="81"/>
    </row>
    <row r="104" spans="1:38">
      <c r="D104" t="s">
        <v>79</v>
      </c>
      <c r="E104" t="s">
        <v>68</v>
      </c>
      <c r="F104" s="435" t="s">
        <v>274</v>
      </c>
      <c r="G104" s="435" t="s">
        <v>12</v>
      </c>
      <c r="H104" t="s">
        <v>281</v>
      </c>
      <c r="I104" t="s">
        <v>7</v>
      </c>
      <c r="J104" t="s">
        <v>299</v>
      </c>
      <c r="K104" s="96"/>
      <c r="L104" s="96"/>
      <c r="N104" t="s">
        <v>1015</v>
      </c>
      <c r="O104" t="s">
        <v>218</v>
      </c>
      <c r="P104" s="138"/>
      <c r="Q104" s="145" t="s">
        <v>292</v>
      </c>
      <c r="R104" s="139"/>
      <c r="S104" s="141" t="s">
        <v>1049</v>
      </c>
      <c r="T104" s="140" t="s">
        <v>1021</v>
      </c>
      <c r="U104" s="76"/>
      <c r="AC104" t="s">
        <v>2</v>
      </c>
      <c r="AD104" s="81"/>
      <c r="AE104" s="81"/>
      <c r="AF104" s="81"/>
      <c r="AG104" s="81"/>
      <c r="AH104" s="81"/>
      <c r="AI104" s="81"/>
      <c r="AJ104" s="81"/>
    </row>
    <row r="105" spans="1:38">
      <c r="D105" t="s">
        <v>79</v>
      </c>
      <c r="E105" t="s">
        <v>68</v>
      </c>
      <c r="F105" s="435" t="s">
        <v>274</v>
      </c>
      <c r="G105" s="435" t="s">
        <v>12</v>
      </c>
      <c r="H105" t="s">
        <v>281</v>
      </c>
      <c r="I105" t="s">
        <v>7</v>
      </c>
      <c r="J105" t="s">
        <v>299</v>
      </c>
      <c r="K105" s="96"/>
      <c r="L105" s="96"/>
      <c r="N105" t="s">
        <v>1015</v>
      </c>
      <c r="O105" t="s">
        <v>218</v>
      </c>
      <c r="P105" s="138"/>
      <c r="Q105" s="145" t="s">
        <v>292</v>
      </c>
      <c r="R105" s="139"/>
      <c r="S105" s="141" t="s">
        <v>1049</v>
      </c>
      <c r="T105" s="141" t="s">
        <v>1052</v>
      </c>
      <c r="U105" s="76"/>
      <c r="AC105" t="s">
        <v>2</v>
      </c>
      <c r="AD105" s="81"/>
      <c r="AE105" s="81"/>
      <c r="AF105" s="81"/>
      <c r="AG105" s="81"/>
      <c r="AH105" s="81"/>
      <c r="AI105" s="81"/>
      <c r="AJ105" s="81"/>
    </row>
    <row r="106" spans="1:38">
      <c r="D106" t="s">
        <v>79</v>
      </c>
      <c r="E106" t="s">
        <v>68</v>
      </c>
      <c r="F106" s="435" t="s">
        <v>274</v>
      </c>
      <c r="G106" s="435" t="s">
        <v>12</v>
      </c>
      <c r="H106" t="s">
        <v>281</v>
      </c>
      <c r="I106" t="s">
        <v>7</v>
      </c>
      <c r="J106" t="s">
        <v>299</v>
      </c>
      <c r="K106" s="96"/>
      <c r="L106" s="96"/>
      <c r="N106" t="s">
        <v>1015</v>
      </c>
      <c r="O106" t="s">
        <v>218</v>
      </c>
      <c r="P106" s="142"/>
      <c r="Q106" s="145" t="s">
        <v>292</v>
      </c>
      <c r="R106" s="139"/>
      <c r="S106" s="81"/>
      <c r="T106" s="81"/>
      <c r="U106" s="76"/>
      <c r="AC106" t="s">
        <v>2</v>
      </c>
      <c r="AD106" s="81"/>
      <c r="AE106" s="81"/>
      <c r="AF106" s="81"/>
      <c r="AG106" s="81"/>
      <c r="AH106" s="81"/>
      <c r="AI106" s="81"/>
      <c r="AJ106" s="81"/>
    </row>
    <row r="107" spans="1:38">
      <c r="D107" t="s">
        <v>79</v>
      </c>
      <c r="E107" t="s">
        <v>68</v>
      </c>
      <c r="F107" s="435" t="s">
        <v>274</v>
      </c>
      <c r="G107" s="435" t="s">
        <v>12</v>
      </c>
      <c r="H107" t="s">
        <v>281</v>
      </c>
      <c r="I107" t="s">
        <v>7</v>
      </c>
      <c r="J107" t="s">
        <v>299</v>
      </c>
      <c r="K107" s="96"/>
      <c r="L107" s="96"/>
      <c r="N107" t="s">
        <v>1015</v>
      </c>
      <c r="O107" t="s">
        <v>218</v>
      </c>
      <c r="P107" s="142"/>
      <c r="Q107" s="145" t="s">
        <v>292</v>
      </c>
      <c r="R107" s="139"/>
      <c r="S107" s="81"/>
      <c r="T107" s="81"/>
      <c r="U107" s="76"/>
      <c r="AC107" t="s">
        <v>2</v>
      </c>
      <c r="AD107" s="81"/>
      <c r="AE107" s="81"/>
      <c r="AF107" s="81"/>
      <c r="AG107" s="81"/>
      <c r="AH107" s="81"/>
      <c r="AI107" s="81"/>
      <c r="AJ107" s="81"/>
    </row>
    <row r="108" spans="1:38">
      <c r="P108" s="143"/>
      <c r="Q108" s="146"/>
      <c r="AJ108" s="435"/>
    </row>
    <row r="109" spans="1:38" s="1" customFormat="1" ht="17.649999999999999">
      <c r="B109" s="2" t="s">
        <v>296</v>
      </c>
      <c r="P109" s="144"/>
      <c r="Q109" s="147"/>
      <c r="R109" s="137"/>
      <c r="S109" s="137"/>
      <c r="T109" s="137"/>
    </row>
    <row r="110" spans="1:38">
      <c r="P110" s="143"/>
      <c r="Q110" s="146"/>
      <c r="AJ110" s="435"/>
    </row>
    <row r="111" spans="1:38" s="1" customFormat="1" ht="13.9">
      <c r="A111" s="66"/>
      <c r="B111" s="78" t="s">
        <v>297</v>
      </c>
      <c r="P111" s="144"/>
      <c r="Q111" s="147"/>
      <c r="R111" s="137"/>
      <c r="S111" s="137"/>
      <c r="T111" s="137"/>
    </row>
    <row r="112" spans="1:38">
      <c r="P112" s="143"/>
      <c r="Q112" s="146"/>
      <c r="AJ112" s="435"/>
    </row>
    <row r="113" spans="1:38">
      <c r="D113" t="s">
        <v>79</v>
      </c>
      <c r="E113" t="s">
        <v>68</v>
      </c>
      <c r="F113" s="435" t="s">
        <v>296</v>
      </c>
      <c r="G113" s="435" t="s">
        <v>12</v>
      </c>
      <c r="H113" t="s">
        <v>281</v>
      </c>
      <c r="I113" t="s">
        <v>7</v>
      </c>
      <c r="J113" t="s">
        <v>280</v>
      </c>
      <c r="K113" s="96"/>
      <c r="L113" s="96"/>
      <c r="N113" t="s">
        <v>280</v>
      </c>
      <c r="O113" t="s">
        <v>218</v>
      </c>
      <c r="P113" s="138"/>
      <c r="Q113" s="148" t="s">
        <v>297</v>
      </c>
      <c r="R113" s="139"/>
      <c r="S113" s="140" t="s">
        <v>1016</v>
      </c>
      <c r="T113" s="140" t="s">
        <v>1017</v>
      </c>
      <c r="U113" s="76"/>
      <c r="AC113" t="s">
        <v>2</v>
      </c>
      <c r="AD113" s="81"/>
      <c r="AE113" s="81"/>
      <c r="AF113" s="81"/>
      <c r="AG113" s="81"/>
      <c r="AH113" s="81"/>
      <c r="AI113" s="81"/>
      <c r="AJ113" s="81"/>
      <c r="AL113" s="435"/>
    </row>
    <row r="114" spans="1:38">
      <c r="D114" t="s">
        <v>79</v>
      </c>
      <c r="E114" t="s">
        <v>68</v>
      </c>
      <c r="F114" s="435" t="s">
        <v>296</v>
      </c>
      <c r="G114" s="435" t="s">
        <v>12</v>
      </c>
      <c r="H114" t="s">
        <v>281</v>
      </c>
      <c r="I114" t="s">
        <v>7</v>
      </c>
      <c r="J114" t="s">
        <v>280</v>
      </c>
      <c r="K114" s="96"/>
      <c r="L114" s="96"/>
      <c r="N114" t="s">
        <v>280</v>
      </c>
      <c r="O114" t="s">
        <v>218</v>
      </c>
      <c r="P114" s="138"/>
      <c r="Q114" s="148" t="s">
        <v>297</v>
      </c>
      <c r="R114" s="139"/>
      <c r="S114" s="140" t="s">
        <v>1016</v>
      </c>
      <c r="T114" s="140" t="s">
        <v>1018</v>
      </c>
      <c r="U114" s="76"/>
      <c r="AC114" t="s">
        <v>2</v>
      </c>
      <c r="AD114" s="81"/>
      <c r="AE114" s="81"/>
      <c r="AF114" s="81"/>
      <c r="AG114" s="81"/>
      <c r="AH114" s="81"/>
      <c r="AI114" s="81"/>
      <c r="AJ114" s="81"/>
    </row>
    <row r="115" spans="1:38">
      <c r="D115" t="s">
        <v>79</v>
      </c>
      <c r="E115" t="s">
        <v>68</v>
      </c>
      <c r="F115" s="435" t="s">
        <v>296</v>
      </c>
      <c r="G115" s="435" t="s">
        <v>12</v>
      </c>
      <c r="H115" t="s">
        <v>281</v>
      </c>
      <c r="I115" t="s">
        <v>7</v>
      </c>
      <c r="J115" t="s">
        <v>280</v>
      </c>
      <c r="K115" s="96"/>
      <c r="L115" s="96"/>
      <c r="N115" t="s">
        <v>280</v>
      </c>
      <c r="O115" t="s">
        <v>218</v>
      </c>
      <c r="P115" s="138"/>
      <c r="Q115" s="148" t="s">
        <v>297</v>
      </c>
      <c r="R115" s="139"/>
      <c r="S115" s="140" t="s">
        <v>1016</v>
      </c>
      <c r="T115" s="141" t="s">
        <v>1050</v>
      </c>
      <c r="U115" s="76"/>
      <c r="AC115" t="s">
        <v>2</v>
      </c>
      <c r="AD115" s="81"/>
      <c r="AE115" s="81"/>
      <c r="AF115" s="81"/>
      <c r="AG115" s="81"/>
      <c r="AH115" s="81"/>
      <c r="AI115" s="81"/>
      <c r="AJ115" s="81"/>
    </row>
    <row r="116" spans="1:38">
      <c r="D116" t="s">
        <v>79</v>
      </c>
      <c r="E116" t="s">
        <v>68</v>
      </c>
      <c r="F116" s="435" t="s">
        <v>296</v>
      </c>
      <c r="G116" s="435" t="s">
        <v>12</v>
      </c>
      <c r="H116" t="s">
        <v>281</v>
      </c>
      <c r="I116" t="s">
        <v>7</v>
      </c>
      <c r="J116" t="s">
        <v>280</v>
      </c>
      <c r="K116" s="96"/>
      <c r="L116" s="96"/>
      <c r="N116" t="s">
        <v>280</v>
      </c>
      <c r="O116" t="s">
        <v>218</v>
      </c>
      <c r="P116" s="138"/>
      <c r="Q116" s="148" t="s">
        <v>297</v>
      </c>
      <c r="R116" s="139"/>
      <c r="S116" s="140" t="s">
        <v>1016</v>
      </c>
      <c r="T116" s="141" t="s">
        <v>1051</v>
      </c>
      <c r="U116" s="76"/>
      <c r="AC116" t="s">
        <v>2</v>
      </c>
      <c r="AD116" s="81"/>
      <c r="AE116" s="81"/>
      <c r="AF116" s="81"/>
      <c r="AG116" s="81"/>
      <c r="AH116" s="81"/>
      <c r="AI116" s="81"/>
      <c r="AJ116" s="81"/>
    </row>
    <row r="117" spans="1:38">
      <c r="D117" t="s">
        <v>79</v>
      </c>
      <c r="E117" t="s">
        <v>68</v>
      </c>
      <c r="F117" s="435" t="s">
        <v>296</v>
      </c>
      <c r="G117" s="435" t="s">
        <v>12</v>
      </c>
      <c r="H117" t="s">
        <v>281</v>
      </c>
      <c r="I117" t="s">
        <v>7</v>
      </c>
      <c r="J117" t="s">
        <v>280</v>
      </c>
      <c r="K117" s="96"/>
      <c r="L117" s="96"/>
      <c r="N117" t="s">
        <v>280</v>
      </c>
      <c r="O117" t="s">
        <v>218</v>
      </c>
      <c r="P117" s="138"/>
      <c r="Q117" s="148" t="s">
        <v>297</v>
      </c>
      <c r="R117" s="139"/>
      <c r="S117" s="140" t="s">
        <v>1016</v>
      </c>
      <c r="T117" s="140" t="s">
        <v>1019</v>
      </c>
      <c r="U117" s="76"/>
      <c r="AC117" t="s">
        <v>2</v>
      </c>
      <c r="AD117" s="81"/>
      <c r="AE117" s="81"/>
      <c r="AF117" s="81"/>
      <c r="AG117" s="81"/>
      <c r="AH117" s="81"/>
      <c r="AI117" s="81"/>
      <c r="AJ117" s="81"/>
    </row>
    <row r="118" spans="1:38">
      <c r="D118" t="s">
        <v>79</v>
      </c>
      <c r="E118" t="s">
        <v>68</v>
      </c>
      <c r="F118" s="435" t="s">
        <v>296</v>
      </c>
      <c r="G118" s="435" t="s">
        <v>12</v>
      </c>
      <c r="H118" t="s">
        <v>281</v>
      </c>
      <c r="I118" t="s">
        <v>7</v>
      </c>
      <c r="J118" t="s">
        <v>280</v>
      </c>
      <c r="K118" s="96"/>
      <c r="L118" s="96"/>
      <c r="N118" t="s">
        <v>280</v>
      </c>
      <c r="O118" t="s">
        <v>218</v>
      </c>
      <c r="P118" s="138"/>
      <c r="Q118" s="148" t="s">
        <v>297</v>
      </c>
      <c r="R118" s="139"/>
      <c r="S118" s="141" t="s">
        <v>1049</v>
      </c>
      <c r="T118" s="140" t="s">
        <v>1020</v>
      </c>
      <c r="U118" s="76"/>
      <c r="AC118" t="s">
        <v>2</v>
      </c>
      <c r="AD118" s="81"/>
      <c r="AE118" s="81"/>
      <c r="AF118" s="81"/>
      <c r="AG118" s="81"/>
      <c r="AH118" s="81"/>
      <c r="AI118" s="81"/>
      <c r="AJ118" s="81"/>
    </row>
    <row r="119" spans="1:38">
      <c r="D119" t="s">
        <v>79</v>
      </c>
      <c r="E119" t="s">
        <v>68</v>
      </c>
      <c r="F119" s="435" t="s">
        <v>296</v>
      </c>
      <c r="G119" s="435" t="s">
        <v>12</v>
      </c>
      <c r="H119" t="s">
        <v>281</v>
      </c>
      <c r="I119" t="s">
        <v>7</v>
      </c>
      <c r="J119" t="s">
        <v>280</v>
      </c>
      <c r="K119" s="96"/>
      <c r="L119" s="96"/>
      <c r="N119" t="s">
        <v>280</v>
      </c>
      <c r="O119" t="s">
        <v>218</v>
      </c>
      <c r="P119" s="138"/>
      <c r="Q119" s="148" t="s">
        <v>297</v>
      </c>
      <c r="R119" s="139"/>
      <c r="S119" s="141" t="s">
        <v>1049</v>
      </c>
      <c r="T119" s="140" t="s">
        <v>131</v>
      </c>
      <c r="U119" s="76"/>
      <c r="AC119" t="s">
        <v>2</v>
      </c>
      <c r="AD119" s="81"/>
      <c r="AE119" s="81"/>
      <c r="AF119" s="81"/>
      <c r="AG119" s="81"/>
      <c r="AH119" s="81"/>
      <c r="AI119" s="81"/>
      <c r="AJ119" s="81"/>
    </row>
    <row r="120" spans="1:38">
      <c r="D120" t="s">
        <v>79</v>
      </c>
      <c r="E120" t="s">
        <v>68</v>
      </c>
      <c r="F120" s="435" t="s">
        <v>296</v>
      </c>
      <c r="G120" s="435" t="s">
        <v>12</v>
      </c>
      <c r="H120" t="s">
        <v>281</v>
      </c>
      <c r="I120" t="s">
        <v>7</v>
      </c>
      <c r="J120" t="s">
        <v>280</v>
      </c>
      <c r="K120" s="96"/>
      <c r="L120" s="96"/>
      <c r="N120" t="s">
        <v>280</v>
      </c>
      <c r="O120" t="s">
        <v>218</v>
      </c>
      <c r="P120" s="138"/>
      <c r="Q120" s="148" t="s">
        <v>297</v>
      </c>
      <c r="R120" s="139"/>
      <c r="S120" s="141" t="s">
        <v>1049</v>
      </c>
      <c r="T120" s="140" t="s">
        <v>1021</v>
      </c>
      <c r="U120" s="76"/>
      <c r="AC120" t="s">
        <v>2</v>
      </c>
      <c r="AD120" s="81"/>
      <c r="AE120" s="81"/>
      <c r="AF120" s="81"/>
      <c r="AG120" s="81"/>
      <c r="AH120" s="81"/>
      <c r="AI120" s="81"/>
      <c r="AJ120" s="81"/>
    </row>
    <row r="121" spans="1:38">
      <c r="D121" t="s">
        <v>79</v>
      </c>
      <c r="E121" t="s">
        <v>68</v>
      </c>
      <c r="F121" s="435" t="s">
        <v>296</v>
      </c>
      <c r="G121" s="435" t="s">
        <v>12</v>
      </c>
      <c r="H121" t="s">
        <v>281</v>
      </c>
      <c r="I121" t="s">
        <v>7</v>
      </c>
      <c r="J121" t="s">
        <v>280</v>
      </c>
      <c r="K121" s="96"/>
      <c r="L121" s="96"/>
      <c r="N121" t="s">
        <v>280</v>
      </c>
      <c r="O121" t="s">
        <v>218</v>
      </c>
      <c r="P121" s="138"/>
      <c r="Q121" s="148" t="s">
        <v>297</v>
      </c>
      <c r="R121" s="139"/>
      <c r="S121" s="141" t="s">
        <v>1049</v>
      </c>
      <c r="T121" s="141" t="s">
        <v>1052</v>
      </c>
      <c r="U121" s="76"/>
      <c r="AC121" t="s">
        <v>2</v>
      </c>
      <c r="AD121" s="81"/>
      <c r="AE121" s="81"/>
      <c r="AF121" s="81"/>
      <c r="AG121" s="81"/>
      <c r="AH121" s="81"/>
      <c r="AI121" s="81"/>
      <c r="AJ121" s="81"/>
    </row>
    <row r="122" spans="1:38">
      <c r="D122" t="s">
        <v>79</v>
      </c>
      <c r="E122" t="s">
        <v>68</v>
      </c>
      <c r="F122" s="435" t="s">
        <v>296</v>
      </c>
      <c r="G122" s="435" t="s">
        <v>12</v>
      </c>
      <c r="H122" t="s">
        <v>281</v>
      </c>
      <c r="I122" t="s">
        <v>7</v>
      </c>
      <c r="J122" t="s">
        <v>280</v>
      </c>
      <c r="K122" s="96"/>
      <c r="L122" s="96"/>
      <c r="N122" t="s">
        <v>280</v>
      </c>
      <c r="O122" t="s">
        <v>218</v>
      </c>
      <c r="P122" s="142"/>
      <c r="Q122" s="148" t="s">
        <v>297</v>
      </c>
      <c r="R122" s="139"/>
      <c r="S122" s="81"/>
      <c r="T122" s="81"/>
      <c r="U122" s="76"/>
      <c r="AC122" t="s">
        <v>2</v>
      </c>
      <c r="AD122" s="81"/>
      <c r="AE122" s="81"/>
      <c r="AF122" s="81"/>
      <c r="AG122" s="81"/>
      <c r="AH122" s="81"/>
      <c r="AI122" s="81"/>
      <c r="AJ122" s="81"/>
    </row>
    <row r="123" spans="1:38">
      <c r="D123" t="s">
        <v>79</v>
      </c>
      <c r="E123" t="s">
        <v>68</v>
      </c>
      <c r="F123" s="435" t="s">
        <v>296</v>
      </c>
      <c r="G123" s="435" t="s">
        <v>12</v>
      </c>
      <c r="H123" t="s">
        <v>281</v>
      </c>
      <c r="I123" t="s">
        <v>7</v>
      </c>
      <c r="J123" t="s">
        <v>280</v>
      </c>
      <c r="K123" s="96"/>
      <c r="L123" s="96"/>
      <c r="N123" t="s">
        <v>280</v>
      </c>
      <c r="O123" t="s">
        <v>218</v>
      </c>
      <c r="P123" s="142"/>
      <c r="Q123" s="148" t="s">
        <v>297</v>
      </c>
      <c r="R123" s="139"/>
      <c r="S123" s="81"/>
      <c r="T123" s="81"/>
      <c r="U123" s="76"/>
      <c r="AC123" t="s">
        <v>2</v>
      </c>
      <c r="AD123" s="80"/>
      <c r="AE123" s="100"/>
      <c r="AF123" s="100"/>
      <c r="AG123" s="100"/>
      <c r="AH123" s="100"/>
      <c r="AI123" s="100"/>
      <c r="AJ123" s="100"/>
    </row>
    <row r="124" spans="1:38">
      <c r="P124" s="143"/>
      <c r="Q124" s="146"/>
      <c r="AJ124" s="435"/>
    </row>
    <row r="125" spans="1:38" s="1" customFormat="1" ht="13.9">
      <c r="A125" s="66"/>
      <c r="B125" s="78" t="s">
        <v>290</v>
      </c>
      <c r="P125" s="144"/>
      <c r="Q125" s="147"/>
      <c r="R125" s="137"/>
      <c r="S125" s="137"/>
      <c r="T125" s="137"/>
    </row>
    <row r="126" spans="1:38">
      <c r="P126" s="143"/>
      <c r="Q126" s="146"/>
      <c r="AJ126" s="435"/>
    </row>
    <row r="127" spans="1:38">
      <c r="D127" t="s">
        <v>79</v>
      </c>
      <c r="E127" t="s">
        <v>68</v>
      </c>
      <c r="F127" s="435" t="s">
        <v>296</v>
      </c>
      <c r="G127" s="435" t="s">
        <v>12</v>
      </c>
      <c r="H127" t="s">
        <v>281</v>
      </c>
      <c r="I127" t="s">
        <v>7</v>
      </c>
      <c r="J127" t="s">
        <v>280</v>
      </c>
      <c r="K127" s="96"/>
      <c r="L127" s="96"/>
      <c r="N127" t="s">
        <v>280</v>
      </c>
      <c r="O127" t="s">
        <v>218</v>
      </c>
      <c r="P127" s="138"/>
      <c r="Q127" s="145" t="s">
        <v>290</v>
      </c>
      <c r="R127" s="139"/>
      <c r="S127" s="140" t="s">
        <v>1016</v>
      </c>
      <c r="T127" s="140" t="s">
        <v>1017</v>
      </c>
      <c r="U127" s="76"/>
      <c r="AC127" t="s">
        <v>2</v>
      </c>
      <c r="AD127" s="81"/>
      <c r="AE127" s="81"/>
      <c r="AF127" s="81"/>
      <c r="AG127" s="81"/>
      <c r="AH127" s="81"/>
      <c r="AI127" s="81"/>
      <c r="AJ127" s="81"/>
      <c r="AL127" s="435"/>
    </row>
    <row r="128" spans="1:38">
      <c r="D128" t="s">
        <v>79</v>
      </c>
      <c r="E128" t="s">
        <v>68</v>
      </c>
      <c r="F128" s="435" t="s">
        <v>296</v>
      </c>
      <c r="G128" s="435" t="s">
        <v>12</v>
      </c>
      <c r="H128" t="s">
        <v>281</v>
      </c>
      <c r="I128" t="s">
        <v>7</v>
      </c>
      <c r="J128" t="s">
        <v>280</v>
      </c>
      <c r="K128" s="96"/>
      <c r="L128" s="96"/>
      <c r="N128" t="s">
        <v>280</v>
      </c>
      <c r="O128" t="s">
        <v>218</v>
      </c>
      <c r="P128" s="138"/>
      <c r="Q128" s="145" t="s">
        <v>290</v>
      </c>
      <c r="R128" s="139"/>
      <c r="S128" s="140" t="s">
        <v>1016</v>
      </c>
      <c r="T128" s="140" t="s">
        <v>1018</v>
      </c>
      <c r="U128" s="76"/>
      <c r="AC128" t="s">
        <v>2</v>
      </c>
      <c r="AD128" s="81"/>
      <c r="AE128" s="81"/>
      <c r="AF128" s="81"/>
      <c r="AG128" s="81"/>
      <c r="AH128" s="81"/>
      <c r="AI128" s="81"/>
      <c r="AJ128" s="81"/>
    </row>
    <row r="129" spans="1:38">
      <c r="D129" t="s">
        <v>79</v>
      </c>
      <c r="E129" t="s">
        <v>68</v>
      </c>
      <c r="F129" s="435" t="s">
        <v>296</v>
      </c>
      <c r="G129" s="435" t="s">
        <v>12</v>
      </c>
      <c r="H129" t="s">
        <v>281</v>
      </c>
      <c r="I129" t="s">
        <v>7</v>
      </c>
      <c r="J129" t="s">
        <v>280</v>
      </c>
      <c r="K129" s="96"/>
      <c r="L129" s="96"/>
      <c r="N129" t="s">
        <v>280</v>
      </c>
      <c r="O129" t="s">
        <v>218</v>
      </c>
      <c r="P129" s="138"/>
      <c r="Q129" s="145" t="s">
        <v>290</v>
      </c>
      <c r="R129" s="139"/>
      <c r="S129" s="140" t="s">
        <v>1016</v>
      </c>
      <c r="T129" s="141" t="s">
        <v>1050</v>
      </c>
      <c r="U129" s="76"/>
      <c r="AC129" t="s">
        <v>2</v>
      </c>
      <c r="AD129" s="81"/>
      <c r="AE129" s="81"/>
      <c r="AF129" s="81"/>
      <c r="AG129" s="81"/>
      <c r="AH129" s="81"/>
      <c r="AI129" s="81"/>
      <c r="AJ129" s="81"/>
    </row>
    <row r="130" spans="1:38">
      <c r="D130" t="s">
        <v>79</v>
      </c>
      <c r="E130" t="s">
        <v>68</v>
      </c>
      <c r="F130" s="435" t="s">
        <v>296</v>
      </c>
      <c r="G130" s="435" t="s">
        <v>12</v>
      </c>
      <c r="H130" t="s">
        <v>281</v>
      </c>
      <c r="I130" t="s">
        <v>7</v>
      </c>
      <c r="J130" t="s">
        <v>280</v>
      </c>
      <c r="K130" s="96"/>
      <c r="L130" s="96"/>
      <c r="N130" t="s">
        <v>280</v>
      </c>
      <c r="O130" t="s">
        <v>218</v>
      </c>
      <c r="P130" s="138"/>
      <c r="Q130" s="145" t="s">
        <v>290</v>
      </c>
      <c r="R130" s="139"/>
      <c r="S130" s="140" t="s">
        <v>1016</v>
      </c>
      <c r="T130" s="141" t="s">
        <v>1051</v>
      </c>
      <c r="U130" s="76"/>
      <c r="AC130" t="s">
        <v>2</v>
      </c>
      <c r="AD130" s="81"/>
      <c r="AE130" s="81"/>
      <c r="AF130" s="81"/>
      <c r="AG130" s="81"/>
      <c r="AH130" s="81"/>
      <c r="AI130" s="81"/>
      <c r="AJ130" s="81"/>
    </row>
    <row r="131" spans="1:38">
      <c r="D131" t="s">
        <v>79</v>
      </c>
      <c r="E131" t="s">
        <v>68</v>
      </c>
      <c r="F131" s="435" t="s">
        <v>296</v>
      </c>
      <c r="G131" s="435" t="s">
        <v>12</v>
      </c>
      <c r="H131" t="s">
        <v>281</v>
      </c>
      <c r="I131" t="s">
        <v>7</v>
      </c>
      <c r="J131" t="s">
        <v>280</v>
      </c>
      <c r="K131" s="96"/>
      <c r="L131" s="96"/>
      <c r="N131" t="s">
        <v>280</v>
      </c>
      <c r="O131" t="s">
        <v>218</v>
      </c>
      <c r="P131" s="138"/>
      <c r="Q131" s="145" t="s">
        <v>290</v>
      </c>
      <c r="R131" s="139"/>
      <c r="S131" s="140" t="s">
        <v>1016</v>
      </c>
      <c r="T131" s="140" t="s">
        <v>1019</v>
      </c>
      <c r="U131" s="76"/>
      <c r="AC131" t="s">
        <v>2</v>
      </c>
      <c r="AD131" s="81"/>
      <c r="AE131" s="81"/>
      <c r="AF131" s="81"/>
      <c r="AG131" s="81"/>
      <c r="AH131" s="81"/>
      <c r="AI131" s="81"/>
      <c r="AJ131" s="81"/>
    </row>
    <row r="132" spans="1:38">
      <c r="D132" t="s">
        <v>79</v>
      </c>
      <c r="E132" t="s">
        <v>68</v>
      </c>
      <c r="F132" s="435" t="s">
        <v>296</v>
      </c>
      <c r="G132" s="435" t="s">
        <v>12</v>
      </c>
      <c r="H132" t="s">
        <v>281</v>
      </c>
      <c r="I132" t="s">
        <v>7</v>
      </c>
      <c r="J132" t="s">
        <v>280</v>
      </c>
      <c r="K132" s="96"/>
      <c r="L132" s="96"/>
      <c r="N132" t="s">
        <v>280</v>
      </c>
      <c r="O132" t="s">
        <v>218</v>
      </c>
      <c r="P132" s="138"/>
      <c r="Q132" s="145" t="s">
        <v>290</v>
      </c>
      <c r="R132" s="139"/>
      <c r="S132" s="141" t="s">
        <v>1049</v>
      </c>
      <c r="T132" s="140" t="s">
        <v>1020</v>
      </c>
      <c r="U132" s="76"/>
      <c r="AC132" t="s">
        <v>2</v>
      </c>
      <c r="AD132" s="81"/>
      <c r="AE132" s="81"/>
      <c r="AF132" s="81"/>
      <c r="AG132" s="81"/>
      <c r="AH132" s="81"/>
      <c r="AI132" s="81"/>
      <c r="AJ132" s="81"/>
    </row>
    <row r="133" spans="1:38">
      <c r="D133" t="s">
        <v>79</v>
      </c>
      <c r="E133" t="s">
        <v>68</v>
      </c>
      <c r="F133" s="435" t="s">
        <v>296</v>
      </c>
      <c r="G133" s="435" t="s">
        <v>12</v>
      </c>
      <c r="H133" t="s">
        <v>281</v>
      </c>
      <c r="I133" t="s">
        <v>7</v>
      </c>
      <c r="J133" t="s">
        <v>280</v>
      </c>
      <c r="K133" s="96"/>
      <c r="L133" s="96"/>
      <c r="N133" t="s">
        <v>280</v>
      </c>
      <c r="O133" t="s">
        <v>218</v>
      </c>
      <c r="P133" s="138"/>
      <c r="Q133" s="145" t="s">
        <v>290</v>
      </c>
      <c r="R133" s="139"/>
      <c r="S133" s="141" t="s">
        <v>1049</v>
      </c>
      <c r="T133" s="140" t="s">
        <v>131</v>
      </c>
      <c r="U133" s="76"/>
      <c r="AC133" t="s">
        <v>2</v>
      </c>
      <c r="AD133" s="81"/>
      <c r="AE133" s="81"/>
      <c r="AF133" s="81"/>
      <c r="AG133" s="81"/>
      <c r="AH133" s="81"/>
      <c r="AI133" s="81"/>
      <c r="AJ133" s="81"/>
    </row>
    <row r="134" spans="1:38">
      <c r="D134" t="s">
        <v>79</v>
      </c>
      <c r="E134" t="s">
        <v>68</v>
      </c>
      <c r="F134" s="435" t="s">
        <v>296</v>
      </c>
      <c r="G134" s="435" t="s">
        <v>12</v>
      </c>
      <c r="H134" t="s">
        <v>281</v>
      </c>
      <c r="I134" t="s">
        <v>7</v>
      </c>
      <c r="J134" t="s">
        <v>280</v>
      </c>
      <c r="K134" s="96"/>
      <c r="L134" s="96"/>
      <c r="N134" t="s">
        <v>280</v>
      </c>
      <c r="O134" t="s">
        <v>218</v>
      </c>
      <c r="P134" s="138"/>
      <c r="Q134" s="145" t="s">
        <v>290</v>
      </c>
      <c r="R134" s="139"/>
      <c r="S134" s="141" t="s">
        <v>1049</v>
      </c>
      <c r="T134" s="140" t="s">
        <v>1021</v>
      </c>
      <c r="U134" s="76"/>
      <c r="AC134" t="s">
        <v>2</v>
      </c>
      <c r="AD134" s="81"/>
      <c r="AE134" s="81"/>
      <c r="AF134" s="81"/>
      <c r="AG134" s="81"/>
      <c r="AH134" s="81"/>
      <c r="AI134" s="81"/>
      <c r="AJ134" s="81"/>
    </row>
    <row r="135" spans="1:38">
      <c r="D135" t="s">
        <v>79</v>
      </c>
      <c r="E135" t="s">
        <v>68</v>
      </c>
      <c r="F135" s="435" t="s">
        <v>296</v>
      </c>
      <c r="G135" s="435" t="s">
        <v>12</v>
      </c>
      <c r="H135" t="s">
        <v>281</v>
      </c>
      <c r="I135" t="s">
        <v>7</v>
      </c>
      <c r="J135" t="s">
        <v>280</v>
      </c>
      <c r="K135" s="96"/>
      <c r="L135" s="96"/>
      <c r="N135" t="s">
        <v>280</v>
      </c>
      <c r="O135" t="s">
        <v>218</v>
      </c>
      <c r="P135" s="138"/>
      <c r="Q135" s="145" t="s">
        <v>290</v>
      </c>
      <c r="R135" s="139"/>
      <c r="S135" s="141" t="s">
        <v>1049</v>
      </c>
      <c r="T135" s="141" t="s">
        <v>1052</v>
      </c>
      <c r="U135" s="76"/>
      <c r="AC135" t="s">
        <v>2</v>
      </c>
      <c r="AD135" s="81"/>
      <c r="AE135" s="81"/>
      <c r="AF135" s="81"/>
      <c r="AG135" s="81"/>
      <c r="AH135" s="81"/>
      <c r="AI135" s="81"/>
      <c r="AJ135" s="81"/>
    </row>
    <row r="136" spans="1:38">
      <c r="D136" t="s">
        <v>79</v>
      </c>
      <c r="E136" t="s">
        <v>68</v>
      </c>
      <c r="F136" s="435" t="s">
        <v>296</v>
      </c>
      <c r="G136" s="435" t="s">
        <v>12</v>
      </c>
      <c r="H136" t="s">
        <v>281</v>
      </c>
      <c r="I136" t="s">
        <v>7</v>
      </c>
      <c r="J136" t="s">
        <v>280</v>
      </c>
      <c r="K136" s="96"/>
      <c r="L136" s="96"/>
      <c r="N136" t="s">
        <v>280</v>
      </c>
      <c r="O136" t="s">
        <v>218</v>
      </c>
      <c r="P136" s="142"/>
      <c r="Q136" s="145" t="s">
        <v>290</v>
      </c>
      <c r="R136" s="139"/>
      <c r="S136" s="81"/>
      <c r="T136" s="81"/>
      <c r="U136" s="76"/>
      <c r="AC136" t="s">
        <v>2</v>
      </c>
      <c r="AD136" s="81"/>
      <c r="AE136" s="81"/>
      <c r="AF136" s="81"/>
      <c r="AG136" s="81"/>
      <c r="AH136" s="81"/>
      <c r="AI136" s="81"/>
      <c r="AJ136" s="81"/>
    </row>
    <row r="137" spans="1:38">
      <c r="D137" t="s">
        <v>79</v>
      </c>
      <c r="E137" t="s">
        <v>68</v>
      </c>
      <c r="F137" s="435" t="s">
        <v>296</v>
      </c>
      <c r="G137" s="435" t="s">
        <v>12</v>
      </c>
      <c r="H137" t="s">
        <v>281</v>
      </c>
      <c r="I137" t="s">
        <v>7</v>
      </c>
      <c r="J137" t="s">
        <v>280</v>
      </c>
      <c r="K137" s="96"/>
      <c r="L137" s="96"/>
      <c r="N137" t="s">
        <v>280</v>
      </c>
      <c r="O137" t="s">
        <v>218</v>
      </c>
      <c r="P137" s="142"/>
      <c r="Q137" s="145" t="s">
        <v>290</v>
      </c>
      <c r="R137" s="139"/>
      <c r="S137" s="81"/>
      <c r="T137" s="81"/>
      <c r="U137" s="76"/>
      <c r="AC137" t="s">
        <v>2</v>
      </c>
      <c r="AD137" s="81"/>
      <c r="AE137" s="81"/>
      <c r="AF137" s="81"/>
      <c r="AG137" s="81"/>
      <c r="AH137" s="81"/>
      <c r="AI137" s="81"/>
      <c r="AJ137" s="81"/>
    </row>
    <row r="138" spans="1:38">
      <c r="P138" s="143"/>
      <c r="Q138" s="146"/>
      <c r="AJ138" s="435"/>
    </row>
    <row r="139" spans="1:38" s="1" customFormat="1" ht="13.9">
      <c r="A139" s="66"/>
      <c r="B139" s="78" t="s">
        <v>254</v>
      </c>
      <c r="P139" s="144"/>
      <c r="Q139" s="147"/>
      <c r="R139" s="137"/>
      <c r="S139" s="137"/>
      <c r="T139" s="137"/>
    </row>
    <row r="140" spans="1:38">
      <c r="P140" s="143"/>
      <c r="Q140" s="146"/>
      <c r="AJ140" s="435"/>
    </row>
    <row r="141" spans="1:38">
      <c r="D141" t="s">
        <v>79</v>
      </c>
      <c r="E141" t="s">
        <v>68</v>
      </c>
      <c r="F141" s="435" t="s">
        <v>296</v>
      </c>
      <c r="G141" s="435" t="s">
        <v>12</v>
      </c>
      <c r="H141" t="s">
        <v>281</v>
      </c>
      <c r="I141" t="s">
        <v>7</v>
      </c>
      <c r="J141" t="s">
        <v>280</v>
      </c>
      <c r="K141" s="96"/>
      <c r="L141" s="96"/>
      <c r="N141" t="s">
        <v>280</v>
      </c>
      <c r="O141" t="s">
        <v>218</v>
      </c>
      <c r="P141" s="138"/>
      <c r="Q141" s="148" t="s">
        <v>254</v>
      </c>
      <c r="R141" s="139"/>
      <c r="S141" s="140" t="s">
        <v>1016</v>
      </c>
      <c r="T141" s="140" t="s">
        <v>1017</v>
      </c>
      <c r="U141" s="76"/>
      <c r="AC141" t="s">
        <v>2</v>
      </c>
      <c r="AD141" s="81"/>
      <c r="AE141" s="81"/>
      <c r="AF141" s="81"/>
      <c r="AG141" s="81"/>
      <c r="AH141" s="81"/>
      <c r="AI141" s="81"/>
      <c r="AJ141" s="81"/>
      <c r="AL141" s="435"/>
    </row>
    <row r="142" spans="1:38">
      <c r="D142" t="s">
        <v>79</v>
      </c>
      <c r="E142" t="s">
        <v>68</v>
      </c>
      <c r="F142" s="435" t="s">
        <v>296</v>
      </c>
      <c r="G142" s="435" t="s">
        <v>12</v>
      </c>
      <c r="H142" t="s">
        <v>281</v>
      </c>
      <c r="I142" t="s">
        <v>7</v>
      </c>
      <c r="J142" t="s">
        <v>280</v>
      </c>
      <c r="K142" s="96"/>
      <c r="L142" s="96"/>
      <c r="N142" t="s">
        <v>280</v>
      </c>
      <c r="O142" t="s">
        <v>218</v>
      </c>
      <c r="P142" s="138"/>
      <c r="Q142" s="145" t="s">
        <v>254</v>
      </c>
      <c r="R142" s="139"/>
      <c r="S142" s="140" t="s">
        <v>1016</v>
      </c>
      <c r="T142" s="140" t="s">
        <v>1018</v>
      </c>
      <c r="U142" s="76"/>
      <c r="AC142" t="s">
        <v>2</v>
      </c>
      <c r="AD142" s="81"/>
      <c r="AE142" s="81"/>
      <c r="AF142" s="81"/>
      <c r="AG142" s="81"/>
      <c r="AH142" s="81"/>
      <c r="AI142" s="81"/>
      <c r="AJ142" s="81"/>
    </row>
    <row r="143" spans="1:38">
      <c r="D143" t="s">
        <v>79</v>
      </c>
      <c r="E143" t="s">
        <v>68</v>
      </c>
      <c r="F143" s="435" t="s">
        <v>296</v>
      </c>
      <c r="G143" s="435" t="s">
        <v>12</v>
      </c>
      <c r="H143" t="s">
        <v>281</v>
      </c>
      <c r="I143" t="s">
        <v>7</v>
      </c>
      <c r="J143" t="s">
        <v>280</v>
      </c>
      <c r="K143" s="96"/>
      <c r="L143" s="96"/>
      <c r="N143" t="s">
        <v>280</v>
      </c>
      <c r="O143" t="s">
        <v>218</v>
      </c>
      <c r="P143" s="138"/>
      <c r="Q143" s="145" t="s">
        <v>254</v>
      </c>
      <c r="R143" s="139"/>
      <c r="S143" s="140" t="s">
        <v>1016</v>
      </c>
      <c r="T143" s="141" t="s">
        <v>1050</v>
      </c>
      <c r="U143" s="76"/>
      <c r="AC143" t="s">
        <v>2</v>
      </c>
      <c r="AD143" s="81"/>
      <c r="AE143" s="81"/>
      <c r="AF143" s="81"/>
      <c r="AG143" s="81"/>
      <c r="AH143" s="81"/>
      <c r="AI143" s="81"/>
      <c r="AJ143" s="81"/>
    </row>
    <row r="144" spans="1:38">
      <c r="D144" t="s">
        <v>79</v>
      </c>
      <c r="E144" t="s">
        <v>68</v>
      </c>
      <c r="F144" s="435" t="s">
        <v>296</v>
      </c>
      <c r="G144" s="435" t="s">
        <v>12</v>
      </c>
      <c r="H144" t="s">
        <v>281</v>
      </c>
      <c r="I144" t="s">
        <v>7</v>
      </c>
      <c r="J144" t="s">
        <v>280</v>
      </c>
      <c r="K144" s="96"/>
      <c r="L144" s="96"/>
      <c r="N144" t="s">
        <v>280</v>
      </c>
      <c r="O144" t="s">
        <v>218</v>
      </c>
      <c r="P144" s="138"/>
      <c r="Q144" s="145" t="s">
        <v>254</v>
      </c>
      <c r="R144" s="139"/>
      <c r="S144" s="140" t="s">
        <v>1016</v>
      </c>
      <c r="T144" s="141" t="s">
        <v>1051</v>
      </c>
      <c r="U144" s="76"/>
      <c r="AC144" t="s">
        <v>2</v>
      </c>
      <c r="AD144" s="81"/>
      <c r="AE144" s="81"/>
      <c r="AF144" s="81"/>
      <c r="AG144" s="81"/>
      <c r="AH144" s="81"/>
      <c r="AI144" s="81"/>
      <c r="AJ144" s="81"/>
    </row>
    <row r="145" spans="1:36">
      <c r="D145" t="s">
        <v>79</v>
      </c>
      <c r="E145" t="s">
        <v>68</v>
      </c>
      <c r="F145" s="435" t="s">
        <v>296</v>
      </c>
      <c r="G145" s="435" t="s">
        <v>12</v>
      </c>
      <c r="H145" t="s">
        <v>281</v>
      </c>
      <c r="I145" t="s">
        <v>7</v>
      </c>
      <c r="J145" t="s">
        <v>280</v>
      </c>
      <c r="K145" s="96"/>
      <c r="L145" s="96"/>
      <c r="N145" t="s">
        <v>280</v>
      </c>
      <c r="O145" t="s">
        <v>218</v>
      </c>
      <c r="P145" s="138"/>
      <c r="Q145" s="145" t="s">
        <v>254</v>
      </c>
      <c r="R145" s="139"/>
      <c r="S145" s="140" t="s">
        <v>1016</v>
      </c>
      <c r="T145" s="140" t="s">
        <v>1019</v>
      </c>
      <c r="U145" s="76"/>
      <c r="AC145" t="s">
        <v>2</v>
      </c>
      <c r="AD145" s="81"/>
      <c r="AE145" s="81"/>
      <c r="AF145" s="81"/>
      <c r="AG145" s="81"/>
      <c r="AH145" s="81"/>
      <c r="AI145" s="81"/>
      <c r="AJ145" s="81"/>
    </row>
    <row r="146" spans="1:36">
      <c r="D146" t="s">
        <v>79</v>
      </c>
      <c r="E146" t="s">
        <v>68</v>
      </c>
      <c r="F146" s="435" t="s">
        <v>296</v>
      </c>
      <c r="G146" s="435" t="s">
        <v>12</v>
      </c>
      <c r="H146" t="s">
        <v>281</v>
      </c>
      <c r="I146" t="s">
        <v>7</v>
      </c>
      <c r="J146" t="s">
        <v>280</v>
      </c>
      <c r="K146" s="96"/>
      <c r="L146" s="96"/>
      <c r="N146" t="s">
        <v>280</v>
      </c>
      <c r="O146" t="s">
        <v>218</v>
      </c>
      <c r="P146" s="138"/>
      <c r="Q146" s="145" t="s">
        <v>254</v>
      </c>
      <c r="R146" s="139"/>
      <c r="S146" s="141" t="s">
        <v>1049</v>
      </c>
      <c r="T146" s="140" t="s">
        <v>1020</v>
      </c>
      <c r="U146" s="76"/>
      <c r="AC146" t="s">
        <v>2</v>
      </c>
      <c r="AD146" s="81"/>
      <c r="AE146" s="81"/>
      <c r="AF146" s="81"/>
      <c r="AG146" s="81"/>
      <c r="AH146" s="81"/>
      <c r="AI146" s="81"/>
      <c r="AJ146" s="81"/>
    </row>
    <row r="147" spans="1:36">
      <c r="D147" t="s">
        <v>79</v>
      </c>
      <c r="E147" t="s">
        <v>68</v>
      </c>
      <c r="F147" s="435" t="s">
        <v>296</v>
      </c>
      <c r="G147" s="435" t="s">
        <v>12</v>
      </c>
      <c r="H147" t="s">
        <v>281</v>
      </c>
      <c r="I147" t="s">
        <v>7</v>
      </c>
      <c r="J147" t="s">
        <v>280</v>
      </c>
      <c r="K147" s="96"/>
      <c r="L147" s="96"/>
      <c r="N147" t="s">
        <v>280</v>
      </c>
      <c r="O147" t="s">
        <v>218</v>
      </c>
      <c r="P147" s="138"/>
      <c r="Q147" s="145" t="s">
        <v>254</v>
      </c>
      <c r="R147" s="139"/>
      <c r="S147" s="141" t="s">
        <v>1049</v>
      </c>
      <c r="T147" s="140" t="s">
        <v>131</v>
      </c>
      <c r="U147" s="76"/>
      <c r="AC147" t="s">
        <v>2</v>
      </c>
      <c r="AD147" s="81"/>
      <c r="AE147" s="81"/>
      <c r="AF147" s="81"/>
      <c r="AG147" s="81"/>
      <c r="AH147" s="81"/>
      <c r="AI147" s="81"/>
      <c r="AJ147" s="81"/>
    </row>
    <row r="148" spans="1:36">
      <c r="D148" t="s">
        <v>79</v>
      </c>
      <c r="E148" t="s">
        <v>68</v>
      </c>
      <c r="F148" s="435" t="s">
        <v>296</v>
      </c>
      <c r="G148" s="435" t="s">
        <v>12</v>
      </c>
      <c r="H148" t="s">
        <v>281</v>
      </c>
      <c r="I148" t="s">
        <v>7</v>
      </c>
      <c r="J148" t="s">
        <v>280</v>
      </c>
      <c r="K148" s="96"/>
      <c r="L148" s="96"/>
      <c r="N148" t="s">
        <v>280</v>
      </c>
      <c r="O148" t="s">
        <v>218</v>
      </c>
      <c r="P148" s="138"/>
      <c r="Q148" s="145" t="s">
        <v>254</v>
      </c>
      <c r="R148" s="139"/>
      <c r="S148" s="141" t="s">
        <v>1049</v>
      </c>
      <c r="T148" s="140" t="s">
        <v>1021</v>
      </c>
      <c r="U148" s="76"/>
      <c r="AC148" t="s">
        <v>2</v>
      </c>
      <c r="AD148" s="81"/>
      <c r="AE148" s="81"/>
      <c r="AF148" s="81"/>
      <c r="AG148" s="81"/>
      <c r="AH148" s="81"/>
      <c r="AI148" s="81"/>
      <c r="AJ148" s="81"/>
    </row>
    <row r="149" spans="1:36">
      <c r="D149" t="s">
        <v>79</v>
      </c>
      <c r="E149" t="s">
        <v>68</v>
      </c>
      <c r="F149" s="435" t="s">
        <v>296</v>
      </c>
      <c r="G149" s="435" t="s">
        <v>12</v>
      </c>
      <c r="H149" t="s">
        <v>281</v>
      </c>
      <c r="I149" t="s">
        <v>7</v>
      </c>
      <c r="J149" t="s">
        <v>280</v>
      </c>
      <c r="K149" s="96"/>
      <c r="L149" s="96"/>
      <c r="N149" t="s">
        <v>280</v>
      </c>
      <c r="O149" t="s">
        <v>218</v>
      </c>
      <c r="P149" s="138"/>
      <c r="Q149" s="145" t="s">
        <v>254</v>
      </c>
      <c r="R149" s="139"/>
      <c r="S149" s="141" t="s">
        <v>1049</v>
      </c>
      <c r="T149" s="141" t="s">
        <v>1052</v>
      </c>
      <c r="U149" s="76"/>
      <c r="AC149" t="s">
        <v>2</v>
      </c>
      <c r="AD149" s="81"/>
      <c r="AE149" s="81"/>
      <c r="AF149" s="81"/>
      <c r="AG149" s="81"/>
      <c r="AH149" s="81"/>
      <c r="AI149" s="81"/>
      <c r="AJ149" s="81"/>
    </row>
    <row r="150" spans="1:36">
      <c r="D150" t="s">
        <v>79</v>
      </c>
      <c r="E150" t="s">
        <v>68</v>
      </c>
      <c r="F150" s="435" t="s">
        <v>296</v>
      </c>
      <c r="G150" s="435" t="s">
        <v>12</v>
      </c>
      <c r="H150" t="s">
        <v>281</v>
      </c>
      <c r="I150" t="s">
        <v>7</v>
      </c>
      <c r="J150" t="s">
        <v>280</v>
      </c>
      <c r="K150" s="96"/>
      <c r="L150" s="96"/>
      <c r="N150" t="s">
        <v>280</v>
      </c>
      <c r="O150" t="s">
        <v>218</v>
      </c>
      <c r="P150" s="142"/>
      <c r="Q150" s="145" t="s">
        <v>254</v>
      </c>
      <c r="R150" s="139"/>
      <c r="S150" s="81"/>
      <c r="T150" s="81"/>
      <c r="U150" s="76"/>
      <c r="AC150" t="s">
        <v>2</v>
      </c>
      <c r="AD150" s="81"/>
      <c r="AE150" s="81"/>
      <c r="AF150" s="81"/>
      <c r="AG150" s="81"/>
      <c r="AH150" s="81"/>
      <c r="AI150" s="81"/>
      <c r="AJ150" s="81"/>
    </row>
    <row r="151" spans="1:36">
      <c r="D151" t="s">
        <v>79</v>
      </c>
      <c r="E151" t="s">
        <v>68</v>
      </c>
      <c r="F151" s="435" t="s">
        <v>296</v>
      </c>
      <c r="G151" s="435" t="s">
        <v>12</v>
      </c>
      <c r="H151" t="s">
        <v>281</v>
      </c>
      <c r="I151" t="s">
        <v>7</v>
      </c>
      <c r="J151" t="s">
        <v>280</v>
      </c>
      <c r="K151" s="96"/>
      <c r="L151" s="96"/>
      <c r="N151" t="s">
        <v>280</v>
      </c>
      <c r="O151" t="s">
        <v>218</v>
      </c>
      <c r="P151" s="142"/>
      <c r="Q151" s="145" t="s">
        <v>254</v>
      </c>
      <c r="R151" s="139"/>
      <c r="S151" s="81"/>
      <c r="T151" s="81"/>
      <c r="U151" s="76"/>
      <c r="AC151" t="s">
        <v>2</v>
      </c>
      <c r="AD151" s="81"/>
      <c r="AE151" s="81"/>
      <c r="AF151" s="81"/>
      <c r="AG151" s="81"/>
      <c r="AH151" s="81"/>
      <c r="AI151" s="81"/>
      <c r="AJ151" s="81"/>
    </row>
    <row r="152" spans="1:36">
      <c r="P152" s="143"/>
      <c r="Q152" s="146"/>
      <c r="AJ152" s="435"/>
    </row>
    <row r="153" spans="1:36" s="1" customFormat="1" ht="13.9">
      <c r="A153" s="66"/>
      <c r="B153" s="78" t="s">
        <v>298</v>
      </c>
      <c r="P153" s="144"/>
      <c r="Q153" s="147"/>
      <c r="R153" s="137"/>
      <c r="S153" s="137"/>
      <c r="T153" s="137"/>
    </row>
    <row r="154" spans="1:36">
      <c r="P154" s="143"/>
      <c r="Q154" s="146"/>
      <c r="AJ154" s="435"/>
    </row>
    <row r="155" spans="1:36">
      <c r="D155" t="s">
        <v>79</v>
      </c>
      <c r="E155" t="s">
        <v>68</v>
      </c>
      <c r="F155" s="435" t="s">
        <v>296</v>
      </c>
      <c r="G155" s="435" t="s">
        <v>12</v>
      </c>
      <c r="H155" t="s">
        <v>281</v>
      </c>
      <c r="I155" t="s">
        <v>7</v>
      </c>
      <c r="J155" t="s">
        <v>280</v>
      </c>
      <c r="K155" s="96"/>
      <c r="L155" s="96"/>
      <c r="N155" t="s">
        <v>280</v>
      </c>
      <c r="O155" t="s">
        <v>218</v>
      </c>
      <c r="P155" s="138"/>
      <c r="Q155" s="148" t="s">
        <v>298</v>
      </c>
      <c r="R155" s="139"/>
      <c r="S155" s="140" t="s">
        <v>1016</v>
      </c>
      <c r="T155" s="140" t="s">
        <v>1017</v>
      </c>
      <c r="U155" s="76"/>
      <c r="AC155" t="s">
        <v>2</v>
      </c>
      <c r="AD155" s="81"/>
      <c r="AE155" s="81"/>
      <c r="AF155" s="81"/>
      <c r="AG155" s="81"/>
      <c r="AH155" s="81"/>
      <c r="AI155" s="81"/>
      <c r="AJ155" s="81"/>
    </row>
    <row r="156" spans="1:36">
      <c r="D156" t="s">
        <v>79</v>
      </c>
      <c r="E156" t="s">
        <v>68</v>
      </c>
      <c r="F156" s="435" t="s">
        <v>296</v>
      </c>
      <c r="G156" s="435" t="s">
        <v>12</v>
      </c>
      <c r="H156" t="s">
        <v>281</v>
      </c>
      <c r="I156" t="s">
        <v>7</v>
      </c>
      <c r="J156" t="s">
        <v>280</v>
      </c>
      <c r="K156" s="96"/>
      <c r="L156" s="96"/>
      <c r="N156" t="s">
        <v>280</v>
      </c>
      <c r="O156" t="s">
        <v>218</v>
      </c>
      <c r="P156" s="138"/>
      <c r="Q156" s="148" t="s">
        <v>298</v>
      </c>
      <c r="R156" s="139"/>
      <c r="S156" s="140" t="s">
        <v>1016</v>
      </c>
      <c r="T156" s="140" t="s">
        <v>1018</v>
      </c>
      <c r="U156" s="76"/>
      <c r="AC156" t="s">
        <v>2</v>
      </c>
      <c r="AD156" s="81"/>
      <c r="AE156" s="81"/>
      <c r="AF156" s="81"/>
      <c r="AG156" s="81"/>
      <c r="AH156" s="81"/>
      <c r="AI156" s="81"/>
      <c r="AJ156" s="81"/>
    </row>
    <row r="157" spans="1:36">
      <c r="D157" t="s">
        <v>79</v>
      </c>
      <c r="E157" t="s">
        <v>68</v>
      </c>
      <c r="F157" s="435" t="s">
        <v>296</v>
      </c>
      <c r="G157" s="435" t="s">
        <v>12</v>
      </c>
      <c r="H157" t="s">
        <v>281</v>
      </c>
      <c r="I157" t="s">
        <v>7</v>
      </c>
      <c r="J157" t="s">
        <v>280</v>
      </c>
      <c r="K157" s="96"/>
      <c r="L157" s="96"/>
      <c r="N157" t="s">
        <v>280</v>
      </c>
      <c r="O157" t="s">
        <v>218</v>
      </c>
      <c r="P157" s="138"/>
      <c r="Q157" s="148" t="s">
        <v>298</v>
      </c>
      <c r="R157" s="139"/>
      <c r="S157" s="140" t="s">
        <v>1016</v>
      </c>
      <c r="T157" s="141" t="s">
        <v>1050</v>
      </c>
      <c r="U157" s="76"/>
      <c r="AC157" t="s">
        <v>2</v>
      </c>
      <c r="AD157" s="81"/>
      <c r="AE157" s="81"/>
      <c r="AF157" s="81"/>
      <c r="AG157" s="81"/>
      <c r="AH157" s="81"/>
      <c r="AI157" s="81"/>
      <c r="AJ157" s="81"/>
    </row>
    <row r="158" spans="1:36">
      <c r="D158" t="s">
        <v>79</v>
      </c>
      <c r="E158" t="s">
        <v>68</v>
      </c>
      <c r="F158" s="435" t="s">
        <v>296</v>
      </c>
      <c r="G158" s="435" t="s">
        <v>12</v>
      </c>
      <c r="H158" t="s">
        <v>281</v>
      </c>
      <c r="I158" t="s">
        <v>7</v>
      </c>
      <c r="J158" t="s">
        <v>280</v>
      </c>
      <c r="K158" s="96"/>
      <c r="L158" s="96"/>
      <c r="N158" t="s">
        <v>280</v>
      </c>
      <c r="O158" t="s">
        <v>218</v>
      </c>
      <c r="P158" s="138"/>
      <c r="Q158" s="148" t="s">
        <v>298</v>
      </c>
      <c r="R158" s="139"/>
      <c r="S158" s="140" t="s">
        <v>1016</v>
      </c>
      <c r="T158" s="141" t="s">
        <v>1051</v>
      </c>
      <c r="U158" s="76"/>
      <c r="AC158" t="s">
        <v>2</v>
      </c>
      <c r="AD158" s="81"/>
      <c r="AE158" s="81"/>
      <c r="AF158" s="81"/>
      <c r="AG158" s="81"/>
      <c r="AH158" s="81"/>
      <c r="AI158" s="81"/>
      <c r="AJ158" s="81"/>
    </row>
    <row r="159" spans="1:36">
      <c r="D159" t="s">
        <v>79</v>
      </c>
      <c r="E159" t="s">
        <v>68</v>
      </c>
      <c r="F159" s="435" t="s">
        <v>296</v>
      </c>
      <c r="G159" s="435" t="s">
        <v>12</v>
      </c>
      <c r="H159" t="s">
        <v>281</v>
      </c>
      <c r="I159" t="s">
        <v>7</v>
      </c>
      <c r="J159" t="s">
        <v>280</v>
      </c>
      <c r="K159" s="96"/>
      <c r="L159" s="96"/>
      <c r="N159" t="s">
        <v>280</v>
      </c>
      <c r="O159" t="s">
        <v>218</v>
      </c>
      <c r="P159" s="138"/>
      <c r="Q159" s="148" t="s">
        <v>298</v>
      </c>
      <c r="R159" s="139"/>
      <c r="S159" s="140" t="s">
        <v>1016</v>
      </c>
      <c r="T159" s="140" t="s">
        <v>1019</v>
      </c>
      <c r="U159" s="76"/>
      <c r="AC159" t="s">
        <v>2</v>
      </c>
      <c r="AD159" s="81"/>
      <c r="AE159" s="81"/>
      <c r="AF159" s="81"/>
      <c r="AG159" s="81"/>
      <c r="AH159" s="81"/>
      <c r="AI159" s="81"/>
      <c r="AJ159" s="81"/>
    </row>
    <row r="160" spans="1:36">
      <c r="D160" t="s">
        <v>79</v>
      </c>
      <c r="E160" t="s">
        <v>68</v>
      </c>
      <c r="F160" s="435" t="s">
        <v>296</v>
      </c>
      <c r="G160" s="435" t="s">
        <v>12</v>
      </c>
      <c r="H160" t="s">
        <v>281</v>
      </c>
      <c r="I160" t="s">
        <v>7</v>
      </c>
      <c r="J160" t="s">
        <v>280</v>
      </c>
      <c r="K160" s="96"/>
      <c r="L160" s="96"/>
      <c r="N160" t="s">
        <v>280</v>
      </c>
      <c r="O160" t="s">
        <v>218</v>
      </c>
      <c r="P160" s="138"/>
      <c r="Q160" s="148" t="s">
        <v>298</v>
      </c>
      <c r="R160" s="139"/>
      <c r="S160" s="141" t="s">
        <v>1049</v>
      </c>
      <c r="T160" s="140" t="s">
        <v>1020</v>
      </c>
      <c r="U160" s="76"/>
      <c r="AC160" t="s">
        <v>2</v>
      </c>
      <c r="AD160" s="81"/>
      <c r="AE160" s="81"/>
      <c r="AF160" s="81"/>
      <c r="AG160" s="81"/>
      <c r="AH160" s="81"/>
      <c r="AI160" s="81"/>
      <c r="AJ160" s="81"/>
    </row>
    <row r="161" spans="1:36">
      <c r="D161" t="s">
        <v>79</v>
      </c>
      <c r="E161" t="s">
        <v>68</v>
      </c>
      <c r="F161" s="435" t="s">
        <v>296</v>
      </c>
      <c r="G161" s="435" t="s">
        <v>12</v>
      </c>
      <c r="H161" t="s">
        <v>281</v>
      </c>
      <c r="I161" t="s">
        <v>7</v>
      </c>
      <c r="J161" t="s">
        <v>280</v>
      </c>
      <c r="K161" s="96"/>
      <c r="L161" s="96"/>
      <c r="N161" t="s">
        <v>280</v>
      </c>
      <c r="O161" t="s">
        <v>218</v>
      </c>
      <c r="P161" s="138"/>
      <c r="Q161" s="148" t="s">
        <v>298</v>
      </c>
      <c r="R161" s="139"/>
      <c r="S161" s="141" t="s">
        <v>1049</v>
      </c>
      <c r="T161" s="140" t="s">
        <v>131</v>
      </c>
      <c r="U161" s="76"/>
      <c r="AC161" t="s">
        <v>2</v>
      </c>
      <c r="AD161" s="81"/>
      <c r="AE161" s="81"/>
      <c r="AF161" s="81"/>
      <c r="AG161" s="81"/>
      <c r="AH161" s="81"/>
      <c r="AI161" s="81"/>
      <c r="AJ161" s="81"/>
    </row>
    <row r="162" spans="1:36">
      <c r="D162" t="s">
        <v>79</v>
      </c>
      <c r="E162" t="s">
        <v>68</v>
      </c>
      <c r="F162" s="435" t="s">
        <v>296</v>
      </c>
      <c r="G162" s="435" t="s">
        <v>12</v>
      </c>
      <c r="H162" t="s">
        <v>281</v>
      </c>
      <c r="I162" t="s">
        <v>7</v>
      </c>
      <c r="J162" t="s">
        <v>280</v>
      </c>
      <c r="K162" s="96"/>
      <c r="L162" s="96"/>
      <c r="N162" t="s">
        <v>280</v>
      </c>
      <c r="O162" t="s">
        <v>218</v>
      </c>
      <c r="P162" s="138"/>
      <c r="Q162" s="148" t="s">
        <v>298</v>
      </c>
      <c r="R162" s="139"/>
      <c r="S162" s="141" t="s">
        <v>1049</v>
      </c>
      <c r="T162" s="140" t="s">
        <v>1021</v>
      </c>
      <c r="U162" s="76"/>
      <c r="AC162" t="s">
        <v>2</v>
      </c>
      <c r="AD162" s="81"/>
      <c r="AE162" s="81"/>
      <c r="AF162" s="81"/>
      <c r="AG162" s="81"/>
      <c r="AH162" s="81"/>
      <c r="AI162" s="81"/>
      <c r="AJ162" s="81"/>
    </row>
    <row r="163" spans="1:36">
      <c r="D163" t="s">
        <v>79</v>
      </c>
      <c r="E163" t="s">
        <v>68</v>
      </c>
      <c r="F163" s="435" t="s">
        <v>296</v>
      </c>
      <c r="G163" s="435" t="s">
        <v>12</v>
      </c>
      <c r="H163" t="s">
        <v>281</v>
      </c>
      <c r="I163" t="s">
        <v>7</v>
      </c>
      <c r="J163" t="s">
        <v>280</v>
      </c>
      <c r="K163" s="96"/>
      <c r="L163" s="96"/>
      <c r="N163" t="s">
        <v>280</v>
      </c>
      <c r="O163" t="s">
        <v>218</v>
      </c>
      <c r="P163" s="138"/>
      <c r="Q163" s="148" t="s">
        <v>298</v>
      </c>
      <c r="R163" s="139"/>
      <c r="S163" s="141" t="s">
        <v>1049</v>
      </c>
      <c r="T163" s="141" t="s">
        <v>1052</v>
      </c>
      <c r="U163" s="76"/>
      <c r="AC163" t="s">
        <v>2</v>
      </c>
      <c r="AD163" s="81"/>
      <c r="AE163" s="81"/>
      <c r="AF163" s="81"/>
      <c r="AG163" s="81"/>
      <c r="AH163" s="81"/>
      <c r="AI163" s="81"/>
      <c r="AJ163" s="81"/>
    </row>
    <row r="164" spans="1:36">
      <c r="D164" t="s">
        <v>79</v>
      </c>
      <c r="E164" t="s">
        <v>68</v>
      </c>
      <c r="F164" s="435" t="s">
        <v>296</v>
      </c>
      <c r="G164" s="435" t="s">
        <v>12</v>
      </c>
      <c r="H164" t="s">
        <v>281</v>
      </c>
      <c r="I164" t="s">
        <v>7</v>
      </c>
      <c r="J164" t="s">
        <v>280</v>
      </c>
      <c r="K164" s="96"/>
      <c r="L164" s="96"/>
      <c r="N164" t="s">
        <v>280</v>
      </c>
      <c r="O164" t="s">
        <v>218</v>
      </c>
      <c r="P164" s="142"/>
      <c r="Q164" s="148" t="s">
        <v>298</v>
      </c>
      <c r="R164" s="139"/>
      <c r="S164" s="81"/>
      <c r="T164" s="81"/>
      <c r="U164" s="76"/>
      <c r="AC164" t="s">
        <v>2</v>
      </c>
      <c r="AD164" s="81"/>
      <c r="AE164" s="81"/>
      <c r="AF164" s="81"/>
      <c r="AG164" s="81"/>
      <c r="AH164" s="81"/>
      <c r="AI164" s="81"/>
      <c r="AJ164" s="81"/>
    </row>
    <row r="165" spans="1:36">
      <c r="D165" t="s">
        <v>79</v>
      </c>
      <c r="E165" t="s">
        <v>68</v>
      </c>
      <c r="F165" s="435" t="s">
        <v>296</v>
      </c>
      <c r="G165" s="435" t="s">
        <v>12</v>
      </c>
      <c r="H165" t="s">
        <v>281</v>
      </c>
      <c r="I165" t="s">
        <v>7</v>
      </c>
      <c r="J165" t="s">
        <v>280</v>
      </c>
      <c r="K165" s="96"/>
      <c r="L165" s="96"/>
      <c r="N165" t="s">
        <v>280</v>
      </c>
      <c r="O165" t="s">
        <v>218</v>
      </c>
      <c r="P165" s="142"/>
      <c r="Q165" s="148" t="s">
        <v>298</v>
      </c>
      <c r="R165" s="139"/>
      <c r="S165" s="81"/>
      <c r="T165" s="81"/>
      <c r="U165" s="76"/>
      <c r="AC165" t="s">
        <v>2</v>
      </c>
      <c r="AD165" s="81"/>
      <c r="AE165" s="81"/>
      <c r="AF165" s="81"/>
      <c r="AG165" s="81"/>
      <c r="AH165" s="81"/>
      <c r="AI165" s="81"/>
      <c r="AJ165" s="81"/>
    </row>
    <row r="166" spans="1:36">
      <c r="P166" s="143"/>
      <c r="Q166" s="146"/>
      <c r="AJ166" s="435"/>
    </row>
    <row r="167" spans="1:36" s="1" customFormat="1" ht="13.9">
      <c r="A167" s="66"/>
      <c r="B167" s="78" t="s">
        <v>1014</v>
      </c>
      <c r="P167" s="144"/>
      <c r="Q167" s="147"/>
      <c r="R167" s="137"/>
      <c r="S167" s="137"/>
      <c r="T167" s="137"/>
    </row>
    <row r="168" spans="1:36">
      <c r="P168" s="143"/>
      <c r="Q168" s="146"/>
      <c r="AJ168" s="435"/>
    </row>
    <row r="169" spans="1:36">
      <c r="D169" t="s">
        <v>79</v>
      </c>
      <c r="E169" t="s">
        <v>68</v>
      </c>
      <c r="F169" s="435" t="s">
        <v>296</v>
      </c>
      <c r="G169" s="435" t="s">
        <v>12</v>
      </c>
      <c r="H169" t="s">
        <v>281</v>
      </c>
      <c r="I169" t="s">
        <v>7</v>
      </c>
      <c r="J169" t="s">
        <v>299</v>
      </c>
      <c r="K169" s="96"/>
      <c r="L169" s="96"/>
      <c r="N169" t="s">
        <v>257</v>
      </c>
      <c r="O169" t="s">
        <v>218</v>
      </c>
      <c r="P169" s="138"/>
      <c r="Q169" s="148" t="s">
        <v>1014</v>
      </c>
      <c r="R169" s="139"/>
      <c r="S169" s="140" t="s">
        <v>1016</v>
      </c>
      <c r="T169" s="140" t="s">
        <v>1017</v>
      </c>
      <c r="U169" s="76"/>
      <c r="AC169" t="s">
        <v>2</v>
      </c>
      <c r="AD169" s="81"/>
      <c r="AE169" s="81"/>
      <c r="AF169" s="81"/>
      <c r="AG169" s="81"/>
      <c r="AH169" s="81"/>
      <c r="AI169" s="81"/>
      <c r="AJ169" s="81"/>
    </row>
    <row r="170" spans="1:36">
      <c r="D170" t="s">
        <v>79</v>
      </c>
      <c r="E170" t="s">
        <v>68</v>
      </c>
      <c r="F170" s="435" t="s">
        <v>296</v>
      </c>
      <c r="G170" s="435" t="s">
        <v>12</v>
      </c>
      <c r="H170" t="s">
        <v>281</v>
      </c>
      <c r="I170" t="s">
        <v>7</v>
      </c>
      <c r="J170" t="s">
        <v>299</v>
      </c>
      <c r="K170" s="96"/>
      <c r="L170" s="96"/>
      <c r="N170" t="s">
        <v>257</v>
      </c>
      <c r="O170" t="s">
        <v>218</v>
      </c>
      <c r="P170" s="138"/>
      <c r="Q170" s="148" t="s">
        <v>1014</v>
      </c>
      <c r="R170" s="139"/>
      <c r="S170" s="140" t="s">
        <v>1016</v>
      </c>
      <c r="T170" s="140" t="s">
        <v>1018</v>
      </c>
      <c r="U170" s="76"/>
      <c r="AC170" t="s">
        <v>2</v>
      </c>
      <c r="AD170" s="81"/>
      <c r="AE170" s="81"/>
      <c r="AF170" s="81"/>
      <c r="AG170" s="81"/>
      <c r="AH170" s="81"/>
      <c r="AI170" s="81"/>
      <c r="AJ170" s="81"/>
    </row>
    <row r="171" spans="1:36">
      <c r="D171" t="s">
        <v>79</v>
      </c>
      <c r="E171" t="s">
        <v>68</v>
      </c>
      <c r="F171" s="435" t="s">
        <v>296</v>
      </c>
      <c r="G171" s="435" t="s">
        <v>12</v>
      </c>
      <c r="H171" t="s">
        <v>281</v>
      </c>
      <c r="I171" t="s">
        <v>7</v>
      </c>
      <c r="J171" t="s">
        <v>299</v>
      </c>
      <c r="K171" s="96"/>
      <c r="L171" s="96"/>
      <c r="N171" t="s">
        <v>257</v>
      </c>
      <c r="O171" t="s">
        <v>218</v>
      </c>
      <c r="P171" s="138"/>
      <c r="Q171" s="148" t="s">
        <v>1014</v>
      </c>
      <c r="R171" s="139"/>
      <c r="S171" s="140" t="s">
        <v>1016</v>
      </c>
      <c r="T171" s="141" t="s">
        <v>1050</v>
      </c>
      <c r="U171" s="76"/>
      <c r="AC171" t="s">
        <v>2</v>
      </c>
      <c r="AD171" s="81"/>
      <c r="AE171" s="81"/>
      <c r="AF171" s="81"/>
      <c r="AG171" s="81"/>
      <c r="AH171" s="81"/>
      <c r="AI171" s="81"/>
      <c r="AJ171" s="81"/>
    </row>
    <row r="172" spans="1:36">
      <c r="D172" t="s">
        <v>79</v>
      </c>
      <c r="E172" t="s">
        <v>68</v>
      </c>
      <c r="F172" s="435" t="s">
        <v>296</v>
      </c>
      <c r="G172" s="435" t="s">
        <v>12</v>
      </c>
      <c r="H172" t="s">
        <v>281</v>
      </c>
      <c r="I172" t="s">
        <v>7</v>
      </c>
      <c r="J172" t="s">
        <v>299</v>
      </c>
      <c r="K172" s="96"/>
      <c r="L172" s="96"/>
      <c r="N172" t="s">
        <v>257</v>
      </c>
      <c r="O172" t="s">
        <v>218</v>
      </c>
      <c r="P172" s="138"/>
      <c r="Q172" s="148" t="s">
        <v>1014</v>
      </c>
      <c r="R172" s="139"/>
      <c r="S172" s="140" t="s">
        <v>1016</v>
      </c>
      <c r="T172" s="141" t="s">
        <v>1051</v>
      </c>
      <c r="U172" s="76"/>
      <c r="AC172" t="s">
        <v>2</v>
      </c>
      <c r="AD172" s="81"/>
      <c r="AE172" s="81"/>
      <c r="AF172" s="81"/>
      <c r="AG172" s="81"/>
      <c r="AH172" s="81"/>
      <c r="AI172" s="81"/>
      <c r="AJ172" s="81"/>
    </row>
    <row r="173" spans="1:36">
      <c r="D173" t="s">
        <v>79</v>
      </c>
      <c r="E173" t="s">
        <v>68</v>
      </c>
      <c r="F173" s="435" t="s">
        <v>296</v>
      </c>
      <c r="G173" s="435" t="s">
        <v>12</v>
      </c>
      <c r="H173" t="s">
        <v>281</v>
      </c>
      <c r="I173" t="s">
        <v>7</v>
      </c>
      <c r="J173" t="s">
        <v>299</v>
      </c>
      <c r="K173" s="96"/>
      <c r="L173" s="96"/>
      <c r="N173" t="s">
        <v>257</v>
      </c>
      <c r="O173" t="s">
        <v>218</v>
      </c>
      <c r="P173" s="138"/>
      <c r="Q173" s="148" t="s">
        <v>1014</v>
      </c>
      <c r="R173" s="139"/>
      <c r="S173" s="140" t="s">
        <v>1016</v>
      </c>
      <c r="T173" s="140" t="s">
        <v>1019</v>
      </c>
      <c r="U173" s="76"/>
      <c r="AC173" t="s">
        <v>2</v>
      </c>
      <c r="AD173" s="81"/>
      <c r="AE173" s="81"/>
      <c r="AF173" s="81"/>
      <c r="AG173" s="81"/>
      <c r="AH173" s="81"/>
      <c r="AI173" s="81"/>
      <c r="AJ173" s="81"/>
    </row>
    <row r="174" spans="1:36">
      <c r="D174" t="s">
        <v>79</v>
      </c>
      <c r="E174" t="s">
        <v>68</v>
      </c>
      <c r="F174" s="435" t="s">
        <v>296</v>
      </c>
      <c r="G174" s="435" t="s">
        <v>12</v>
      </c>
      <c r="H174" t="s">
        <v>281</v>
      </c>
      <c r="I174" t="s">
        <v>7</v>
      </c>
      <c r="J174" t="s">
        <v>299</v>
      </c>
      <c r="K174" s="96"/>
      <c r="L174" s="96"/>
      <c r="N174" t="s">
        <v>257</v>
      </c>
      <c r="O174" t="s">
        <v>218</v>
      </c>
      <c r="P174" s="138"/>
      <c r="Q174" s="148" t="s">
        <v>1014</v>
      </c>
      <c r="R174" s="139"/>
      <c r="S174" s="141" t="s">
        <v>1049</v>
      </c>
      <c r="T174" s="140" t="s">
        <v>1020</v>
      </c>
      <c r="U174" s="76"/>
      <c r="AC174" t="s">
        <v>2</v>
      </c>
      <c r="AD174" s="81"/>
      <c r="AE174" s="81"/>
      <c r="AF174" s="81"/>
      <c r="AG174" s="81"/>
      <c r="AH174" s="81"/>
      <c r="AI174" s="81"/>
      <c r="AJ174" s="81"/>
    </row>
    <row r="175" spans="1:36">
      <c r="D175" t="s">
        <v>79</v>
      </c>
      <c r="E175" t="s">
        <v>68</v>
      </c>
      <c r="F175" s="435" t="s">
        <v>296</v>
      </c>
      <c r="G175" s="435" t="s">
        <v>12</v>
      </c>
      <c r="H175" t="s">
        <v>281</v>
      </c>
      <c r="I175" t="s">
        <v>7</v>
      </c>
      <c r="J175" t="s">
        <v>299</v>
      </c>
      <c r="K175" s="96"/>
      <c r="L175" s="96"/>
      <c r="N175" t="s">
        <v>257</v>
      </c>
      <c r="O175" t="s">
        <v>218</v>
      </c>
      <c r="P175" s="138"/>
      <c r="Q175" s="148" t="s">
        <v>1014</v>
      </c>
      <c r="R175" s="139"/>
      <c r="S175" s="141" t="s">
        <v>1049</v>
      </c>
      <c r="T175" s="140" t="s">
        <v>131</v>
      </c>
      <c r="U175" s="76"/>
      <c r="AC175" t="s">
        <v>2</v>
      </c>
      <c r="AD175" s="81"/>
      <c r="AE175" s="81"/>
      <c r="AF175" s="81"/>
      <c r="AG175" s="81"/>
      <c r="AH175" s="81"/>
      <c r="AI175" s="81"/>
      <c r="AJ175" s="81"/>
    </row>
    <row r="176" spans="1:36">
      <c r="D176" t="s">
        <v>79</v>
      </c>
      <c r="E176" t="s">
        <v>68</v>
      </c>
      <c r="F176" s="435" t="s">
        <v>296</v>
      </c>
      <c r="G176" s="435" t="s">
        <v>12</v>
      </c>
      <c r="H176" t="s">
        <v>281</v>
      </c>
      <c r="I176" t="s">
        <v>7</v>
      </c>
      <c r="J176" t="s">
        <v>299</v>
      </c>
      <c r="K176" s="96"/>
      <c r="L176" s="96"/>
      <c r="N176" t="s">
        <v>257</v>
      </c>
      <c r="O176" t="s">
        <v>218</v>
      </c>
      <c r="P176" s="138"/>
      <c r="Q176" s="148" t="s">
        <v>1014</v>
      </c>
      <c r="R176" s="139"/>
      <c r="S176" s="141" t="s">
        <v>1049</v>
      </c>
      <c r="T176" s="140" t="s">
        <v>1021</v>
      </c>
      <c r="U176" s="76"/>
      <c r="AC176" t="s">
        <v>2</v>
      </c>
      <c r="AD176" s="81"/>
      <c r="AE176" s="81"/>
      <c r="AF176" s="81"/>
      <c r="AG176" s="81"/>
      <c r="AH176" s="81"/>
      <c r="AI176" s="81"/>
      <c r="AJ176" s="81"/>
    </row>
    <row r="177" spans="1:36">
      <c r="D177" t="s">
        <v>79</v>
      </c>
      <c r="E177" t="s">
        <v>68</v>
      </c>
      <c r="F177" s="435" t="s">
        <v>296</v>
      </c>
      <c r="G177" s="435" t="s">
        <v>12</v>
      </c>
      <c r="H177" t="s">
        <v>281</v>
      </c>
      <c r="I177" t="s">
        <v>7</v>
      </c>
      <c r="J177" t="s">
        <v>299</v>
      </c>
      <c r="K177" s="96"/>
      <c r="L177" s="96"/>
      <c r="N177" t="s">
        <v>257</v>
      </c>
      <c r="O177" t="s">
        <v>218</v>
      </c>
      <c r="P177" s="138"/>
      <c r="Q177" s="148" t="s">
        <v>1014</v>
      </c>
      <c r="R177" s="139"/>
      <c r="S177" s="141" t="s">
        <v>1049</v>
      </c>
      <c r="T177" s="141" t="s">
        <v>1052</v>
      </c>
      <c r="U177" s="76"/>
      <c r="AC177" t="s">
        <v>2</v>
      </c>
      <c r="AD177" s="81"/>
      <c r="AE177" s="81"/>
      <c r="AF177" s="81"/>
      <c r="AG177" s="81"/>
      <c r="AH177" s="81"/>
      <c r="AI177" s="81"/>
      <c r="AJ177" s="81"/>
    </row>
    <row r="178" spans="1:36">
      <c r="D178" t="s">
        <v>79</v>
      </c>
      <c r="E178" t="s">
        <v>68</v>
      </c>
      <c r="F178" s="435" t="s">
        <v>296</v>
      </c>
      <c r="G178" s="435" t="s">
        <v>12</v>
      </c>
      <c r="H178" t="s">
        <v>281</v>
      </c>
      <c r="I178" t="s">
        <v>7</v>
      </c>
      <c r="J178" t="s">
        <v>299</v>
      </c>
      <c r="K178" s="96"/>
      <c r="L178" s="96"/>
      <c r="N178" t="s">
        <v>257</v>
      </c>
      <c r="O178" t="s">
        <v>218</v>
      </c>
      <c r="P178" s="142"/>
      <c r="Q178" s="148" t="s">
        <v>1014</v>
      </c>
      <c r="R178" s="139"/>
      <c r="S178" s="81"/>
      <c r="T178" s="81"/>
      <c r="U178" s="76"/>
      <c r="AC178" t="s">
        <v>2</v>
      </c>
      <c r="AD178" s="81"/>
      <c r="AE178" s="81"/>
      <c r="AF178" s="81"/>
      <c r="AG178" s="81"/>
      <c r="AH178" s="81"/>
      <c r="AI178" s="81"/>
      <c r="AJ178" s="81"/>
    </row>
    <row r="179" spans="1:36">
      <c r="D179" t="s">
        <v>79</v>
      </c>
      <c r="E179" t="s">
        <v>68</v>
      </c>
      <c r="F179" s="435" t="s">
        <v>296</v>
      </c>
      <c r="G179" s="435" t="s">
        <v>12</v>
      </c>
      <c r="H179" t="s">
        <v>281</v>
      </c>
      <c r="I179" t="s">
        <v>7</v>
      </c>
      <c r="J179" t="s">
        <v>299</v>
      </c>
      <c r="K179" s="96"/>
      <c r="L179" s="96"/>
      <c r="N179" t="s">
        <v>257</v>
      </c>
      <c r="O179" t="s">
        <v>218</v>
      </c>
      <c r="P179" s="142"/>
      <c r="Q179" s="148" t="s">
        <v>1014</v>
      </c>
      <c r="R179" s="139"/>
      <c r="S179" s="81"/>
      <c r="T179" s="81"/>
      <c r="U179" s="76"/>
      <c r="AC179" t="s">
        <v>2</v>
      </c>
      <c r="AD179" s="81"/>
      <c r="AE179" s="81"/>
      <c r="AF179" s="81"/>
      <c r="AG179" s="81"/>
      <c r="AH179" s="81"/>
      <c r="AI179" s="81"/>
      <c r="AJ179" s="81"/>
    </row>
    <row r="180" spans="1:36">
      <c r="P180" s="143"/>
      <c r="Q180" s="146"/>
      <c r="AJ180" s="435"/>
    </row>
    <row r="181" spans="1:36" s="1" customFormat="1" ht="13.9">
      <c r="A181" s="66"/>
      <c r="B181" s="78" t="s">
        <v>1015</v>
      </c>
      <c r="P181" s="144"/>
      <c r="Q181" s="147"/>
      <c r="R181" s="137"/>
      <c r="S181" s="137"/>
      <c r="T181" s="137"/>
    </row>
    <row r="182" spans="1:36">
      <c r="P182" s="143"/>
      <c r="Q182" s="146"/>
      <c r="AJ182" s="435"/>
    </row>
    <row r="183" spans="1:36">
      <c r="D183" t="s">
        <v>79</v>
      </c>
      <c r="E183" t="s">
        <v>68</v>
      </c>
      <c r="F183" s="435" t="s">
        <v>296</v>
      </c>
      <c r="G183" s="435" t="s">
        <v>12</v>
      </c>
      <c r="H183" t="s">
        <v>281</v>
      </c>
      <c r="I183" t="s">
        <v>7</v>
      </c>
      <c r="J183" t="s">
        <v>299</v>
      </c>
      <c r="K183" s="96"/>
      <c r="L183" s="96"/>
      <c r="N183" t="s">
        <v>1015</v>
      </c>
      <c r="O183" t="s">
        <v>218</v>
      </c>
      <c r="P183" s="138"/>
      <c r="Q183" s="145" t="s">
        <v>1015</v>
      </c>
      <c r="R183" s="139"/>
      <c r="S183" s="140" t="s">
        <v>1016</v>
      </c>
      <c r="T183" s="140" t="s">
        <v>1017</v>
      </c>
      <c r="U183" s="76"/>
      <c r="AC183" t="s">
        <v>2</v>
      </c>
      <c r="AD183" s="81"/>
      <c r="AE183" s="81"/>
      <c r="AF183" s="81"/>
      <c r="AG183" s="81"/>
      <c r="AH183" s="81"/>
      <c r="AI183" s="81"/>
      <c r="AJ183" s="81"/>
    </row>
    <row r="184" spans="1:36">
      <c r="D184" t="s">
        <v>79</v>
      </c>
      <c r="E184" t="s">
        <v>68</v>
      </c>
      <c r="F184" s="435" t="s">
        <v>296</v>
      </c>
      <c r="G184" s="435" t="s">
        <v>12</v>
      </c>
      <c r="H184" t="s">
        <v>281</v>
      </c>
      <c r="I184" t="s">
        <v>7</v>
      </c>
      <c r="J184" t="s">
        <v>299</v>
      </c>
      <c r="K184" s="96"/>
      <c r="L184" s="96"/>
      <c r="N184" t="s">
        <v>1015</v>
      </c>
      <c r="O184" t="s">
        <v>218</v>
      </c>
      <c r="P184" s="138"/>
      <c r="Q184" s="145" t="s">
        <v>1015</v>
      </c>
      <c r="R184" s="139"/>
      <c r="S184" s="140" t="s">
        <v>1016</v>
      </c>
      <c r="T184" s="140" t="s">
        <v>1018</v>
      </c>
      <c r="U184" s="76"/>
      <c r="AC184" t="s">
        <v>2</v>
      </c>
      <c r="AD184" s="81"/>
      <c r="AE184" s="81"/>
      <c r="AF184" s="81"/>
      <c r="AG184" s="81"/>
      <c r="AH184" s="81"/>
      <c r="AI184" s="81"/>
      <c r="AJ184" s="81"/>
    </row>
    <row r="185" spans="1:36">
      <c r="D185" t="s">
        <v>79</v>
      </c>
      <c r="E185" t="s">
        <v>68</v>
      </c>
      <c r="F185" s="435" t="s">
        <v>296</v>
      </c>
      <c r="G185" s="435" t="s">
        <v>12</v>
      </c>
      <c r="H185" t="s">
        <v>281</v>
      </c>
      <c r="I185" t="s">
        <v>7</v>
      </c>
      <c r="J185" t="s">
        <v>299</v>
      </c>
      <c r="K185" s="96"/>
      <c r="L185" s="96"/>
      <c r="N185" t="s">
        <v>1015</v>
      </c>
      <c r="O185" t="s">
        <v>218</v>
      </c>
      <c r="P185" s="138"/>
      <c r="Q185" s="145" t="s">
        <v>1015</v>
      </c>
      <c r="R185" s="139"/>
      <c r="S185" s="140" t="s">
        <v>1016</v>
      </c>
      <c r="T185" s="141" t="s">
        <v>1050</v>
      </c>
      <c r="U185" s="76"/>
      <c r="AC185" t="s">
        <v>2</v>
      </c>
      <c r="AD185" s="81"/>
      <c r="AE185" s="81"/>
      <c r="AF185" s="81"/>
      <c r="AG185" s="81"/>
      <c r="AH185" s="81"/>
      <c r="AI185" s="81"/>
      <c r="AJ185" s="81"/>
    </row>
    <row r="186" spans="1:36">
      <c r="D186" t="s">
        <v>79</v>
      </c>
      <c r="E186" t="s">
        <v>68</v>
      </c>
      <c r="F186" s="435" t="s">
        <v>296</v>
      </c>
      <c r="G186" s="435" t="s">
        <v>12</v>
      </c>
      <c r="H186" t="s">
        <v>281</v>
      </c>
      <c r="I186" t="s">
        <v>7</v>
      </c>
      <c r="J186" t="s">
        <v>299</v>
      </c>
      <c r="K186" s="96"/>
      <c r="L186" s="96"/>
      <c r="N186" t="s">
        <v>1015</v>
      </c>
      <c r="O186" t="s">
        <v>218</v>
      </c>
      <c r="P186" s="138"/>
      <c r="Q186" s="145" t="s">
        <v>1015</v>
      </c>
      <c r="R186" s="139"/>
      <c r="S186" s="140" t="s">
        <v>1016</v>
      </c>
      <c r="T186" s="141" t="s">
        <v>1051</v>
      </c>
      <c r="U186" s="76"/>
      <c r="AC186" t="s">
        <v>2</v>
      </c>
      <c r="AD186" s="81"/>
      <c r="AE186" s="81"/>
      <c r="AF186" s="81"/>
      <c r="AG186" s="81"/>
      <c r="AH186" s="81"/>
      <c r="AI186" s="81"/>
      <c r="AJ186" s="81"/>
    </row>
    <row r="187" spans="1:36">
      <c r="D187" t="s">
        <v>79</v>
      </c>
      <c r="E187" t="s">
        <v>68</v>
      </c>
      <c r="F187" s="435" t="s">
        <v>296</v>
      </c>
      <c r="G187" s="435" t="s">
        <v>12</v>
      </c>
      <c r="H187" t="s">
        <v>281</v>
      </c>
      <c r="I187" t="s">
        <v>7</v>
      </c>
      <c r="J187" t="s">
        <v>299</v>
      </c>
      <c r="K187" s="96"/>
      <c r="L187" s="96"/>
      <c r="N187" t="s">
        <v>1015</v>
      </c>
      <c r="O187" t="s">
        <v>218</v>
      </c>
      <c r="P187" s="138"/>
      <c r="Q187" s="145" t="s">
        <v>1015</v>
      </c>
      <c r="R187" s="139"/>
      <c r="S187" s="140" t="s">
        <v>1016</v>
      </c>
      <c r="T187" s="140" t="s">
        <v>1019</v>
      </c>
      <c r="U187" s="76"/>
      <c r="AC187" t="s">
        <v>2</v>
      </c>
      <c r="AD187" s="81"/>
      <c r="AE187" s="81"/>
      <c r="AF187" s="81"/>
      <c r="AG187" s="81"/>
      <c r="AH187" s="81"/>
      <c r="AI187" s="81"/>
      <c r="AJ187" s="81"/>
    </row>
    <row r="188" spans="1:36">
      <c r="D188" t="s">
        <v>79</v>
      </c>
      <c r="E188" t="s">
        <v>68</v>
      </c>
      <c r="F188" s="435" t="s">
        <v>296</v>
      </c>
      <c r="G188" s="435" t="s">
        <v>12</v>
      </c>
      <c r="H188" t="s">
        <v>281</v>
      </c>
      <c r="I188" t="s">
        <v>7</v>
      </c>
      <c r="J188" t="s">
        <v>299</v>
      </c>
      <c r="K188" s="96"/>
      <c r="L188" s="96"/>
      <c r="N188" t="s">
        <v>1015</v>
      </c>
      <c r="O188" t="s">
        <v>218</v>
      </c>
      <c r="P188" s="138"/>
      <c r="Q188" s="145" t="s">
        <v>1015</v>
      </c>
      <c r="R188" s="139"/>
      <c r="S188" s="141" t="s">
        <v>1049</v>
      </c>
      <c r="T188" s="140" t="s">
        <v>1020</v>
      </c>
      <c r="U188" s="76"/>
      <c r="AC188" t="s">
        <v>2</v>
      </c>
      <c r="AD188" s="81"/>
      <c r="AE188" s="81"/>
      <c r="AF188" s="81"/>
      <c r="AG188" s="81"/>
      <c r="AH188" s="81"/>
      <c r="AI188" s="81"/>
      <c r="AJ188" s="81"/>
    </row>
    <row r="189" spans="1:36">
      <c r="D189" t="s">
        <v>79</v>
      </c>
      <c r="E189" t="s">
        <v>68</v>
      </c>
      <c r="F189" s="435" t="s">
        <v>296</v>
      </c>
      <c r="G189" s="435" t="s">
        <v>12</v>
      </c>
      <c r="H189" t="s">
        <v>281</v>
      </c>
      <c r="I189" t="s">
        <v>7</v>
      </c>
      <c r="J189" t="s">
        <v>299</v>
      </c>
      <c r="K189" s="96"/>
      <c r="L189" s="96"/>
      <c r="N189" t="s">
        <v>1015</v>
      </c>
      <c r="O189" t="s">
        <v>218</v>
      </c>
      <c r="P189" s="138"/>
      <c r="Q189" s="145" t="s">
        <v>1015</v>
      </c>
      <c r="R189" s="139"/>
      <c r="S189" s="141" t="s">
        <v>1049</v>
      </c>
      <c r="T189" s="140" t="s">
        <v>131</v>
      </c>
      <c r="U189" s="76"/>
      <c r="AC189" t="s">
        <v>2</v>
      </c>
      <c r="AD189" s="81"/>
      <c r="AE189" s="81"/>
      <c r="AF189" s="81"/>
      <c r="AG189" s="81"/>
      <c r="AH189" s="81"/>
      <c r="AI189" s="81"/>
      <c r="AJ189" s="81"/>
    </row>
    <row r="190" spans="1:36">
      <c r="D190" t="s">
        <v>79</v>
      </c>
      <c r="E190" t="s">
        <v>68</v>
      </c>
      <c r="F190" s="435" t="s">
        <v>296</v>
      </c>
      <c r="G190" s="435" t="s">
        <v>12</v>
      </c>
      <c r="H190" t="s">
        <v>281</v>
      </c>
      <c r="I190" t="s">
        <v>7</v>
      </c>
      <c r="J190" t="s">
        <v>299</v>
      </c>
      <c r="K190" s="96"/>
      <c r="L190" s="96"/>
      <c r="N190" t="s">
        <v>1015</v>
      </c>
      <c r="O190" t="s">
        <v>218</v>
      </c>
      <c r="P190" s="138"/>
      <c r="Q190" s="145" t="s">
        <v>1015</v>
      </c>
      <c r="R190" s="139"/>
      <c r="S190" s="141" t="s">
        <v>1049</v>
      </c>
      <c r="T190" s="140" t="s">
        <v>1021</v>
      </c>
      <c r="U190" s="76"/>
      <c r="AC190" t="s">
        <v>2</v>
      </c>
      <c r="AD190" s="81"/>
      <c r="AE190" s="81"/>
      <c r="AF190" s="81"/>
      <c r="AG190" s="81"/>
      <c r="AH190" s="81"/>
      <c r="AI190" s="81"/>
      <c r="AJ190" s="81"/>
    </row>
    <row r="191" spans="1:36">
      <c r="D191" t="s">
        <v>79</v>
      </c>
      <c r="E191" t="s">
        <v>68</v>
      </c>
      <c r="F191" s="435" t="s">
        <v>296</v>
      </c>
      <c r="G191" s="435" t="s">
        <v>12</v>
      </c>
      <c r="H191" t="s">
        <v>281</v>
      </c>
      <c r="I191" t="s">
        <v>7</v>
      </c>
      <c r="J191" t="s">
        <v>299</v>
      </c>
      <c r="K191" s="96"/>
      <c r="L191" s="96"/>
      <c r="N191" t="s">
        <v>1015</v>
      </c>
      <c r="O191" t="s">
        <v>218</v>
      </c>
      <c r="P191" s="138"/>
      <c r="Q191" s="145" t="s">
        <v>1015</v>
      </c>
      <c r="R191" s="139"/>
      <c r="S191" s="141" t="s">
        <v>1049</v>
      </c>
      <c r="T191" s="141" t="s">
        <v>1052</v>
      </c>
      <c r="U191" s="76"/>
      <c r="AC191" t="s">
        <v>2</v>
      </c>
      <c r="AD191" s="81"/>
      <c r="AE191" s="81"/>
      <c r="AF191" s="81"/>
      <c r="AG191" s="81"/>
      <c r="AH191" s="81"/>
      <c r="AI191" s="81"/>
      <c r="AJ191" s="81"/>
    </row>
    <row r="192" spans="1:36">
      <c r="D192" t="s">
        <v>79</v>
      </c>
      <c r="E192" t="s">
        <v>68</v>
      </c>
      <c r="F192" s="435" t="s">
        <v>296</v>
      </c>
      <c r="G192" s="435" t="s">
        <v>12</v>
      </c>
      <c r="H192" t="s">
        <v>281</v>
      </c>
      <c r="I192" t="s">
        <v>7</v>
      </c>
      <c r="J192" t="s">
        <v>299</v>
      </c>
      <c r="K192" s="96"/>
      <c r="L192" s="96"/>
      <c r="N192" t="s">
        <v>1015</v>
      </c>
      <c r="O192" t="s">
        <v>218</v>
      </c>
      <c r="P192" s="142"/>
      <c r="Q192" s="145" t="s">
        <v>1015</v>
      </c>
      <c r="R192" s="139"/>
      <c r="S192" s="81"/>
      <c r="T192" s="81"/>
      <c r="U192" s="76"/>
      <c r="AC192" t="s">
        <v>2</v>
      </c>
      <c r="AD192" s="81"/>
      <c r="AE192" s="81"/>
      <c r="AF192" s="81"/>
      <c r="AG192" s="81"/>
      <c r="AH192" s="81"/>
      <c r="AI192" s="81"/>
      <c r="AJ192" s="81"/>
    </row>
    <row r="193" spans="1:36">
      <c r="D193" t="s">
        <v>79</v>
      </c>
      <c r="E193" t="s">
        <v>68</v>
      </c>
      <c r="F193" s="435" t="s">
        <v>296</v>
      </c>
      <c r="G193" s="435" t="s">
        <v>12</v>
      </c>
      <c r="H193" t="s">
        <v>281</v>
      </c>
      <c r="I193" t="s">
        <v>7</v>
      </c>
      <c r="J193" t="s">
        <v>299</v>
      </c>
      <c r="K193" s="96"/>
      <c r="L193" s="96"/>
      <c r="N193" t="s">
        <v>1015</v>
      </c>
      <c r="O193" t="s">
        <v>218</v>
      </c>
      <c r="P193" s="142"/>
      <c r="Q193" s="145" t="s">
        <v>1015</v>
      </c>
      <c r="R193" s="139"/>
      <c r="S193" s="81"/>
      <c r="T193" s="81"/>
      <c r="U193" s="76"/>
      <c r="AC193" t="s">
        <v>2</v>
      </c>
      <c r="AD193" s="81"/>
      <c r="AE193" s="81"/>
      <c r="AF193" s="81"/>
      <c r="AG193" s="81"/>
      <c r="AH193" s="81"/>
      <c r="AI193" s="81"/>
      <c r="AJ193" s="81"/>
    </row>
    <row r="194" spans="1:36">
      <c r="I194" s="96"/>
      <c r="J194" s="96"/>
      <c r="K194" s="96"/>
      <c r="L194" s="96"/>
      <c r="R194" s="139"/>
      <c r="S194" s="139"/>
      <c r="T194" s="139"/>
      <c r="U194" s="76"/>
      <c r="AD194" s="80"/>
    </row>
    <row r="195" spans="1:36" s="73" customFormat="1" ht="18">
      <c r="A195" s="74" t="s">
        <v>76</v>
      </c>
      <c r="P195" s="132"/>
      <c r="Q195" s="124"/>
      <c r="R195" s="132"/>
      <c r="S195" s="132"/>
      <c r="T195" s="132"/>
    </row>
  </sheetData>
  <mergeCells count="1">
    <mergeCell ref="AE6:AI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Lists'!$N$11:$N$13</xm:f>
          </x14:formula1>
          <xm:sqref>S22:S23 S36:S37 S50:S51 S64:S65 S78:S79 S92:S93 S106:S107 S122:S123 S136:S137 S150:S151 S164:S165 S178:S179 S192:S193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I721"/>
  <sheetViews>
    <sheetView zoomScale="80" zoomScaleNormal="80" workbookViewId="0">
      <pane ySplit="8" topLeftCell="A9" activePane="bottomLeft" state="frozen"/>
      <selection activeCell="J37" sqref="J37"/>
      <selection pane="bottomLeft"/>
    </sheetView>
  </sheetViews>
  <sheetFormatPr defaultColWidth="9.1328125" defaultRowHeight="14.25"/>
  <cols>
    <col min="1" max="3" width="1.73046875" style="435" customWidth="1"/>
    <col min="4" max="4" width="8.1328125" style="435" bestFit="1" customWidth="1"/>
    <col min="5" max="5" width="5" style="435" bestFit="1" customWidth="1"/>
    <col min="6" max="6" width="24.59765625" style="435" bestFit="1" customWidth="1"/>
    <col min="7" max="7" width="11.265625" style="435" bestFit="1" customWidth="1"/>
    <col min="8" max="8" width="13.73046875" style="435" bestFit="1" customWidth="1"/>
    <col min="9" max="9" width="9.3984375" style="435" bestFit="1" customWidth="1"/>
    <col min="10" max="10" width="13.73046875" style="435" bestFit="1" customWidth="1"/>
    <col min="11" max="11" width="18.3984375" style="435" bestFit="1" customWidth="1"/>
    <col min="12" max="12" width="21.86328125" style="435" customWidth="1"/>
    <col min="13" max="13" width="50.73046875" style="435" bestFit="1" customWidth="1"/>
    <col min="14" max="14" width="19.265625" style="435" bestFit="1" customWidth="1"/>
    <col min="15" max="15" width="14.86328125" style="435" bestFit="1" customWidth="1"/>
    <col min="16" max="17" width="1.73046875" style="435" customWidth="1"/>
    <col min="18" max="18" width="11.59765625" style="435" bestFit="1" customWidth="1"/>
    <col min="19" max="19" width="42.265625" style="435" customWidth="1"/>
    <col min="20" max="28" width="1.73046875" style="435" hidden="1" customWidth="1"/>
    <col min="29" max="29" width="5" style="435" bestFit="1" customWidth="1"/>
    <col min="30" max="30" width="7.73046875" style="435" customWidth="1"/>
    <col min="31" max="16384" width="9.1328125" style="435"/>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2642</v>
      </c>
    </row>
    <row r="6" spans="1:35">
      <c r="AE6" s="1347" t="s">
        <v>112</v>
      </c>
      <c r="AF6" s="1348"/>
      <c r="AG6" s="1348"/>
      <c r="AH6" s="1348"/>
      <c r="AI6" s="1349"/>
    </row>
    <row r="7" spans="1:35" s="67" customFormat="1">
      <c r="D7" s="87" t="s">
        <v>111</v>
      </c>
      <c r="E7" s="87" t="s">
        <v>68</v>
      </c>
      <c r="F7" s="87" t="s">
        <v>2680</v>
      </c>
      <c r="G7" s="87" t="s">
        <v>2681</v>
      </c>
      <c r="H7" s="87" t="s">
        <v>110</v>
      </c>
      <c r="I7" s="87" t="s">
        <v>109</v>
      </c>
      <c r="J7" s="87" t="s">
        <v>108</v>
      </c>
      <c r="K7" s="87" t="s">
        <v>107</v>
      </c>
      <c r="L7" s="87" t="s">
        <v>106</v>
      </c>
      <c r="M7" s="87" t="s">
        <v>105</v>
      </c>
      <c r="N7" s="87" t="s">
        <v>104</v>
      </c>
      <c r="O7" s="87" t="s">
        <v>103</v>
      </c>
      <c r="P7" s="87"/>
      <c r="Q7" s="87"/>
      <c r="R7" s="67" t="s">
        <v>831</v>
      </c>
      <c r="S7" s="67" t="s">
        <v>201</v>
      </c>
      <c r="T7" s="86" t="s">
        <v>99</v>
      </c>
      <c r="U7" s="86" t="s">
        <v>98</v>
      </c>
      <c r="V7" s="86" t="s">
        <v>97</v>
      </c>
      <c r="W7" s="86" t="s">
        <v>96</v>
      </c>
      <c r="X7" s="86" t="s">
        <v>95</v>
      </c>
      <c r="Y7" s="86" t="s">
        <v>94</v>
      </c>
      <c r="Z7" s="86" t="s">
        <v>93</v>
      </c>
      <c r="AA7" s="86" t="s">
        <v>92</v>
      </c>
      <c r="AB7" s="86" t="s">
        <v>91</v>
      </c>
      <c r="AC7" s="67" t="s">
        <v>5</v>
      </c>
      <c r="AE7" s="84">
        <v>2022</v>
      </c>
      <c r="AF7" s="83">
        <v>2023</v>
      </c>
      <c r="AG7" s="83">
        <v>2024</v>
      </c>
      <c r="AH7" s="83">
        <v>2025</v>
      </c>
      <c r="AI7" s="82">
        <v>2026</v>
      </c>
    </row>
    <row r="8" spans="1:35">
      <c r="T8" s="67"/>
      <c r="U8" s="67"/>
      <c r="V8" s="67"/>
      <c r="W8" s="67"/>
      <c r="X8" s="67"/>
    </row>
    <row r="9" spans="1:35" s="1" customFormat="1" ht="17.649999999999999">
      <c r="A9" s="2" t="s">
        <v>274</v>
      </c>
      <c r="B9" s="2"/>
    </row>
    <row r="11" spans="1:35" s="1" customFormat="1" ht="13.9">
      <c r="A11" s="66"/>
      <c r="B11" s="78" t="s">
        <v>2717</v>
      </c>
    </row>
    <row r="13" spans="1:35">
      <c r="D13" s="435" t="s">
        <v>79</v>
      </c>
      <c r="E13" s="435" t="s">
        <v>68</v>
      </c>
      <c r="F13" s="435" t="s">
        <v>274</v>
      </c>
      <c r="G13" s="435" t="s">
        <v>12</v>
      </c>
      <c r="H13" s="435" t="s">
        <v>264</v>
      </c>
      <c r="I13" s="435" t="s">
        <v>7</v>
      </c>
      <c r="J13" s="435" t="s">
        <v>299</v>
      </c>
      <c r="K13" s="437" t="s">
        <v>300</v>
      </c>
      <c r="L13" s="437" t="s">
        <v>301</v>
      </c>
      <c r="M13" s="435" t="s">
        <v>832</v>
      </c>
      <c r="N13" s="435" t="s">
        <v>828</v>
      </c>
      <c r="O13" s="435" t="s">
        <v>217</v>
      </c>
      <c r="R13" s="435" t="s">
        <v>324</v>
      </c>
      <c r="S13" s="435" t="s">
        <v>325</v>
      </c>
      <c r="AC13" s="435" t="s">
        <v>2</v>
      </c>
      <c r="AE13" s="438"/>
      <c r="AF13" s="438"/>
      <c r="AG13" s="438"/>
      <c r="AH13" s="438"/>
      <c r="AI13" s="438"/>
    </row>
    <row r="14" spans="1:35">
      <c r="D14" s="435" t="s">
        <v>79</v>
      </c>
      <c r="E14" s="435" t="s">
        <v>68</v>
      </c>
      <c r="F14" s="435" t="s">
        <v>274</v>
      </c>
      <c r="G14" s="435" t="s">
        <v>12</v>
      </c>
      <c r="H14" s="435" t="s">
        <v>264</v>
      </c>
      <c r="I14" s="435" t="s">
        <v>7</v>
      </c>
      <c r="J14" s="435" t="s">
        <v>299</v>
      </c>
      <c r="K14" s="437" t="s">
        <v>300</v>
      </c>
      <c r="L14" s="437" t="s">
        <v>301</v>
      </c>
      <c r="M14" s="435" t="s">
        <v>832</v>
      </c>
      <c r="N14" s="435" t="s">
        <v>828</v>
      </c>
      <c r="O14" s="435" t="s">
        <v>217</v>
      </c>
      <c r="R14" s="435" t="s">
        <v>326</v>
      </c>
      <c r="S14" s="435" t="s">
        <v>327</v>
      </c>
      <c r="AC14" s="435" t="s">
        <v>2</v>
      </c>
      <c r="AE14" s="438"/>
      <c r="AF14" s="438"/>
      <c r="AG14" s="438"/>
      <c r="AH14" s="438"/>
      <c r="AI14" s="438"/>
    </row>
    <row r="15" spans="1:35">
      <c r="D15" s="435" t="s">
        <v>79</v>
      </c>
      <c r="E15" s="435" t="s">
        <v>68</v>
      </c>
      <c r="F15" s="435" t="s">
        <v>274</v>
      </c>
      <c r="G15" s="435" t="s">
        <v>12</v>
      </c>
      <c r="H15" s="435" t="s">
        <v>264</v>
      </c>
      <c r="I15" s="435" t="s">
        <v>7</v>
      </c>
      <c r="J15" s="435" t="s">
        <v>299</v>
      </c>
      <c r="K15" s="437" t="s">
        <v>300</v>
      </c>
      <c r="L15" s="437" t="s">
        <v>301</v>
      </c>
      <c r="M15" s="435" t="s">
        <v>832</v>
      </c>
      <c r="N15" s="435" t="s">
        <v>828</v>
      </c>
      <c r="O15" s="435" t="s">
        <v>217</v>
      </c>
      <c r="R15" s="435" t="s">
        <v>328</v>
      </c>
      <c r="S15" s="435" t="s">
        <v>329</v>
      </c>
      <c r="AC15" s="435" t="s">
        <v>2</v>
      </c>
      <c r="AE15" s="438"/>
      <c r="AF15" s="438"/>
      <c r="AG15" s="438"/>
      <c r="AH15" s="438"/>
      <c r="AI15" s="438"/>
    </row>
    <row r="16" spans="1:35">
      <c r="D16" s="435" t="s">
        <v>79</v>
      </c>
      <c r="E16" s="435" t="s">
        <v>68</v>
      </c>
      <c r="F16" s="435" t="s">
        <v>274</v>
      </c>
      <c r="G16" s="435" t="s">
        <v>12</v>
      </c>
      <c r="H16" s="435" t="s">
        <v>264</v>
      </c>
      <c r="I16" s="435" t="s">
        <v>7</v>
      </c>
      <c r="J16" s="435" t="s">
        <v>299</v>
      </c>
      <c r="K16" s="437" t="s">
        <v>300</v>
      </c>
      <c r="L16" s="437" t="s">
        <v>301</v>
      </c>
      <c r="M16" s="435" t="s">
        <v>833</v>
      </c>
      <c r="N16" s="435" t="s">
        <v>828</v>
      </c>
      <c r="O16" s="435" t="s">
        <v>217</v>
      </c>
      <c r="R16" s="435" t="s">
        <v>330</v>
      </c>
      <c r="S16" s="435" t="s">
        <v>331</v>
      </c>
      <c r="AC16" s="435" t="s">
        <v>2</v>
      </c>
      <c r="AE16" s="438"/>
      <c r="AF16" s="438"/>
      <c r="AG16" s="438"/>
      <c r="AH16" s="438"/>
      <c r="AI16" s="438"/>
    </row>
    <row r="17" spans="4:35">
      <c r="D17" s="435" t="s">
        <v>79</v>
      </c>
      <c r="E17" s="435" t="s">
        <v>68</v>
      </c>
      <c r="F17" s="435" t="s">
        <v>274</v>
      </c>
      <c r="G17" s="435" t="s">
        <v>12</v>
      </c>
      <c r="H17" s="435" t="s">
        <v>264</v>
      </c>
      <c r="I17" s="435" t="s">
        <v>7</v>
      </c>
      <c r="J17" s="435" t="s">
        <v>299</v>
      </c>
      <c r="K17" s="437" t="s">
        <v>300</v>
      </c>
      <c r="L17" s="437" t="s">
        <v>301</v>
      </c>
      <c r="M17" s="435" t="s">
        <v>833</v>
      </c>
      <c r="N17" s="435" t="s">
        <v>828</v>
      </c>
      <c r="O17" s="435" t="s">
        <v>217</v>
      </c>
      <c r="R17" s="435" t="s">
        <v>332</v>
      </c>
      <c r="S17" s="435" t="s">
        <v>333</v>
      </c>
      <c r="AC17" s="435" t="s">
        <v>2</v>
      </c>
      <c r="AE17" s="438"/>
      <c r="AF17" s="438"/>
      <c r="AG17" s="438"/>
      <c r="AH17" s="438"/>
      <c r="AI17" s="438"/>
    </row>
    <row r="18" spans="4:35">
      <c r="D18" s="435" t="s">
        <v>79</v>
      </c>
      <c r="E18" s="435" t="s">
        <v>68</v>
      </c>
      <c r="F18" s="435" t="s">
        <v>274</v>
      </c>
      <c r="G18" s="435" t="s">
        <v>12</v>
      </c>
      <c r="H18" s="435" t="s">
        <v>264</v>
      </c>
      <c r="I18" s="435" t="s">
        <v>7</v>
      </c>
      <c r="J18" s="435" t="s">
        <v>299</v>
      </c>
      <c r="K18" s="437" t="s">
        <v>300</v>
      </c>
      <c r="L18" s="437" t="s">
        <v>301</v>
      </c>
      <c r="M18" s="435" t="s">
        <v>833</v>
      </c>
      <c r="N18" s="435" t="s">
        <v>828</v>
      </c>
      <c r="O18" s="435" t="s">
        <v>217</v>
      </c>
      <c r="R18" s="435" t="s">
        <v>334</v>
      </c>
      <c r="S18" s="435" t="s">
        <v>335</v>
      </c>
      <c r="AC18" s="435" t="s">
        <v>2</v>
      </c>
      <c r="AE18" s="438"/>
      <c r="AF18" s="438"/>
      <c r="AG18" s="438"/>
      <c r="AH18" s="438"/>
      <c r="AI18" s="438"/>
    </row>
    <row r="19" spans="4:35">
      <c r="D19" s="435" t="s">
        <v>79</v>
      </c>
      <c r="E19" s="435" t="s">
        <v>68</v>
      </c>
      <c r="F19" s="435" t="s">
        <v>274</v>
      </c>
      <c r="G19" s="435" t="s">
        <v>12</v>
      </c>
      <c r="H19" s="435" t="s">
        <v>264</v>
      </c>
      <c r="I19" s="435" t="s">
        <v>7</v>
      </c>
      <c r="J19" s="435" t="s">
        <v>299</v>
      </c>
      <c r="K19" s="437" t="s">
        <v>300</v>
      </c>
      <c r="L19" s="437" t="s">
        <v>301</v>
      </c>
      <c r="M19" s="435" t="s">
        <v>834</v>
      </c>
      <c r="N19" s="435" t="s">
        <v>828</v>
      </c>
      <c r="O19" s="435" t="s">
        <v>217</v>
      </c>
      <c r="R19" s="435" t="s">
        <v>336</v>
      </c>
      <c r="S19" s="435" t="s">
        <v>337</v>
      </c>
      <c r="AC19" s="435" t="s">
        <v>2</v>
      </c>
      <c r="AE19" s="438"/>
      <c r="AF19" s="438"/>
      <c r="AG19" s="438"/>
      <c r="AH19" s="438"/>
      <c r="AI19" s="438"/>
    </row>
    <row r="20" spans="4:35">
      <c r="D20" s="435" t="s">
        <v>79</v>
      </c>
      <c r="E20" s="435" t="s">
        <v>68</v>
      </c>
      <c r="F20" s="435" t="s">
        <v>274</v>
      </c>
      <c r="G20" s="435" t="s">
        <v>12</v>
      </c>
      <c r="H20" s="435" t="s">
        <v>264</v>
      </c>
      <c r="I20" s="435" t="s">
        <v>7</v>
      </c>
      <c r="J20" s="435" t="s">
        <v>299</v>
      </c>
      <c r="K20" s="437" t="s">
        <v>300</v>
      </c>
      <c r="L20" s="437" t="s">
        <v>301</v>
      </c>
      <c r="M20" s="435" t="s">
        <v>834</v>
      </c>
      <c r="N20" s="435" t="s">
        <v>828</v>
      </c>
      <c r="O20" s="435" t="s">
        <v>217</v>
      </c>
      <c r="R20" s="435" t="s">
        <v>338</v>
      </c>
      <c r="S20" s="435" t="s">
        <v>339</v>
      </c>
      <c r="AC20" s="435" t="s">
        <v>2</v>
      </c>
      <c r="AE20" s="438"/>
      <c r="AF20" s="438"/>
      <c r="AG20" s="438"/>
      <c r="AH20" s="438"/>
      <c r="AI20" s="438"/>
    </row>
    <row r="21" spans="4:35">
      <c r="D21" s="435" t="s">
        <v>79</v>
      </c>
      <c r="E21" s="435" t="s">
        <v>68</v>
      </c>
      <c r="F21" s="435" t="s">
        <v>274</v>
      </c>
      <c r="G21" s="435" t="s">
        <v>12</v>
      </c>
      <c r="H21" s="435" t="s">
        <v>264</v>
      </c>
      <c r="I21" s="435" t="s">
        <v>7</v>
      </c>
      <c r="J21" s="435" t="s">
        <v>299</v>
      </c>
      <c r="K21" s="437" t="s">
        <v>300</v>
      </c>
      <c r="L21" s="437" t="s">
        <v>301</v>
      </c>
      <c r="M21" s="435" t="s">
        <v>834</v>
      </c>
      <c r="N21" s="435" t="s">
        <v>828</v>
      </c>
      <c r="O21" s="435" t="s">
        <v>217</v>
      </c>
      <c r="R21" s="435" t="s">
        <v>340</v>
      </c>
      <c r="S21" s="435" t="s">
        <v>341</v>
      </c>
      <c r="AC21" s="435" t="s">
        <v>2</v>
      </c>
      <c r="AE21" s="438"/>
      <c r="AF21" s="438"/>
      <c r="AG21" s="438"/>
      <c r="AH21" s="438"/>
      <c r="AI21" s="438"/>
    </row>
    <row r="22" spans="4:35">
      <c r="D22" s="435" t="s">
        <v>79</v>
      </c>
      <c r="E22" s="435" t="s">
        <v>68</v>
      </c>
      <c r="F22" s="435" t="s">
        <v>274</v>
      </c>
      <c r="G22" s="435" t="s">
        <v>12</v>
      </c>
      <c r="H22" s="435" t="s">
        <v>264</v>
      </c>
      <c r="I22" s="435" t="s">
        <v>7</v>
      </c>
      <c r="J22" s="435" t="s">
        <v>299</v>
      </c>
      <c r="K22" s="437" t="s">
        <v>300</v>
      </c>
      <c r="L22" s="437" t="s">
        <v>301</v>
      </c>
      <c r="M22" s="435" t="s">
        <v>834</v>
      </c>
      <c r="N22" s="436" t="s">
        <v>2870</v>
      </c>
      <c r="O22" s="435" t="s">
        <v>830</v>
      </c>
      <c r="R22" s="435" t="s">
        <v>342</v>
      </c>
      <c r="S22" s="435" t="s">
        <v>339</v>
      </c>
      <c r="AC22" s="435" t="s">
        <v>2</v>
      </c>
      <c r="AE22" s="438"/>
      <c r="AF22" s="438"/>
      <c r="AG22" s="438"/>
      <c r="AH22" s="438"/>
      <c r="AI22" s="438"/>
    </row>
    <row r="23" spans="4:35">
      <c r="D23" s="435" t="s">
        <v>79</v>
      </c>
      <c r="E23" s="435" t="s">
        <v>68</v>
      </c>
      <c r="F23" s="435" t="s">
        <v>274</v>
      </c>
      <c r="G23" s="435" t="s">
        <v>12</v>
      </c>
      <c r="H23" s="435" t="s">
        <v>264</v>
      </c>
      <c r="I23" s="435" t="s">
        <v>7</v>
      </c>
      <c r="J23" s="435" t="s">
        <v>299</v>
      </c>
      <c r="K23" s="437" t="s">
        <v>300</v>
      </c>
      <c r="L23" s="437" t="s">
        <v>301</v>
      </c>
      <c r="M23" s="435" t="s">
        <v>835</v>
      </c>
      <c r="N23" s="435" t="s">
        <v>828</v>
      </c>
      <c r="O23" s="435" t="s">
        <v>217</v>
      </c>
      <c r="R23" s="435" t="s">
        <v>343</v>
      </c>
      <c r="S23" s="435" t="s">
        <v>344</v>
      </c>
      <c r="AC23" s="435" t="s">
        <v>2</v>
      </c>
      <c r="AE23" s="438"/>
      <c r="AF23" s="438"/>
      <c r="AG23" s="438"/>
      <c r="AH23" s="438"/>
      <c r="AI23" s="438"/>
    </row>
    <row r="24" spans="4:35">
      <c r="D24" s="435" t="s">
        <v>79</v>
      </c>
      <c r="E24" s="435" t="s">
        <v>68</v>
      </c>
      <c r="F24" s="435" t="s">
        <v>274</v>
      </c>
      <c r="G24" s="435" t="s">
        <v>12</v>
      </c>
      <c r="H24" s="435" t="s">
        <v>264</v>
      </c>
      <c r="I24" s="435" t="s">
        <v>7</v>
      </c>
      <c r="J24" s="435" t="s">
        <v>299</v>
      </c>
      <c r="K24" s="437" t="s">
        <v>300</v>
      </c>
      <c r="L24" s="437" t="s">
        <v>301</v>
      </c>
      <c r="M24" s="435" t="s">
        <v>835</v>
      </c>
      <c r="N24" s="435" t="s">
        <v>828</v>
      </c>
      <c r="O24" s="435" t="s">
        <v>217</v>
      </c>
      <c r="R24" s="435" t="s">
        <v>345</v>
      </c>
      <c r="S24" s="435" t="s">
        <v>346</v>
      </c>
      <c r="AC24" s="435" t="s">
        <v>2</v>
      </c>
      <c r="AE24" s="438"/>
      <c r="AF24" s="438"/>
      <c r="AG24" s="438"/>
      <c r="AH24" s="438"/>
      <c r="AI24" s="438"/>
    </row>
    <row r="25" spans="4:35">
      <c r="D25" s="435" t="s">
        <v>79</v>
      </c>
      <c r="E25" s="435" t="s">
        <v>68</v>
      </c>
      <c r="F25" s="435" t="s">
        <v>274</v>
      </c>
      <c r="G25" s="435" t="s">
        <v>12</v>
      </c>
      <c r="H25" s="435" t="s">
        <v>264</v>
      </c>
      <c r="I25" s="435" t="s">
        <v>7</v>
      </c>
      <c r="J25" s="435" t="s">
        <v>299</v>
      </c>
      <c r="K25" s="437" t="s">
        <v>300</v>
      </c>
      <c r="L25" s="437" t="s">
        <v>301</v>
      </c>
      <c r="M25" s="435" t="s">
        <v>835</v>
      </c>
      <c r="N25" s="435" t="s">
        <v>828</v>
      </c>
      <c r="O25" s="435" t="s">
        <v>217</v>
      </c>
      <c r="R25" s="435" t="s">
        <v>347</v>
      </c>
      <c r="S25" s="435" t="s">
        <v>348</v>
      </c>
      <c r="AC25" s="435" t="s">
        <v>2</v>
      </c>
      <c r="AE25" s="438"/>
      <c r="AF25" s="438"/>
      <c r="AG25" s="438"/>
      <c r="AH25" s="438"/>
      <c r="AI25" s="438"/>
    </row>
    <row r="26" spans="4:35">
      <c r="D26" s="435" t="s">
        <v>79</v>
      </c>
      <c r="E26" s="435" t="s">
        <v>68</v>
      </c>
      <c r="F26" s="435" t="s">
        <v>274</v>
      </c>
      <c r="G26" s="435" t="s">
        <v>12</v>
      </c>
      <c r="H26" s="435" t="s">
        <v>264</v>
      </c>
      <c r="I26" s="435" t="s">
        <v>7</v>
      </c>
      <c r="J26" s="435" t="s">
        <v>299</v>
      </c>
      <c r="K26" s="437" t="s">
        <v>300</v>
      </c>
      <c r="L26" s="437" t="s">
        <v>301</v>
      </c>
      <c r="M26" s="435" t="s">
        <v>835</v>
      </c>
      <c r="N26" s="436" t="s">
        <v>2870</v>
      </c>
      <c r="O26" s="435" t="s">
        <v>830</v>
      </c>
      <c r="R26" s="435" t="s">
        <v>349</v>
      </c>
      <c r="S26" s="435" t="s">
        <v>346</v>
      </c>
      <c r="AC26" s="435" t="s">
        <v>2</v>
      </c>
      <c r="AE26" s="438"/>
      <c r="AF26" s="438"/>
      <c r="AG26" s="438"/>
      <c r="AH26" s="438"/>
      <c r="AI26" s="438"/>
    </row>
    <row r="27" spans="4:35">
      <c r="D27" s="435" t="s">
        <v>79</v>
      </c>
      <c r="E27" s="435" t="s">
        <v>68</v>
      </c>
      <c r="F27" s="435" t="s">
        <v>274</v>
      </c>
      <c r="G27" s="435" t="s">
        <v>12</v>
      </c>
      <c r="H27" s="435" t="s">
        <v>264</v>
      </c>
      <c r="I27" s="435" t="s">
        <v>7</v>
      </c>
      <c r="J27" s="435" t="s">
        <v>299</v>
      </c>
      <c r="K27" s="437" t="s">
        <v>300</v>
      </c>
      <c r="L27" s="437" t="s">
        <v>301</v>
      </c>
      <c r="M27" s="435" t="s">
        <v>835</v>
      </c>
      <c r="N27" s="435" t="s">
        <v>828</v>
      </c>
      <c r="O27" s="435" t="s">
        <v>217</v>
      </c>
      <c r="R27" s="435" t="s">
        <v>350</v>
      </c>
      <c r="S27" s="435" t="s">
        <v>351</v>
      </c>
      <c r="AC27" s="435" t="s">
        <v>2</v>
      </c>
      <c r="AE27" s="438"/>
      <c r="AF27" s="438"/>
      <c r="AG27" s="438"/>
      <c r="AH27" s="438"/>
      <c r="AI27" s="438"/>
    </row>
    <row r="28" spans="4:35">
      <c r="D28" s="435" t="s">
        <v>79</v>
      </c>
      <c r="E28" s="435" t="s">
        <v>68</v>
      </c>
      <c r="F28" s="435" t="s">
        <v>274</v>
      </c>
      <c r="G28" s="435" t="s">
        <v>12</v>
      </c>
      <c r="H28" s="435" t="s">
        <v>264</v>
      </c>
      <c r="I28" s="435" t="s">
        <v>7</v>
      </c>
      <c r="J28" s="435" t="s">
        <v>299</v>
      </c>
      <c r="K28" s="437" t="s">
        <v>300</v>
      </c>
      <c r="L28" s="437" t="s">
        <v>302</v>
      </c>
      <c r="M28" s="435" t="s">
        <v>836</v>
      </c>
      <c r="N28" s="435" t="s">
        <v>829</v>
      </c>
      <c r="O28" s="435" t="s">
        <v>214</v>
      </c>
      <c r="R28" s="435" t="s">
        <v>352</v>
      </c>
      <c r="S28" s="435" t="s">
        <v>353</v>
      </c>
      <c r="AC28" s="435" t="s">
        <v>2</v>
      </c>
      <c r="AE28" s="438"/>
      <c r="AF28" s="438"/>
      <c r="AG28" s="438"/>
      <c r="AH28" s="438"/>
      <c r="AI28" s="438"/>
    </row>
    <row r="29" spans="4:35">
      <c r="D29" s="435" t="s">
        <v>79</v>
      </c>
      <c r="E29" s="435" t="s">
        <v>68</v>
      </c>
      <c r="F29" s="435" t="s">
        <v>274</v>
      </c>
      <c r="G29" s="435" t="s">
        <v>12</v>
      </c>
      <c r="H29" s="435" t="s">
        <v>264</v>
      </c>
      <c r="I29" s="435" t="s">
        <v>7</v>
      </c>
      <c r="J29" s="435" t="s">
        <v>299</v>
      </c>
      <c r="K29" s="437" t="s">
        <v>300</v>
      </c>
      <c r="L29" s="437" t="s">
        <v>302</v>
      </c>
      <c r="M29" s="435" t="s">
        <v>836</v>
      </c>
      <c r="N29" s="435" t="s">
        <v>828</v>
      </c>
      <c r="O29" s="435" t="s">
        <v>217</v>
      </c>
      <c r="R29" s="435" t="s">
        <v>354</v>
      </c>
      <c r="S29" s="435" t="s">
        <v>355</v>
      </c>
      <c r="AC29" s="435" t="s">
        <v>2</v>
      </c>
      <c r="AE29" s="438"/>
      <c r="AF29" s="438"/>
      <c r="AG29" s="438"/>
      <c r="AH29" s="438"/>
      <c r="AI29" s="438"/>
    </row>
    <row r="30" spans="4:35">
      <c r="D30" s="435" t="s">
        <v>79</v>
      </c>
      <c r="E30" s="435" t="s">
        <v>68</v>
      </c>
      <c r="F30" s="435" t="s">
        <v>274</v>
      </c>
      <c r="G30" s="435" t="s">
        <v>12</v>
      </c>
      <c r="H30" s="435" t="s">
        <v>264</v>
      </c>
      <c r="I30" s="435" t="s">
        <v>7</v>
      </c>
      <c r="J30" s="435" t="s">
        <v>299</v>
      </c>
      <c r="K30" s="437" t="s">
        <v>300</v>
      </c>
      <c r="L30" s="437" t="s">
        <v>302</v>
      </c>
      <c r="M30" s="435" t="s">
        <v>836</v>
      </c>
      <c r="N30" s="435" t="s">
        <v>828</v>
      </c>
      <c r="O30" s="435" t="s">
        <v>217</v>
      </c>
      <c r="R30" s="435" t="s">
        <v>356</v>
      </c>
      <c r="S30" s="435" t="s">
        <v>357</v>
      </c>
      <c r="AC30" s="435" t="s">
        <v>2</v>
      </c>
      <c r="AE30" s="438"/>
      <c r="AF30" s="438"/>
      <c r="AG30" s="438"/>
      <c r="AH30" s="438"/>
      <c r="AI30" s="438"/>
    </row>
    <row r="31" spans="4:35">
      <c r="D31" s="435" t="s">
        <v>79</v>
      </c>
      <c r="E31" s="435" t="s">
        <v>68</v>
      </c>
      <c r="F31" s="435" t="s">
        <v>274</v>
      </c>
      <c r="G31" s="435" t="s">
        <v>12</v>
      </c>
      <c r="H31" s="435" t="s">
        <v>264</v>
      </c>
      <c r="I31" s="435" t="s">
        <v>7</v>
      </c>
      <c r="J31" s="435" t="s">
        <v>299</v>
      </c>
      <c r="K31" s="437" t="s">
        <v>300</v>
      </c>
      <c r="L31" s="437" t="s">
        <v>302</v>
      </c>
      <c r="M31" s="435" t="s">
        <v>836</v>
      </c>
      <c r="N31" s="435" t="s">
        <v>828</v>
      </c>
      <c r="O31" s="435" t="s">
        <v>217</v>
      </c>
      <c r="R31" s="435" t="s">
        <v>358</v>
      </c>
      <c r="S31" s="435" t="s">
        <v>359</v>
      </c>
      <c r="AC31" s="435" t="s">
        <v>2</v>
      </c>
      <c r="AE31" s="438"/>
      <c r="AF31" s="438"/>
      <c r="AG31" s="438"/>
      <c r="AH31" s="438"/>
      <c r="AI31" s="438"/>
    </row>
    <row r="32" spans="4:35">
      <c r="D32" s="435" t="s">
        <v>79</v>
      </c>
      <c r="E32" s="435" t="s">
        <v>68</v>
      </c>
      <c r="F32" s="435" t="s">
        <v>274</v>
      </c>
      <c r="G32" s="435" t="s">
        <v>12</v>
      </c>
      <c r="H32" s="435" t="s">
        <v>264</v>
      </c>
      <c r="I32" s="435" t="s">
        <v>7</v>
      </c>
      <c r="J32" s="435" t="s">
        <v>299</v>
      </c>
      <c r="K32" s="437" t="s">
        <v>300</v>
      </c>
      <c r="L32" s="437" t="s">
        <v>302</v>
      </c>
      <c r="M32" s="435" t="s">
        <v>836</v>
      </c>
      <c r="N32" s="435" t="s">
        <v>828</v>
      </c>
      <c r="O32" s="435" t="s">
        <v>217</v>
      </c>
      <c r="R32" s="435" t="s">
        <v>360</v>
      </c>
      <c r="S32" s="435" t="s">
        <v>361</v>
      </c>
      <c r="AC32" s="435" t="s">
        <v>2</v>
      </c>
      <c r="AE32" s="438"/>
      <c r="AF32" s="438"/>
      <c r="AG32" s="438"/>
      <c r="AH32" s="438"/>
      <c r="AI32" s="438"/>
    </row>
    <row r="33" spans="4:35">
      <c r="D33" s="435" t="s">
        <v>79</v>
      </c>
      <c r="E33" s="435" t="s">
        <v>68</v>
      </c>
      <c r="F33" s="435" t="s">
        <v>274</v>
      </c>
      <c r="G33" s="435" t="s">
        <v>12</v>
      </c>
      <c r="H33" s="435" t="s">
        <v>264</v>
      </c>
      <c r="I33" s="435" t="s">
        <v>7</v>
      </c>
      <c r="J33" s="435" t="s">
        <v>299</v>
      </c>
      <c r="K33" s="437" t="s">
        <v>300</v>
      </c>
      <c r="L33" s="437" t="s">
        <v>302</v>
      </c>
      <c r="M33" s="435" t="s">
        <v>836</v>
      </c>
      <c r="N33" s="435" t="s">
        <v>828</v>
      </c>
      <c r="O33" s="435" t="s">
        <v>217</v>
      </c>
      <c r="R33" s="435" t="s">
        <v>362</v>
      </c>
      <c r="S33" s="435" t="s">
        <v>353</v>
      </c>
      <c r="AC33" s="435" t="s">
        <v>2</v>
      </c>
      <c r="AE33" s="438"/>
      <c r="AF33" s="438"/>
      <c r="AG33" s="438"/>
      <c r="AH33" s="438"/>
      <c r="AI33" s="438"/>
    </row>
    <row r="34" spans="4:35">
      <c r="D34" s="435" t="s">
        <v>79</v>
      </c>
      <c r="E34" s="435" t="s">
        <v>68</v>
      </c>
      <c r="F34" s="435" t="s">
        <v>274</v>
      </c>
      <c r="G34" s="435" t="s">
        <v>12</v>
      </c>
      <c r="H34" s="435" t="s">
        <v>264</v>
      </c>
      <c r="I34" s="435" t="s">
        <v>7</v>
      </c>
      <c r="J34" s="435" t="s">
        <v>299</v>
      </c>
      <c r="K34" s="437" t="s">
        <v>303</v>
      </c>
      <c r="L34" s="437" t="s">
        <v>304</v>
      </c>
      <c r="M34" s="435" t="s">
        <v>837</v>
      </c>
      <c r="N34" s="436" t="s">
        <v>2870</v>
      </c>
      <c r="O34" s="435" t="s">
        <v>830</v>
      </c>
      <c r="R34" s="435" t="s">
        <v>363</v>
      </c>
      <c r="S34" s="435" t="s">
        <v>351</v>
      </c>
      <c r="AC34" s="435" t="s">
        <v>2</v>
      </c>
      <c r="AE34" s="438"/>
      <c r="AF34" s="438"/>
      <c r="AG34" s="438"/>
      <c r="AH34" s="438"/>
      <c r="AI34" s="438"/>
    </row>
    <row r="35" spans="4:35">
      <c r="D35" s="435" t="s">
        <v>79</v>
      </c>
      <c r="E35" s="435" t="s">
        <v>68</v>
      </c>
      <c r="F35" s="435" t="s">
        <v>274</v>
      </c>
      <c r="G35" s="435" t="s">
        <v>12</v>
      </c>
      <c r="H35" s="435" t="s">
        <v>264</v>
      </c>
      <c r="I35" s="435" t="s">
        <v>7</v>
      </c>
      <c r="J35" s="435" t="s">
        <v>299</v>
      </c>
      <c r="K35" s="437" t="s">
        <v>303</v>
      </c>
      <c r="L35" s="437" t="s">
        <v>304</v>
      </c>
      <c r="M35" s="435" t="s">
        <v>837</v>
      </c>
      <c r="N35" s="436" t="s">
        <v>2870</v>
      </c>
      <c r="O35" s="435" t="s">
        <v>830</v>
      </c>
      <c r="R35" s="435" t="s">
        <v>364</v>
      </c>
      <c r="S35" s="435" t="s">
        <v>365</v>
      </c>
      <c r="AC35" s="435" t="s">
        <v>2</v>
      </c>
      <c r="AE35" s="438"/>
      <c r="AF35" s="438"/>
      <c r="AG35" s="438"/>
      <c r="AH35" s="438"/>
      <c r="AI35" s="438"/>
    </row>
    <row r="36" spans="4:35">
      <c r="D36" s="435" t="s">
        <v>79</v>
      </c>
      <c r="E36" s="435" t="s">
        <v>68</v>
      </c>
      <c r="F36" s="435" t="s">
        <v>274</v>
      </c>
      <c r="G36" s="435" t="s">
        <v>12</v>
      </c>
      <c r="H36" s="435" t="s">
        <v>264</v>
      </c>
      <c r="I36" s="435" t="s">
        <v>7</v>
      </c>
      <c r="J36" s="435" t="s">
        <v>299</v>
      </c>
      <c r="K36" s="437" t="s">
        <v>303</v>
      </c>
      <c r="L36" s="437" t="s">
        <v>304</v>
      </c>
      <c r="M36" s="435" t="s">
        <v>837</v>
      </c>
      <c r="N36" s="436" t="s">
        <v>2870</v>
      </c>
      <c r="O36" s="435" t="s">
        <v>830</v>
      </c>
      <c r="R36" s="435" t="s">
        <v>366</v>
      </c>
      <c r="S36" s="435" t="s">
        <v>367</v>
      </c>
      <c r="AC36" s="435" t="s">
        <v>2</v>
      </c>
      <c r="AE36" s="438"/>
      <c r="AF36" s="438"/>
      <c r="AG36" s="438"/>
      <c r="AH36" s="438"/>
      <c r="AI36" s="438"/>
    </row>
    <row r="37" spans="4:35">
      <c r="D37" s="435" t="s">
        <v>79</v>
      </c>
      <c r="E37" s="435" t="s">
        <v>68</v>
      </c>
      <c r="F37" s="435" t="s">
        <v>274</v>
      </c>
      <c r="G37" s="435" t="s">
        <v>12</v>
      </c>
      <c r="H37" s="435" t="s">
        <v>264</v>
      </c>
      <c r="I37" s="435" t="s">
        <v>7</v>
      </c>
      <c r="J37" s="435" t="s">
        <v>299</v>
      </c>
      <c r="K37" s="437" t="s">
        <v>303</v>
      </c>
      <c r="L37" s="437" t="s">
        <v>304</v>
      </c>
      <c r="M37" s="435" t="s">
        <v>837</v>
      </c>
      <c r="N37" s="436" t="s">
        <v>2870</v>
      </c>
      <c r="O37" s="435" t="s">
        <v>830</v>
      </c>
      <c r="R37" s="435" t="s">
        <v>368</v>
      </c>
      <c r="S37" s="435" t="s">
        <v>365</v>
      </c>
      <c r="AC37" s="435" t="s">
        <v>2</v>
      </c>
      <c r="AE37" s="438"/>
      <c r="AF37" s="438"/>
      <c r="AG37" s="438"/>
      <c r="AH37" s="438"/>
      <c r="AI37" s="438"/>
    </row>
    <row r="38" spans="4:35">
      <c r="D38" s="435" t="s">
        <v>79</v>
      </c>
      <c r="E38" s="435" t="s">
        <v>68</v>
      </c>
      <c r="F38" s="435" t="s">
        <v>274</v>
      </c>
      <c r="G38" s="435" t="s">
        <v>12</v>
      </c>
      <c r="H38" s="435" t="s">
        <v>264</v>
      </c>
      <c r="I38" s="435" t="s">
        <v>7</v>
      </c>
      <c r="J38" s="435" t="s">
        <v>299</v>
      </c>
      <c r="K38" s="437" t="s">
        <v>303</v>
      </c>
      <c r="L38" s="437" t="s">
        <v>304</v>
      </c>
      <c r="M38" s="435" t="s">
        <v>837</v>
      </c>
      <c r="N38" s="436" t="s">
        <v>2870</v>
      </c>
      <c r="O38" s="435" t="s">
        <v>830</v>
      </c>
      <c r="R38" s="435" t="s">
        <v>369</v>
      </c>
      <c r="S38" s="435" t="s">
        <v>351</v>
      </c>
      <c r="AC38" s="435" t="s">
        <v>2</v>
      </c>
      <c r="AE38" s="438"/>
      <c r="AF38" s="438"/>
      <c r="AG38" s="438"/>
      <c r="AH38" s="438"/>
      <c r="AI38" s="438"/>
    </row>
    <row r="39" spans="4:35">
      <c r="D39" s="435" t="s">
        <v>79</v>
      </c>
      <c r="E39" s="435" t="s">
        <v>68</v>
      </c>
      <c r="F39" s="435" t="s">
        <v>274</v>
      </c>
      <c r="G39" s="435" t="s">
        <v>12</v>
      </c>
      <c r="H39" s="435" t="s">
        <v>264</v>
      </c>
      <c r="I39" s="435" t="s">
        <v>7</v>
      </c>
      <c r="J39" s="435" t="s">
        <v>299</v>
      </c>
      <c r="K39" s="437" t="s">
        <v>303</v>
      </c>
      <c r="L39" s="437" t="s">
        <v>304</v>
      </c>
      <c r="M39" s="435" t="s">
        <v>837</v>
      </c>
      <c r="N39" s="436" t="s">
        <v>2870</v>
      </c>
      <c r="O39" s="435" t="s">
        <v>830</v>
      </c>
      <c r="R39" s="435" t="s">
        <v>370</v>
      </c>
      <c r="S39" s="435" t="s">
        <v>371</v>
      </c>
      <c r="AC39" s="435" t="s">
        <v>2</v>
      </c>
      <c r="AE39" s="438"/>
      <c r="AF39" s="438"/>
      <c r="AG39" s="438"/>
      <c r="AH39" s="438"/>
      <c r="AI39" s="438"/>
    </row>
    <row r="40" spans="4:35">
      <c r="D40" s="435" t="s">
        <v>79</v>
      </c>
      <c r="E40" s="435" t="s">
        <v>68</v>
      </c>
      <c r="F40" s="435" t="s">
        <v>274</v>
      </c>
      <c r="G40" s="435" t="s">
        <v>12</v>
      </c>
      <c r="H40" s="435" t="s">
        <v>264</v>
      </c>
      <c r="I40" s="435" t="s">
        <v>7</v>
      </c>
      <c r="J40" s="435" t="s">
        <v>299</v>
      </c>
      <c r="K40" s="437" t="s">
        <v>303</v>
      </c>
      <c r="L40" s="437" t="s">
        <v>304</v>
      </c>
      <c r="M40" s="435" t="s">
        <v>837</v>
      </c>
      <c r="N40" s="436" t="s">
        <v>2870</v>
      </c>
      <c r="O40" s="435" t="s">
        <v>830</v>
      </c>
      <c r="R40" s="435" t="s">
        <v>372</v>
      </c>
      <c r="S40" s="435" t="s">
        <v>373</v>
      </c>
      <c r="AC40" s="435" t="s">
        <v>2</v>
      </c>
      <c r="AE40" s="438"/>
      <c r="AF40" s="438"/>
      <c r="AG40" s="438"/>
      <c r="AH40" s="438"/>
      <c r="AI40" s="438"/>
    </row>
    <row r="41" spans="4:35">
      <c r="D41" s="435" t="s">
        <v>79</v>
      </c>
      <c r="E41" s="435" t="s">
        <v>68</v>
      </c>
      <c r="F41" s="435" t="s">
        <v>274</v>
      </c>
      <c r="G41" s="435" t="s">
        <v>12</v>
      </c>
      <c r="H41" s="435" t="s">
        <v>264</v>
      </c>
      <c r="I41" s="435" t="s">
        <v>7</v>
      </c>
      <c r="J41" s="435" t="s">
        <v>299</v>
      </c>
      <c r="K41" s="437" t="s">
        <v>303</v>
      </c>
      <c r="L41" s="437" t="s">
        <v>304</v>
      </c>
      <c r="M41" s="435" t="s">
        <v>838</v>
      </c>
      <c r="N41" s="436" t="s">
        <v>2870</v>
      </c>
      <c r="O41" s="435" t="s">
        <v>830</v>
      </c>
      <c r="R41" s="435" t="s">
        <v>374</v>
      </c>
      <c r="S41" s="435" t="s">
        <v>351</v>
      </c>
      <c r="AC41" s="435" t="s">
        <v>2</v>
      </c>
      <c r="AE41" s="438"/>
      <c r="AF41" s="438"/>
      <c r="AG41" s="438"/>
      <c r="AH41" s="438"/>
      <c r="AI41" s="438"/>
    </row>
    <row r="42" spans="4:35">
      <c r="D42" s="435" t="s">
        <v>79</v>
      </c>
      <c r="E42" s="435" t="s">
        <v>68</v>
      </c>
      <c r="F42" s="435" t="s">
        <v>274</v>
      </c>
      <c r="G42" s="435" t="s">
        <v>12</v>
      </c>
      <c r="H42" s="435" t="s">
        <v>264</v>
      </c>
      <c r="I42" s="435" t="s">
        <v>7</v>
      </c>
      <c r="J42" s="435" t="s">
        <v>299</v>
      </c>
      <c r="K42" s="437" t="s">
        <v>303</v>
      </c>
      <c r="L42" s="437" t="s">
        <v>304</v>
      </c>
      <c r="M42" s="435" t="s">
        <v>838</v>
      </c>
      <c r="N42" s="436" t="s">
        <v>2870</v>
      </c>
      <c r="O42" s="435" t="s">
        <v>830</v>
      </c>
      <c r="R42" s="435" t="s">
        <v>375</v>
      </c>
      <c r="S42" s="435" t="s">
        <v>365</v>
      </c>
      <c r="AC42" s="435" t="s">
        <v>2</v>
      </c>
      <c r="AE42" s="438"/>
      <c r="AF42" s="438"/>
      <c r="AG42" s="438"/>
      <c r="AH42" s="438"/>
      <c r="AI42" s="438"/>
    </row>
    <row r="43" spans="4:35">
      <c r="D43" s="435" t="s">
        <v>79</v>
      </c>
      <c r="E43" s="435" t="s">
        <v>68</v>
      </c>
      <c r="F43" s="435" t="s">
        <v>274</v>
      </c>
      <c r="G43" s="435" t="s">
        <v>12</v>
      </c>
      <c r="H43" s="435" t="s">
        <v>264</v>
      </c>
      <c r="I43" s="435" t="s">
        <v>7</v>
      </c>
      <c r="J43" s="435" t="s">
        <v>299</v>
      </c>
      <c r="K43" s="437" t="s">
        <v>303</v>
      </c>
      <c r="L43" s="437" t="s">
        <v>304</v>
      </c>
      <c r="M43" s="435" t="s">
        <v>838</v>
      </c>
      <c r="N43" s="435" t="s">
        <v>828</v>
      </c>
      <c r="O43" s="435" t="s">
        <v>217</v>
      </c>
      <c r="R43" s="435" t="s">
        <v>376</v>
      </c>
      <c r="S43" s="435" t="s">
        <v>367</v>
      </c>
      <c r="AC43" s="435" t="s">
        <v>2</v>
      </c>
      <c r="AE43" s="438"/>
      <c r="AF43" s="438"/>
      <c r="AG43" s="438"/>
      <c r="AH43" s="438"/>
      <c r="AI43" s="438"/>
    </row>
    <row r="44" spans="4:35">
      <c r="D44" s="435" t="s">
        <v>79</v>
      </c>
      <c r="E44" s="435" t="s">
        <v>68</v>
      </c>
      <c r="F44" s="435" t="s">
        <v>274</v>
      </c>
      <c r="G44" s="435" t="s">
        <v>12</v>
      </c>
      <c r="H44" s="435" t="s">
        <v>264</v>
      </c>
      <c r="I44" s="435" t="s">
        <v>7</v>
      </c>
      <c r="J44" s="435" t="s">
        <v>299</v>
      </c>
      <c r="K44" s="437" t="s">
        <v>303</v>
      </c>
      <c r="L44" s="437" t="s">
        <v>304</v>
      </c>
      <c r="M44" s="435" t="s">
        <v>838</v>
      </c>
      <c r="N44" s="435" t="s">
        <v>828</v>
      </c>
      <c r="O44" s="435" t="s">
        <v>217</v>
      </c>
      <c r="R44" s="435" t="s">
        <v>377</v>
      </c>
      <c r="S44" s="435" t="s">
        <v>378</v>
      </c>
      <c r="AC44" s="435" t="s">
        <v>2</v>
      </c>
      <c r="AE44" s="438"/>
      <c r="AF44" s="438"/>
      <c r="AG44" s="438"/>
      <c r="AH44" s="438"/>
      <c r="AI44" s="438"/>
    </row>
    <row r="45" spans="4:35">
      <c r="D45" s="435" t="s">
        <v>79</v>
      </c>
      <c r="E45" s="435" t="s">
        <v>68</v>
      </c>
      <c r="F45" s="435" t="s">
        <v>274</v>
      </c>
      <c r="G45" s="435" t="s">
        <v>12</v>
      </c>
      <c r="H45" s="435" t="s">
        <v>264</v>
      </c>
      <c r="I45" s="435" t="s">
        <v>7</v>
      </c>
      <c r="J45" s="435" t="s">
        <v>299</v>
      </c>
      <c r="K45" s="437" t="s">
        <v>303</v>
      </c>
      <c r="L45" s="437" t="s">
        <v>304</v>
      </c>
      <c r="M45" s="435" t="s">
        <v>838</v>
      </c>
      <c r="N45" s="435" t="s">
        <v>828</v>
      </c>
      <c r="O45" s="435" t="s">
        <v>217</v>
      </c>
      <c r="R45" s="435" t="s">
        <v>379</v>
      </c>
      <c r="S45" s="435" t="s">
        <v>380</v>
      </c>
      <c r="AC45" s="435" t="s">
        <v>2</v>
      </c>
      <c r="AE45" s="438"/>
      <c r="AF45" s="438"/>
      <c r="AG45" s="438"/>
      <c r="AH45" s="438"/>
      <c r="AI45" s="438"/>
    </row>
    <row r="46" spans="4:35">
      <c r="D46" s="435" t="s">
        <v>79</v>
      </c>
      <c r="E46" s="435" t="s">
        <v>68</v>
      </c>
      <c r="F46" s="435" t="s">
        <v>274</v>
      </c>
      <c r="G46" s="435" t="s">
        <v>12</v>
      </c>
      <c r="H46" s="435" t="s">
        <v>264</v>
      </c>
      <c r="I46" s="435" t="s">
        <v>7</v>
      </c>
      <c r="J46" s="435" t="s">
        <v>299</v>
      </c>
      <c r="K46" s="437" t="s">
        <v>303</v>
      </c>
      <c r="L46" s="437" t="s">
        <v>304</v>
      </c>
      <c r="M46" s="435" t="s">
        <v>838</v>
      </c>
      <c r="N46" s="435" t="s">
        <v>828</v>
      </c>
      <c r="O46" s="435" t="s">
        <v>217</v>
      </c>
      <c r="R46" s="435" t="s">
        <v>381</v>
      </c>
      <c r="S46" s="435" t="s">
        <v>382</v>
      </c>
      <c r="AC46" s="435" t="s">
        <v>2</v>
      </c>
      <c r="AE46" s="438"/>
      <c r="AF46" s="438"/>
      <c r="AG46" s="438"/>
      <c r="AH46" s="438"/>
      <c r="AI46" s="438"/>
    </row>
    <row r="47" spans="4:35">
      <c r="D47" s="435" t="s">
        <v>79</v>
      </c>
      <c r="E47" s="435" t="s">
        <v>68</v>
      </c>
      <c r="F47" s="435" t="s">
        <v>274</v>
      </c>
      <c r="G47" s="435" t="s">
        <v>12</v>
      </c>
      <c r="H47" s="435" t="s">
        <v>264</v>
      </c>
      <c r="I47" s="435" t="s">
        <v>7</v>
      </c>
      <c r="J47" s="435" t="s">
        <v>299</v>
      </c>
      <c r="K47" s="437" t="s">
        <v>303</v>
      </c>
      <c r="L47" s="437" t="s">
        <v>304</v>
      </c>
      <c r="M47" s="435" t="s">
        <v>838</v>
      </c>
      <c r="N47" s="435" t="s">
        <v>828</v>
      </c>
      <c r="O47" s="435" t="s">
        <v>217</v>
      </c>
      <c r="R47" s="435" t="s">
        <v>383</v>
      </c>
      <c r="S47" s="435" t="s">
        <v>384</v>
      </c>
      <c r="AC47" s="435" t="s">
        <v>2</v>
      </c>
      <c r="AE47" s="438"/>
      <c r="AF47" s="438"/>
      <c r="AG47" s="438"/>
      <c r="AH47" s="438"/>
      <c r="AI47" s="438"/>
    </row>
    <row r="48" spans="4:35">
      <c r="D48" s="435" t="s">
        <v>79</v>
      </c>
      <c r="E48" s="435" t="s">
        <v>68</v>
      </c>
      <c r="F48" s="435" t="s">
        <v>274</v>
      </c>
      <c r="G48" s="435" t="s">
        <v>12</v>
      </c>
      <c r="H48" s="435" t="s">
        <v>264</v>
      </c>
      <c r="I48" s="435" t="s">
        <v>7</v>
      </c>
      <c r="J48" s="435" t="s">
        <v>299</v>
      </c>
      <c r="K48" s="437" t="s">
        <v>303</v>
      </c>
      <c r="L48" s="437" t="s">
        <v>304</v>
      </c>
      <c r="M48" s="435" t="s">
        <v>838</v>
      </c>
      <c r="N48" s="435" t="s">
        <v>828</v>
      </c>
      <c r="O48" s="435" t="s">
        <v>217</v>
      </c>
      <c r="R48" s="435" t="s">
        <v>385</v>
      </c>
      <c r="S48" s="435" t="s">
        <v>386</v>
      </c>
      <c r="AC48" s="435" t="s">
        <v>2</v>
      </c>
      <c r="AE48" s="438"/>
      <c r="AF48" s="438"/>
      <c r="AG48" s="438"/>
      <c r="AH48" s="438"/>
      <c r="AI48" s="438"/>
    </row>
    <row r="49" spans="4:35">
      <c r="D49" s="435" t="s">
        <v>79</v>
      </c>
      <c r="E49" s="435" t="s">
        <v>68</v>
      </c>
      <c r="F49" s="435" t="s">
        <v>274</v>
      </c>
      <c r="G49" s="435" t="s">
        <v>12</v>
      </c>
      <c r="H49" s="435" t="s">
        <v>264</v>
      </c>
      <c r="I49" s="435" t="s">
        <v>7</v>
      </c>
      <c r="J49" s="435" t="s">
        <v>299</v>
      </c>
      <c r="K49" s="437" t="s">
        <v>303</v>
      </c>
      <c r="L49" s="437" t="s">
        <v>304</v>
      </c>
      <c r="M49" s="435" t="s">
        <v>838</v>
      </c>
      <c r="N49" s="436" t="s">
        <v>2870</v>
      </c>
      <c r="O49" s="435" t="s">
        <v>830</v>
      </c>
      <c r="R49" s="435" t="s">
        <v>387</v>
      </c>
      <c r="S49" s="435" t="s">
        <v>365</v>
      </c>
      <c r="AC49" s="435" t="s">
        <v>2</v>
      </c>
      <c r="AE49" s="438"/>
      <c r="AF49" s="438"/>
      <c r="AG49" s="438"/>
      <c r="AH49" s="438"/>
      <c r="AI49" s="438"/>
    </row>
    <row r="50" spans="4:35">
      <c r="D50" s="435" t="s">
        <v>79</v>
      </c>
      <c r="E50" s="435" t="s">
        <v>68</v>
      </c>
      <c r="F50" s="435" t="s">
        <v>274</v>
      </c>
      <c r="G50" s="435" t="s">
        <v>12</v>
      </c>
      <c r="H50" s="435" t="s">
        <v>264</v>
      </c>
      <c r="I50" s="435" t="s">
        <v>7</v>
      </c>
      <c r="J50" s="435" t="s">
        <v>299</v>
      </c>
      <c r="K50" s="437" t="s">
        <v>303</v>
      </c>
      <c r="L50" s="437" t="s">
        <v>304</v>
      </c>
      <c r="M50" s="435" t="s">
        <v>838</v>
      </c>
      <c r="N50" s="436" t="s">
        <v>2870</v>
      </c>
      <c r="O50" s="435" t="s">
        <v>830</v>
      </c>
      <c r="R50" s="435" t="s">
        <v>388</v>
      </c>
      <c r="S50" s="435" t="s">
        <v>351</v>
      </c>
      <c r="AC50" s="435" t="s">
        <v>2</v>
      </c>
      <c r="AE50" s="438"/>
      <c r="AF50" s="438"/>
      <c r="AG50" s="438"/>
      <c r="AH50" s="438"/>
      <c r="AI50" s="438"/>
    </row>
    <row r="51" spans="4:35">
      <c r="D51" s="435" t="s">
        <v>79</v>
      </c>
      <c r="E51" s="435" t="s">
        <v>68</v>
      </c>
      <c r="F51" s="435" t="s">
        <v>274</v>
      </c>
      <c r="G51" s="435" t="s">
        <v>12</v>
      </c>
      <c r="H51" s="435" t="s">
        <v>264</v>
      </c>
      <c r="I51" s="435" t="s">
        <v>7</v>
      </c>
      <c r="J51" s="435" t="s">
        <v>299</v>
      </c>
      <c r="K51" s="437" t="s">
        <v>303</v>
      </c>
      <c r="L51" s="437" t="s">
        <v>304</v>
      </c>
      <c r="M51" s="435" t="s">
        <v>838</v>
      </c>
      <c r="N51" s="435" t="s">
        <v>828</v>
      </c>
      <c r="O51" s="435" t="s">
        <v>217</v>
      </c>
      <c r="R51" s="435" t="s">
        <v>389</v>
      </c>
      <c r="S51" s="435" t="s">
        <v>390</v>
      </c>
      <c r="AC51" s="435" t="s">
        <v>2</v>
      </c>
      <c r="AE51" s="438"/>
      <c r="AF51" s="438"/>
      <c r="AG51" s="438"/>
      <c r="AH51" s="438"/>
      <c r="AI51" s="438"/>
    </row>
    <row r="52" spans="4:35">
      <c r="D52" s="435" t="s">
        <v>79</v>
      </c>
      <c r="E52" s="435" t="s">
        <v>68</v>
      </c>
      <c r="F52" s="435" t="s">
        <v>274</v>
      </c>
      <c r="G52" s="435" t="s">
        <v>12</v>
      </c>
      <c r="H52" s="435" t="s">
        <v>264</v>
      </c>
      <c r="I52" s="435" t="s">
        <v>7</v>
      </c>
      <c r="J52" s="435" t="s">
        <v>299</v>
      </c>
      <c r="K52" s="437" t="s">
        <v>303</v>
      </c>
      <c r="L52" s="437" t="s">
        <v>304</v>
      </c>
      <c r="M52" s="435" t="s">
        <v>838</v>
      </c>
      <c r="N52" s="435" t="s">
        <v>828</v>
      </c>
      <c r="O52" s="435" t="s">
        <v>217</v>
      </c>
      <c r="R52" s="435" t="s">
        <v>391</v>
      </c>
      <c r="S52" s="435" t="s">
        <v>392</v>
      </c>
      <c r="AC52" s="435" t="s">
        <v>2</v>
      </c>
      <c r="AE52" s="438"/>
      <c r="AF52" s="438"/>
      <c r="AG52" s="438"/>
      <c r="AH52" s="438"/>
      <c r="AI52" s="438"/>
    </row>
    <row r="53" spans="4:35">
      <c r="D53" s="435" t="s">
        <v>79</v>
      </c>
      <c r="E53" s="435" t="s">
        <v>68</v>
      </c>
      <c r="F53" s="435" t="s">
        <v>274</v>
      </c>
      <c r="G53" s="435" t="s">
        <v>12</v>
      </c>
      <c r="H53" s="435" t="s">
        <v>264</v>
      </c>
      <c r="I53" s="435" t="s">
        <v>7</v>
      </c>
      <c r="J53" s="435" t="s">
        <v>299</v>
      </c>
      <c r="K53" s="437" t="s">
        <v>303</v>
      </c>
      <c r="L53" s="437" t="s">
        <v>304</v>
      </c>
      <c r="M53" s="435" t="s">
        <v>838</v>
      </c>
      <c r="N53" s="436" t="s">
        <v>2870</v>
      </c>
      <c r="O53" s="435" t="s">
        <v>830</v>
      </c>
      <c r="R53" s="435" t="s">
        <v>393</v>
      </c>
      <c r="S53" s="435" t="s">
        <v>394</v>
      </c>
      <c r="AC53" s="435" t="s">
        <v>2</v>
      </c>
      <c r="AE53" s="438"/>
      <c r="AF53" s="438"/>
      <c r="AG53" s="438"/>
      <c r="AH53" s="438"/>
      <c r="AI53" s="438"/>
    </row>
    <row r="54" spans="4:35">
      <c r="D54" s="435" t="s">
        <v>79</v>
      </c>
      <c r="E54" s="435" t="s">
        <v>68</v>
      </c>
      <c r="F54" s="435" t="s">
        <v>274</v>
      </c>
      <c r="G54" s="435" t="s">
        <v>12</v>
      </c>
      <c r="H54" s="435" t="s">
        <v>264</v>
      </c>
      <c r="I54" s="435" t="s">
        <v>7</v>
      </c>
      <c r="J54" s="435" t="s">
        <v>299</v>
      </c>
      <c r="K54" s="437" t="s">
        <v>303</v>
      </c>
      <c r="L54" s="437" t="s">
        <v>304</v>
      </c>
      <c r="M54" s="435" t="s">
        <v>838</v>
      </c>
      <c r="N54" s="436" t="s">
        <v>2870</v>
      </c>
      <c r="O54" s="435" t="s">
        <v>830</v>
      </c>
      <c r="R54" s="435" t="s">
        <v>395</v>
      </c>
      <c r="S54" s="435" t="s">
        <v>396</v>
      </c>
      <c r="AC54" s="435" t="s">
        <v>2</v>
      </c>
      <c r="AE54" s="438"/>
      <c r="AF54" s="438"/>
      <c r="AG54" s="438"/>
      <c r="AH54" s="438"/>
      <c r="AI54" s="438"/>
    </row>
    <row r="55" spans="4:35">
      <c r="D55" s="435" t="s">
        <v>79</v>
      </c>
      <c r="E55" s="435" t="s">
        <v>68</v>
      </c>
      <c r="F55" s="435" t="s">
        <v>274</v>
      </c>
      <c r="G55" s="435" t="s">
        <v>12</v>
      </c>
      <c r="H55" s="435" t="s">
        <v>264</v>
      </c>
      <c r="I55" s="435" t="s">
        <v>7</v>
      </c>
      <c r="J55" s="435" t="s">
        <v>299</v>
      </c>
      <c r="K55" s="437" t="s">
        <v>303</v>
      </c>
      <c r="L55" s="437" t="s">
        <v>305</v>
      </c>
      <c r="M55" s="435" t="s">
        <v>839</v>
      </c>
      <c r="N55" s="436" t="s">
        <v>2870</v>
      </c>
      <c r="O55" s="435" t="s">
        <v>830</v>
      </c>
      <c r="R55" s="435" t="s">
        <v>397</v>
      </c>
      <c r="S55" s="435" t="s">
        <v>351</v>
      </c>
      <c r="AC55" s="435" t="s">
        <v>2</v>
      </c>
      <c r="AE55" s="438"/>
      <c r="AF55" s="438"/>
      <c r="AG55" s="438"/>
      <c r="AH55" s="438"/>
      <c r="AI55" s="438"/>
    </row>
    <row r="56" spans="4:35">
      <c r="D56" s="435" t="s">
        <v>79</v>
      </c>
      <c r="E56" s="435" t="s">
        <v>68</v>
      </c>
      <c r="F56" s="435" t="s">
        <v>274</v>
      </c>
      <c r="G56" s="435" t="s">
        <v>12</v>
      </c>
      <c r="H56" s="435" t="s">
        <v>264</v>
      </c>
      <c r="I56" s="435" t="s">
        <v>7</v>
      </c>
      <c r="J56" s="435" t="s">
        <v>299</v>
      </c>
      <c r="K56" s="437" t="s">
        <v>303</v>
      </c>
      <c r="L56" s="437" t="s">
        <v>305</v>
      </c>
      <c r="M56" s="435" t="s">
        <v>839</v>
      </c>
      <c r="N56" s="436" t="s">
        <v>2870</v>
      </c>
      <c r="O56" s="435" t="s">
        <v>830</v>
      </c>
      <c r="R56" s="435" t="s">
        <v>398</v>
      </c>
      <c r="S56" s="435" t="s">
        <v>365</v>
      </c>
      <c r="AC56" s="435" t="s">
        <v>2</v>
      </c>
      <c r="AE56" s="438"/>
      <c r="AF56" s="438"/>
      <c r="AG56" s="438"/>
      <c r="AH56" s="438"/>
      <c r="AI56" s="438"/>
    </row>
    <row r="57" spans="4:35">
      <c r="D57" s="435" t="s">
        <v>79</v>
      </c>
      <c r="E57" s="435" t="s">
        <v>68</v>
      </c>
      <c r="F57" s="435" t="s">
        <v>274</v>
      </c>
      <c r="G57" s="435" t="s">
        <v>12</v>
      </c>
      <c r="H57" s="435" t="s">
        <v>264</v>
      </c>
      <c r="I57" s="435" t="s">
        <v>7</v>
      </c>
      <c r="J57" s="435" t="s">
        <v>299</v>
      </c>
      <c r="K57" s="437" t="s">
        <v>303</v>
      </c>
      <c r="L57" s="437" t="s">
        <v>305</v>
      </c>
      <c r="M57" s="435" t="s">
        <v>839</v>
      </c>
      <c r="N57" s="436" t="s">
        <v>2870</v>
      </c>
      <c r="O57" s="435" t="s">
        <v>830</v>
      </c>
      <c r="R57" s="435" t="s">
        <v>399</v>
      </c>
      <c r="S57" s="435" t="s">
        <v>367</v>
      </c>
      <c r="AC57" s="435" t="s">
        <v>2</v>
      </c>
      <c r="AE57" s="438"/>
      <c r="AF57" s="438"/>
      <c r="AG57" s="438"/>
      <c r="AH57" s="438"/>
      <c r="AI57" s="438"/>
    </row>
    <row r="58" spans="4:35">
      <c r="D58" s="435" t="s">
        <v>79</v>
      </c>
      <c r="E58" s="435" t="s">
        <v>68</v>
      </c>
      <c r="F58" s="435" t="s">
        <v>274</v>
      </c>
      <c r="G58" s="435" t="s">
        <v>12</v>
      </c>
      <c r="H58" s="435" t="s">
        <v>264</v>
      </c>
      <c r="I58" s="435" t="s">
        <v>7</v>
      </c>
      <c r="J58" s="435" t="s">
        <v>299</v>
      </c>
      <c r="K58" s="437" t="s">
        <v>303</v>
      </c>
      <c r="L58" s="437" t="s">
        <v>305</v>
      </c>
      <c r="M58" s="435" t="s">
        <v>839</v>
      </c>
      <c r="N58" s="436" t="s">
        <v>2870</v>
      </c>
      <c r="O58" s="435" t="s">
        <v>830</v>
      </c>
      <c r="R58" s="435" t="s">
        <v>400</v>
      </c>
      <c r="S58" s="435" t="s">
        <v>365</v>
      </c>
      <c r="AC58" s="435" t="s">
        <v>2</v>
      </c>
      <c r="AE58" s="438"/>
      <c r="AF58" s="438"/>
      <c r="AG58" s="438"/>
      <c r="AH58" s="438"/>
      <c r="AI58" s="438"/>
    </row>
    <row r="59" spans="4:35">
      <c r="D59" s="435" t="s">
        <v>79</v>
      </c>
      <c r="E59" s="435" t="s">
        <v>68</v>
      </c>
      <c r="F59" s="435" t="s">
        <v>274</v>
      </c>
      <c r="G59" s="435" t="s">
        <v>12</v>
      </c>
      <c r="H59" s="435" t="s">
        <v>264</v>
      </c>
      <c r="I59" s="435" t="s">
        <v>7</v>
      </c>
      <c r="J59" s="435" t="s">
        <v>299</v>
      </c>
      <c r="K59" s="437" t="s">
        <v>303</v>
      </c>
      <c r="L59" s="437" t="s">
        <v>305</v>
      </c>
      <c r="M59" s="435" t="s">
        <v>839</v>
      </c>
      <c r="N59" s="436" t="s">
        <v>2870</v>
      </c>
      <c r="O59" s="435" t="s">
        <v>830</v>
      </c>
      <c r="R59" s="435" t="s">
        <v>401</v>
      </c>
      <c r="S59" s="435" t="s">
        <v>351</v>
      </c>
      <c r="AC59" s="435" t="s">
        <v>2</v>
      </c>
      <c r="AE59" s="438"/>
      <c r="AF59" s="438"/>
      <c r="AG59" s="438"/>
      <c r="AH59" s="438"/>
      <c r="AI59" s="438"/>
    </row>
    <row r="60" spans="4:35">
      <c r="D60" s="435" t="s">
        <v>79</v>
      </c>
      <c r="E60" s="435" t="s">
        <v>68</v>
      </c>
      <c r="F60" s="435" t="s">
        <v>274</v>
      </c>
      <c r="G60" s="435" t="s">
        <v>12</v>
      </c>
      <c r="H60" s="435" t="s">
        <v>264</v>
      </c>
      <c r="I60" s="435" t="s">
        <v>7</v>
      </c>
      <c r="J60" s="435" t="s">
        <v>299</v>
      </c>
      <c r="K60" s="437" t="s">
        <v>303</v>
      </c>
      <c r="L60" s="437" t="s">
        <v>305</v>
      </c>
      <c r="M60" s="435" t="s">
        <v>839</v>
      </c>
      <c r="N60" s="436" t="s">
        <v>2870</v>
      </c>
      <c r="O60" s="435" t="s">
        <v>830</v>
      </c>
      <c r="R60" s="435" t="s">
        <v>402</v>
      </c>
      <c r="S60" s="435" t="s">
        <v>403</v>
      </c>
      <c r="AC60" s="435" t="s">
        <v>2</v>
      </c>
      <c r="AE60" s="438"/>
      <c r="AF60" s="438"/>
      <c r="AG60" s="438"/>
      <c r="AH60" s="438"/>
      <c r="AI60" s="438"/>
    </row>
    <row r="61" spans="4:35">
      <c r="D61" s="435" t="s">
        <v>79</v>
      </c>
      <c r="E61" s="435" t="s">
        <v>68</v>
      </c>
      <c r="F61" s="435" t="s">
        <v>274</v>
      </c>
      <c r="G61" s="435" t="s">
        <v>12</v>
      </c>
      <c r="H61" s="435" t="s">
        <v>264</v>
      </c>
      <c r="I61" s="435" t="s">
        <v>7</v>
      </c>
      <c r="J61" s="435" t="s">
        <v>299</v>
      </c>
      <c r="K61" s="437" t="s">
        <v>303</v>
      </c>
      <c r="L61" s="437" t="s">
        <v>305</v>
      </c>
      <c r="M61" s="435" t="s">
        <v>839</v>
      </c>
      <c r="N61" s="435" t="s">
        <v>828</v>
      </c>
      <c r="O61" s="435" t="s">
        <v>217</v>
      </c>
      <c r="R61" s="435" t="s">
        <v>404</v>
      </c>
      <c r="S61" s="435" t="s">
        <v>405</v>
      </c>
      <c r="AC61" s="435" t="s">
        <v>2</v>
      </c>
      <c r="AE61" s="438"/>
      <c r="AF61" s="438"/>
      <c r="AG61" s="438"/>
      <c r="AH61" s="438"/>
      <c r="AI61" s="438"/>
    </row>
    <row r="62" spans="4:35">
      <c r="D62" s="435" t="s">
        <v>79</v>
      </c>
      <c r="E62" s="435" t="s">
        <v>68</v>
      </c>
      <c r="F62" s="435" t="s">
        <v>274</v>
      </c>
      <c r="G62" s="435" t="s">
        <v>12</v>
      </c>
      <c r="H62" s="435" t="s">
        <v>264</v>
      </c>
      <c r="I62" s="435" t="s">
        <v>7</v>
      </c>
      <c r="J62" s="435" t="s">
        <v>299</v>
      </c>
      <c r="K62" s="437" t="s">
        <v>303</v>
      </c>
      <c r="L62" s="437" t="s">
        <v>305</v>
      </c>
      <c r="M62" s="435" t="s">
        <v>839</v>
      </c>
      <c r="N62" s="436" t="s">
        <v>2870</v>
      </c>
      <c r="O62" s="435" t="s">
        <v>830</v>
      </c>
      <c r="R62" s="435" t="s">
        <v>406</v>
      </c>
      <c r="S62" s="435" t="s">
        <v>407</v>
      </c>
      <c r="AC62" s="435" t="s">
        <v>2</v>
      </c>
      <c r="AE62" s="438"/>
      <c r="AF62" s="438"/>
      <c r="AG62" s="438"/>
      <c r="AH62" s="438"/>
      <c r="AI62" s="438"/>
    </row>
    <row r="63" spans="4:35">
      <c r="D63" s="435" t="s">
        <v>79</v>
      </c>
      <c r="E63" s="435" t="s">
        <v>68</v>
      </c>
      <c r="F63" s="435" t="s">
        <v>274</v>
      </c>
      <c r="G63" s="435" t="s">
        <v>12</v>
      </c>
      <c r="H63" s="435" t="s">
        <v>264</v>
      </c>
      <c r="I63" s="435" t="s">
        <v>7</v>
      </c>
      <c r="J63" s="435" t="s">
        <v>299</v>
      </c>
      <c r="K63" s="437" t="s">
        <v>303</v>
      </c>
      <c r="L63" s="437" t="s">
        <v>305</v>
      </c>
      <c r="M63" s="435" t="s">
        <v>835</v>
      </c>
      <c r="N63" s="436" t="s">
        <v>2870</v>
      </c>
      <c r="O63" s="435" t="s">
        <v>830</v>
      </c>
      <c r="R63" s="435" t="s">
        <v>408</v>
      </c>
      <c r="S63" s="435" t="s">
        <v>351</v>
      </c>
      <c r="AC63" s="435" t="s">
        <v>2</v>
      </c>
      <c r="AE63" s="438"/>
      <c r="AF63" s="438"/>
      <c r="AG63" s="438"/>
      <c r="AH63" s="438"/>
      <c r="AI63" s="438"/>
    </row>
    <row r="64" spans="4:35">
      <c r="D64" s="435" t="s">
        <v>79</v>
      </c>
      <c r="E64" s="435" t="s">
        <v>68</v>
      </c>
      <c r="F64" s="435" t="s">
        <v>274</v>
      </c>
      <c r="G64" s="435" t="s">
        <v>12</v>
      </c>
      <c r="H64" s="435" t="s">
        <v>264</v>
      </c>
      <c r="I64" s="435" t="s">
        <v>7</v>
      </c>
      <c r="J64" s="435" t="s">
        <v>299</v>
      </c>
      <c r="K64" s="437" t="s">
        <v>303</v>
      </c>
      <c r="L64" s="437" t="s">
        <v>305</v>
      </c>
      <c r="M64" s="435" t="s">
        <v>835</v>
      </c>
      <c r="N64" s="436" t="s">
        <v>2870</v>
      </c>
      <c r="O64" s="435" t="s">
        <v>830</v>
      </c>
      <c r="R64" s="435" t="s">
        <v>409</v>
      </c>
      <c r="S64" s="435" t="s">
        <v>365</v>
      </c>
      <c r="AC64" s="435" t="s">
        <v>2</v>
      </c>
      <c r="AE64" s="438"/>
      <c r="AF64" s="438"/>
      <c r="AG64" s="438"/>
      <c r="AH64" s="438"/>
      <c r="AI64" s="438"/>
    </row>
    <row r="65" spans="4:35">
      <c r="D65" s="435" t="s">
        <v>79</v>
      </c>
      <c r="E65" s="435" t="s">
        <v>68</v>
      </c>
      <c r="F65" s="435" t="s">
        <v>274</v>
      </c>
      <c r="G65" s="435" t="s">
        <v>12</v>
      </c>
      <c r="H65" s="435" t="s">
        <v>264</v>
      </c>
      <c r="I65" s="435" t="s">
        <v>7</v>
      </c>
      <c r="J65" s="435" t="s">
        <v>299</v>
      </c>
      <c r="K65" s="437" t="s">
        <v>303</v>
      </c>
      <c r="L65" s="437" t="s">
        <v>305</v>
      </c>
      <c r="M65" s="435" t="s">
        <v>835</v>
      </c>
      <c r="N65" s="436" t="s">
        <v>2870</v>
      </c>
      <c r="O65" s="435" t="s">
        <v>830</v>
      </c>
      <c r="R65" s="435" t="s">
        <v>410</v>
      </c>
      <c r="S65" s="435" t="s">
        <v>367</v>
      </c>
      <c r="AC65" s="435" t="s">
        <v>2</v>
      </c>
      <c r="AE65" s="438"/>
      <c r="AF65" s="438"/>
      <c r="AG65" s="438"/>
      <c r="AH65" s="438"/>
      <c r="AI65" s="438"/>
    </row>
    <row r="66" spans="4:35">
      <c r="D66" s="435" t="s">
        <v>79</v>
      </c>
      <c r="E66" s="435" t="s">
        <v>68</v>
      </c>
      <c r="F66" s="435" t="s">
        <v>274</v>
      </c>
      <c r="G66" s="435" t="s">
        <v>12</v>
      </c>
      <c r="H66" s="435" t="s">
        <v>264</v>
      </c>
      <c r="I66" s="435" t="s">
        <v>7</v>
      </c>
      <c r="J66" s="435" t="s">
        <v>299</v>
      </c>
      <c r="K66" s="437" t="s">
        <v>303</v>
      </c>
      <c r="L66" s="437" t="s">
        <v>305</v>
      </c>
      <c r="M66" s="435" t="s">
        <v>835</v>
      </c>
      <c r="N66" s="436" t="s">
        <v>2870</v>
      </c>
      <c r="O66" s="435" t="s">
        <v>830</v>
      </c>
      <c r="R66" s="435" t="s">
        <v>411</v>
      </c>
      <c r="S66" s="435" t="s">
        <v>365</v>
      </c>
      <c r="AC66" s="435" t="s">
        <v>2</v>
      </c>
      <c r="AE66" s="438"/>
      <c r="AF66" s="438"/>
      <c r="AG66" s="438"/>
      <c r="AH66" s="438"/>
      <c r="AI66" s="438"/>
    </row>
    <row r="67" spans="4:35">
      <c r="D67" s="435" t="s">
        <v>79</v>
      </c>
      <c r="E67" s="435" t="s">
        <v>68</v>
      </c>
      <c r="F67" s="435" t="s">
        <v>274</v>
      </c>
      <c r="G67" s="435" t="s">
        <v>12</v>
      </c>
      <c r="H67" s="435" t="s">
        <v>264</v>
      </c>
      <c r="I67" s="435" t="s">
        <v>7</v>
      </c>
      <c r="J67" s="435" t="s">
        <v>299</v>
      </c>
      <c r="K67" s="437" t="s">
        <v>303</v>
      </c>
      <c r="L67" s="437" t="s">
        <v>305</v>
      </c>
      <c r="M67" s="435" t="s">
        <v>835</v>
      </c>
      <c r="N67" s="436" t="s">
        <v>2870</v>
      </c>
      <c r="O67" s="435" t="s">
        <v>830</v>
      </c>
      <c r="R67" s="435" t="s">
        <v>412</v>
      </c>
      <c r="S67" s="435" t="s">
        <v>351</v>
      </c>
      <c r="AC67" s="435" t="s">
        <v>2</v>
      </c>
      <c r="AE67" s="438"/>
      <c r="AF67" s="438"/>
      <c r="AG67" s="438"/>
      <c r="AH67" s="438"/>
      <c r="AI67" s="438"/>
    </row>
    <row r="68" spans="4:35">
      <c r="D68" s="435" t="s">
        <v>79</v>
      </c>
      <c r="E68" s="435" t="s">
        <v>68</v>
      </c>
      <c r="F68" s="435" t="s">
        <v>274</v>
      </c>
      <c r="G68" s="435" t="s">
        <v>12</v>
      </c>
      <c r="H68" s="435" t="s">
        <v>264</v>
      </c>
      <c r="I68" s="435" t="s">
        <v>7</v>
      </c>
      <c r="J68" s="435" t="s">
        <v>299</v>
      </c>
      <c r="K68" s="437" t="s">
        <v>303</v>
      </c>
      <c r="L68" s="437" t="s">
        <v>305</v>
      </c>
      <c r="M68" s="435" t="s">
        <v>835</v>
      </c>
      <c r="N68" s="436" t="s">
        <v>2870</v>
      </c>
      <c r="O68" s="435" t="s">
        <v>830</v>
      </c>
      <c r="R68" s="435" t="s">
        <v>413</v>
      </c>
      <c r="S68" s="435" t="s">
        <v>414</v>
      </c>
      <c r="AC68" s="435" t="s">
        <v>2</v>
      </c>
      <c r="AE68" s="438"/>
      <c r="AF68" s="438"/>
      <c r="AG68" s="438"/>
      <c r="AH68" s="438"/>
      <c r="AI68" s="438"/>
    </row>
    <row r="69" spans="4:35">
      <c r="D69" s="435" t="s">
        <v>79</v>
      </c>
      <c r="E69" s="435" t="s">
        <v>68</v>
      </c>
      <c r="F69" s="435" t="s">
        <v>274</v>
      </c>
      <c r="G69" s="435" t="s">
        <v>12</v>
      </c>
      <c r="H69" s="435" t="s">
        <v>264</v>
      </c>
      <c r="I69" s="435" t="s">
        <v>7</v>
      </c>
      <c r="J69" s="435" t="s">
        <v>299</v>
      </c>
      <c r="K69" s="437" t="s">
        <v>303</v>
      </c>
      <c r="L69" s="437" t="s">
        <v>305</v>
      </c>
      <c r="M69" s="435" t="s">
        <v>835</v>
      </c>
      <c r="N69" s="436" t="s">
        <v>2870</v>
      </c>
      <c r="O69" s="435" t="s">
        <v>830</v>
      </c>
      <c r="R69" s="435" t="s">
        <v>415</v>
      </c>
      <c r="S69" s="435" t="s">
        <v>416</v>
      </c>
      <c r="AC69" s="435" t="s">
        <v>2</v>
      </c>
      <c r="AE69" s="438"/>
      <c r="AF69" s="438"/>
      <c r="AG69" s="438"/>
      <c r="AH69" s="438"/>
      <c r="AI69" s="438"/>
    </row>
    <row r="70" spans="4:35">
      <c r="D70" s="435" t="s">
        <v>79</v>
      </c>
      <c r="E70" s="435" t="s">
        <v>68</v>
      </c>
      <c r="F70" s="435" t="s">
        <v>274</v>
      </c>
      <c r="G70" s="435" t="s">
        <v>12</v>
      </c>
      <c r="H70" s="435" t="s">
        <v>264</v>
      </c>
      <c r="I70" s="435" t="s">
        <v>7</v>
      </c>
      <c r="J70" s="435" t="s">
        <v>299</v>
      </c>
      <c r="K70" s="437" t="s">
        <v>303</v>
      </c>
      <c r="L70" s="437" t="s">
        <v>305</v>
      </c>
      <c r="M70" s="435" t="s">
        <v>840</v>
      </c>
      <c r="N70" s="436" t="s">
        <v>2870</v>
      </c>
      <c r="O70" s="435" t="s">
        <v>830</v>
      </c>
      <c r="R70" s="435" t="s">
        <v>417</v>
      </c>
      <c r="S70" s="435" t="s">
        <v>351</v>
      </c>
      <c r="AC70" s="435" t="s">
        <v>2</v>
      </c>
      <c r="AE70" s="438"/>
      <c r="AF70" s="438"/>
      <c r="AG70" s="438"/>
      <c r="AH70" s="438"/>
      <c r="AI70" s="438"/>
    </row>
    <row r="71" spans="4:35">
      <c r="D71" s="435" t="s">
        <v>79</v>
      </c>
      <c r="E71" s="435" t="s">
        <v>68</v>
      </c>
      <c r="F71" s="435" t="s">
        <v>274</v>
      </c>
      <c r="G71" s="435" t="s">
        <v>12</v>
      </c>
      <c r="H71" s="435" t="s">
        <v>264</v>
      </c>
      <c r="I71" s="435" t="s">
        <v>7</v>
      </c>
      <c r="J71" s="435" t="s">
        <v>299</v>
      </c>
      <c r="K71" s="437" t="s">
        <v>303</v>
      </c>
      <c r="L71" s="437" t="s">
        <v>305</v>
      </c>
      <c r="M71" s="435" t="s">
        <v>840</v>
      </c>
      <c r="N71" s="435" t="s">
        <v>828</v>
      </c>
      <c r="O71" s="435" t="s">
        <v>217</v>
      </c>
      <c r="R71" s="435" t="s">
        <v>418</v>
      </c>
      <c r="S71" s="435" t="s">
        <v>419</v>
      </c>
      <c r="AC71" s="435" t="s">
        <v>2</v>
      </c>
      <c r="AE71" s="438"/>
      <c r="AF71" s="438"/>
      <c r="AG71" s="438"/>
      <c r="AH71" s="438"/>
      <c r="AI71" s="438"/>
    </row>
    <row r="72" spans="4:35">
      <c r="D72" s="435" t="s">
        <v>79</v>
      </c>
      <c r="E72" s="435" t="s">
        <v>68</v>
      </c>
      <c r="F72" s="435" t="s">
        <v>274</v>
      </c>
      <c r="G72" s="435" t="s">
        <v>12</v>
      </c>
      <c r="H72" s="435" t="s">
        <v>264</v>
      </c>
      <c r="I72" s="435" t="s">
        <v>7</v>
      </c>
      <c r="J72" s="435" t="s">
        <v>299</v>
      </c>
      <c r="K72" s="437" t="s">
        <v>303</v>
      </c>
      <c r="L72" s="437" t="s">
        <v>305</v>
      </c>
      <c r="M72" s="435" t="s">
        <v>840</v>
      </c>
      <c r="N72" s="435" t="s">
        <v>828</v>
      </c>
      <c r="O72" s="435" t="s">
        <v>217</v>
      </c>
      <c r="R72" s="435" t="s">
        <v>420</v>
      </c>
      <c r="S72" s="435" t="s">
        <v>421</v>
      </c>
      <c r="AC72" s="435" t="s">
        <v>2</v>
      </c>
      <c r="AE72" s="438"/>
      <c r="AF72" s="438"/>
      <c r="AG72" s="438"/>
      <c r="AH72" s="438"/>
      <c r="AI72" s="438"/>
    </row>
    <row r="73" spans="4:35">
      <c r="D73" s="435" t="s">
        <v>79</v>
      </c>
      <c r="E73" s="435" t="s">
        <v>68</v>
      </c>
      <c r="F73" s="435" t="s">
        <v>274</v>
      </c>
      <c r="G73" s="435" t="s">
        <v>12</v>
      </c>
      <c r="H73" s="435" t="s">
        <v>264</v>
      </c>
      <c r="I73" s="435" t="s">
        <v>7</v>
      </c>
      <c r="J73" s="435" t="s">
        <v>299</v>
      </c>
      <c r="K73" s="437" t="s">
        <v>303</v>
      </c>
      <c r="L73" s="437" t="s">
        <v>305</v>
      </c>
      <c r="M73" s="435" t="s">
        <v>840</v>
      </c>
      <c r="N73" s="436" t="s">
        <v>2870</v>
      </c>
      <c r="O73" s="435" t="s">
        <v>830</v>
      </c>
      <c r="R73" s="435" t="s">
        <v>422</v>
      </c>
      <c r="S73" s="435" t="s">
        <v>365</v>
      </c>
      <c r="AC73" s="435" t="s">
        <v>2</v>
      </c>
      <c r="AE73" s="438"/>
      <c r="AF73" s="438"/>
      <c r="AG73" s="438"/>
      <c r="AH73" s="438"/>
      <c r="AI73" s="438"/>
    </row>
    <row r="74" spans="4:35">
      <c r="D74" s="435" t="s">
        <v>79</v>
      </c>
      <c r="E74" s="435" t="s">
        <v>68</v>
      </c>
      <c r="F74" s="435" t="s">
        <v>274</v>
      </c>
      <c r="G74" s="435" t="s">
        <v>12</v>
      </c>
      <c r="H74" s="435" t="s">
        <v>264</v>
      </c>
      <c r="I74" s="435" t="s">
        <v>7</v>
      </c>
      <c r="J74" s="435" t="s">
        <v>299</v>
      </c>
      <c r="K74" s="437" t="s">
        <v>303</v>
      </c>
      <c r="L74" s="437" t="s">
        <v>305</v>
      </c>
      <c r="M74" s="435" t="s">
        <v>840</v>
      </c>
      <c r="N74" s="436" t="s">
        <v>2870</v>
      </c>
      <c r="O74" s="435" t="s">
        <v>830</v>
      </c>
      <c r="R74" s="435" t="s">
        <v>423</v>
      </c>
      <c r="S74" s="435" t="s">
        <v>424</v>
      </c>
      <c r="AC74" s="435" t="s">
        <v>2</v>
      </c>
      <c r="AE74" s="438"/>
      <c r="AF74" s="438"/>
      <c r="AG74" s="438"/>
      <c r="AH74" s="438"/>
      <c r="AI74" s="438"/>
    </row>
    <row r="75" spans="4:35">
      <c r="D75" s="435" t="s">
        <v>79</v>
      </c>
      <c r="E75" s="435" t="s">
        <v>68</v>
      </c>
      <c r="F75" s="435" t="s">
        <v>274</v>
      </c>
      <c r="G75" s="435" t="s">
        <v>12</v>
      </c>
      <c r="H75" s="435" t="s">
        <v>264</v>
      </c>
      <c r="I75" s="435" t="s">
        <v>7</v>
      </c>
      <c r="J75" s="435" t="s">
        <v>299</v>
      </c>
      <c r="K75" s="437" t="s">
        <v>303</v>
      </c>
      <c r="L75" s="437" t="s">
        <v>306</v>
      </c>
      <c r="M75" s="435" t="s">
        <v>841</v>
      </c>
      <c r="N75" s="436" t="s">
        <v>2870</v>
      </c>
      <c r="O75" s="435" t="s">
        <v>830</v>
      </c>
      <c r="R75" s="435" t="s">
        <v>425</v>
      </c>
      <c r="S75" s="435" t="s">
        <v>351</v>
      </c>
      <c r="AC75" s="435" t="s">
        <v>2</v>
      </c>
      <c r="AE75" s="438"/>
      <c r="AF75" s="438"/>
      <c r="AG75" s="438"/>
      <c r="AH75" s="438"/>
      <c r="AI75" s="438"/>
    </row>
    <row r="76" spans="4:35">
      <c r="D76" s="435" t="s">
        <v>79</v>
      </c>
      <c r="E76" s="435" t="s">
        <v>68</v>
      </c>
      <c r="F76" s="435" t="s">
        <v>274</v>
      </c>
      <c r="G76" s="435" t="s">
        <v>12</v>
      </c>
      <c r="H76" s="435" t="s">
        <v>264</v>
      </c>
      <c r="I76" s="435" t="s">
        <v>7</v>
      </c>
      <c r="J76" s="435" t="s">
        <v>299</v>
      </c>
      <c r="K76" s="437" t="s">
        <v>303</v>
      </c>
      <c r="L76" s="437" t="s">
        <v>306</v>
      </c>
      <c r="M76" s="435" t="s">
        <v>841</v>
      </c>
      <c r="N76" s="436" t="s">
        <v>2870</v>
      </c>
      <c r="O76" s="435" t="s">
        <v>830</v>
      </c>
      <c r="R76" s="435" t="s">
        <v>426</v>
      </c>
      <c r="S76" s="435" t="s">
        <v>365</v>
      </c>
      <c r="AC76" s="435" t="s">
        <v>2</v>
      </c>
      <c r="AE76" s="438"/>
      <c r="AF76" s="438"/>
      <c r="AG76" s="438"/>
      <c r="AH76" s="438"/>
      <c r="AI76" s="438"/>
    </row>
    <row r="77" spans="4:35">
      <c r="D77" s="435" t="s">
        <v>79</v>
      </c>
      <c r="E77" s="435" t="s">
        <v>68</v>
      </c>
      <c r="F77" s="435" t="s">
        <v>274</v>
      </c>
      <c r="G77" s="435" t="s">
        <v>12</v>
      </c>
      <c r="H77" s="435" t="s">
        <v>264</v>
      </c>
      <c r="I77" s="435" t="s">
        <v>7</v>
      </c>
      <c r="J77" s="435" t="s">
        <v>299</v>
      </c>
      <c r="K77" s="437" t="s">
        <v>303</v>
      </c>
      <c r="L77" s="437" t="s">
        <v>306</v>
      </c>
      <c r="M77" s="435" t="s">
        <v>841</v>
      </c>
      <c r="N77" s="436" t="s">
        <v>2870</v>
      </c>
      <c r="O77" s="435" t="s">
        <v>830</v>
      </c>
      <c r="R77" s="435" t="s">
        <v>427</v>
      </c>
      <c r="S77" s="435" t="s">
        <v>367</v>
      </c>
      <c r="AC77" s="435" t="s">
        <v>2</v>
      </c>
      <c r="AE77" s="438"/>
      <c r="AF77" s="438"/>
      <c r="AG77" s="438"/>
      <c r="AH77" s="438"/>
      <c r="AI77" s="438"/>
    </row>
    <row r="78" spans="4:35">
      <c r="D78" s="435" t="s">
        <v>79</v>
      </c>
      <c r="E78" s="435" t="s">
        <v>68</v>
      </c>
      <c r="F78" s="435" t="s">
        <v>274</v>
      </c>
      <c r="G78" s="435" t="s">
        <v>12</v>
      </c>
      <c r="H78" s="435" t="s">
        <v>264</v>
      </c>
      <c r="I78" s="435" t="s">
        <v>7</v>
      </c>
      <c r="J78" s="435" t="s">
        <v>299</v>
      </c>
      <c r="K78" s="437" t="s">
        <v>303</v>
      </c>
      <c r="L78" s="437" t="s">
        <v>306</v>
      </c>
      <c r="M78" s="435" t="s">
        <v>841</v>
      </c>
      <c r="N78" s="436" t="s">
        <v>2870</v>
      </c>
      <c r="O78" s="435" t="s">
        <v>830</v>
      </c>
      <c r="R78" s="435" t="s">
        <v>428</v>
      </c>
      <c r="S78" s="435" t="s">
        <v>365</v>
      </c>
      <c r="AC78" s="435" t="s">
        <v>2</v>
      </c>
      <c r="AE78" s="438"/>
      <c r="AF78" s="438"/>
      <c r="AG78" s="438"/>
      <c r="AH78" s="438"/>
      <c r="AI78" s="438"/>
    </row>
    <row r="79" spans="4:35">
      <c r="D79" s="435" t="s">
        <v>79</v>
      </c>
      <c r="E79" s="435" t="s">
        <v>68</v>
      </c>
      <c r="F79" s="435" t="s">
        <v>274</v>
      </c>
      <c r="G79" s="435" t="s">
        <v>12</v>
      </c>
      <c r="H79" s="435" t="s">
        <v>264</v>
      </c>
      <c r="I79" s="435" t="s">
        <v>7</v>
      </c>
      <c r="J79" s="435" t="s">
        <v>299</v>
      </c>
      <c r="K79" s="437" t="s">
        <v>303</v>
      </c>
      <c r="L79" s="437" t="s">
        <v>306</v>
      </c>
      <c r="M79" s="435" t="s">
        <v>841</v>
      </c>
      <c r="N79" s="436" t="s">
        <v>2870</v>
      </c>
      <c r="O79" s="435" t="s">
        <v>830</v>
      </c>
      <c r="R79" s="435" t="s">
        <v>429</v>
      </c>
      <c r="S79" s="435" t="s">
        <v>351</v>
      </c>
      <c r="AC79" s="435" t="s">
        <v>2</v>
      </c>
      <c r="AE79" s="438"/>
      <c r="AF79" s="438"/>
      <c r="AG79" s="438"/>
      <c r="AH79" s="438"/>
      <c r="AI79" s="438"/>
    </row>
    <row r="80" spans="4:35">
      <c r="D80" s="435" t="s">
        <v>79</v>
      </c>
      <c r="E80" s="435" t="s">
        <v>68</v>
      </c>
      <c r="F80" s="435" t="s">
        <v>274</v>
      </c>
      <c r="G80" s="435" t="s">
        <v>12</v>
      </c>
      <c r="H80" s="435" t="s">
        <v>264</v>
      </c>
      <c r="I80" s="435" t="s">
        <v>7</v>
      </c>
      <c r="J80" s="435" t="s">
        <v>299</v>
      </c>
      <c r="K80" s="437" t="s">
        <v>303</v>
      </c>
      <c r="L80" s="437" t="s">
        <v>306</v>
      </c>
      <c r="M80" s="435" t="s">
        <v>841</v>
      </c>
      <c r="N80" s="436" t="s">
        <v>2870</v>
      </c>
      <c r="O80" s="435" t="s">
        <v>830</v>
      </c>
      <c r="R80" s="435" t="s">
        <v>430</v>
      </c>
      <c r="S80" s="435" t="s">
        <v>431</v>
      </c>
      <c r="AC80" s="435" t="s">
        <v>2</v>
      </c>
      <c r="AE80" s="438"/>
      <c r="AF80" s="438"/>
      <c r="AG80" s="438"/>
      <c r="AH80" s="438"/>
      <c r="AI80" s="438"/>
    </row>
    <row r="81" spans="4:35">
      <c r="D81" s="435" t="s">
        <v>79</v>
      </c>
      <c r="E81" s="435" t="s">
        <v>68</v>
      </c>
      <c r="F81" s="435" t="s">
        <v>274</v>
      </c>
      <c r="G81" s="435" t="s">
        <v>12</v>
      </c>
      <c r="H81" s="435" t="s">
        <v>264</v>
      </c>
      <c r="I81" s="435" t="s">
        <v>7</v>
      </c>
      <c r="J81" s="435" t="s">
        <v>299</v>
      </c>
      <c r="K81" s="437" t="s">
        <v>303</v>
      </c>
      <c r="L81" s="437" t="s">
        <v>306</v>
      </c>
      <c r="M81" s="435" t="s">
        <v>841</v>
      </c>
      <c r="N81" s="436" t="s">
        <v>2870</v>
      </c>
      <c r="O81" s="435" t="s">
        <v>830</v>
      </c>
      <c r="R81" s="435" t="s">
        <v>432</v>
      </c>
      <c r="S81" s="435" t="s">
        <v>433</v>
      </c>
      <c r="AC81" s="435" t="s">
        <v>2</v>
      </c>
      <c r="AE81" s="438"/>
      <c r="AF81" s="438"/>
      <c r="AG81" s="438"/>
      <c r="AH81" s="438"/>
      <c r="AI81" s="438"/>
    </row>
    <row r="82" spans="4:35">
      <c r="D82" s="435" t="s">
        <v>79</v>
      </c>
      <c r="E82" s="435" t="s">
        <v>68</v>
      </c>
      <c r="F82" s="435" t="s">
        <v>274</v>
      </c>
      <c r="G82" s="435" t="s">
        <v>12</v>
      </c>
      <c r="H82" s="435" t="s">
        <v>264</v>
      </c>
      <c r="I82" s="435" t="s">
        <v>7</v>
      </c>
      <c r="J82" s="435" t="s">
        <v>299</v>
      </c>
      <c r="K82" s="437" t="s">
        <v>303</v>
      </c>
      <c r="L82" s="437" t="s">
        <v>306</v>
      </c>
      <c r="M82" s="435" t="s">
        <v>841</v>
      </c>
      <c r="N82" s="436" t="s">
        <v>2870</v>
      </c>
      <c r="O82" s="435" t="s">
        <v>830</v>
      </c>
      <c r="R82" s="435" t="s">
        <v>434</v>
      </c>
      <c r="S82" s="435" t="s">
        <v>435</v>
      </c>
      <c r="AC82" s="435" t="s">
        <v>2</v>
      </c>
      <c r="AE82" s="438"/>
      <c r="AF82" s="438"/>
      <c r="AG82" s="438"/>
      <c r="AH82" s="438"/>
      <c r="AI82" s="438"/>
    </row>
    <row r="83" spans="4:35">
      <c r="D83" s="435" t="s">
        <v>79</v>
      </c>
      <c r="E83" s="435" t="s">
        <v>68</v>
      </c>
      <c r="F83" s="435" t="s">
        <v>274</v>
      </c>
      <c r="G83" s="435" t="s">
        <v>12</v>
      </c>
      <c r="H83" s="435" t="s">
        <v>264</v>
      </c>
      <c r="I83" s="435" t="s">
        <v>7</v>
      </c>
      <c r="J83" s="435" t="s">
        <v>299</v>
      </c>
      <c r="K83" s="437" t="s">
        <v>303</v>
      </c>
      <c r="L83" s="437" t="s">
        <v>306</v>
      </c>
      <c r="M83" s="435" t="s">
        <v>842</v>
      </c>
      <c r="N83" s="435" t="s">
        <v>829</v>
      </c>
      <c r="O83" s="435" t="s">
        <v>214</v>
      </c>
      <c r="R83" s="435" t="s">
        <v>436</v>
      </c>
      <c r="S83" s="435" t="s">
        <v>351</v>
      </c>
      <c r="AC83" s="435" t="s">
        <v>2</v>
      </c>
      <c r="AE83" s="438"/>
      <c r="AF83" s="438"/>
      <c r="AG83" s="438"/>
      <c r="AH83" s="438"/>
      <c r="AI83" s="438"/>
    </row>
    <row r="84" spans="4:35">
      <c r="D84" s="435" t="s">
        <v>79</v>
      </c>
      <c r="E84" s="435" t="s">
        <v>68</v>
      </c>
      <c r="F84" s="435" t="s">
        <v>274</v>
      </c>
      <c r="G84" s="435" t="s">
        <v>12</v>
      </c>
      <c r="H84" s="435" t="s">
        <v>264</v>
      </c>
      <c r="I84" s="435" t="s">
        <v>7</v>
      </c>
      <c r="J84" s="435" t="s">
        <v>299</v>
      </c>
      <c r="K84" s="437" t="s">
        <v>303</v>
      </c>
      <c r="L84" s="437" t="s">
        <v>306</v>
      </c>
      <c r="M84" s="435" t="s">
        <v>842</v>
      </c>
      <c r="N84" s="435" t="s">
        <v>829</v>
      </c>
      <c r="O84" s="435" t="s">
        <v>214</v>
      </c>
      <c r="R84" s="435" t="s">
        <v>437</v>
      </c>
      <c r="S84" s="435" t="s">
        <v>365</v>
      </c>
      <c r="AC84" s="435" t="s">
        <v>2</v>
      </c>
      <c r="AE84" s="438"/>
      <c r="AF84" s="438"/>
      <c r="AG84" s="438"/>
      <c r="AH84" s="438"/>
      <c r="AI84" s="438"/>
    </row>
    <row r="85" spans="4:35">
      <c r="D85" s="435" t="s">
        <v>79</v>
      </c>
      <c r="E85" s="435" t="s">
        <v>68</v>
      </c>
      <c r="F85" s="435" t="s">
        <v>274</v>
      </c>
      <c r="G85" s="435" t="s">
        <v>12</v>
      </c>
      <c r="H85" s="435" t="s">
        <v>264</v>
      </c>
      <c r="I85" s="435" t="s">
        <v>7</v>
      </c>
      <c r="J85" s="435" t="s">
        <v>299</v>
      </c>
      <c r="K85" s="437" t="s">
        <v>303</v>
      </c>
      <c r="L85" s="437" t="s">
        <v>306</v>
      </c>
      <c r="M85" s="435" t="s">
        <v>842</v>
      </c>
      <c r="N85" s="435" t="s">
        <v>829</v>
      </c>
      <c r="O85" s="435" t="s">
        <v>214</v>
      </c>
      <c r="R85" s="435" t="s">
        <v>438</v>
      </c>
      <c r="S85" s="435" t="s">
        <v>439</v>
      </c>
      <c r="AC85" s="435" t="s">
        <v>2</v>
      </c>
      <c r="AE85" s="438"/>
      <c r="AF85" s="438"/>
      <c r="AG85" s="438"/>
      <c r="AH85" s="438"/>
      <c r="AI85" s="438"/>
    </row>
    <row r="86" spans="4:35">
      <c r="D86" s="435" t="s">
        <v>79</v>
      </c>
      <c r="E86" s="435" t="s">
        <v>68</v>
      </c>
      <c r="F86" s="435" t="s">
        <v>274</v>
      </c>
      <c r="G86" s="435" t="s">
        <v>12</v>
      </c>
      <c r="H86" s="435" t="s">
        <v>264</v>
      </c>
      <c r="I86" s="435" t="s">
        <v>7</v>
      </c>
      <c r="J86" s="435" t="s">
        <v>299</v>
      </c>
      <c r="K86" s="437" t="s">
        <v>303</v>
      </c>
      <c r="L86" s="437" t="s">
        <v>306</v>
      </c>
      <c r="M86" s="435" t="s">
        <v>842</v>
      </c>
      <c r="N86" s="435" t="s">
        <v>829</v>
      </c>
      <c r="O86" s="435" t="s">
        <v>214</v>
      </c>
      <c r="R86" s="435" t="s">
        <v>440</v>
      </c>
      <c r="S86" s="435" t="s">
        <v>365</v>
      </c>
      <c r="AC86" s="435" t="s">
        <v>2</v>
      </c>
      <c r="AE86" s="438"/>
      <c r="AF86" s="438"/>
      <c r="AG86" s="438"/>
      <c r="AH86" s="438"/>
      <c r="AI86" s="438"/>
    </row>
    <row r="87" spans="4:35">
      <c r="D87" s="435" t="s">
        <v>79</v>
      </c>
      <c r="E87" s="435" t="s">
        <v>68</v>
      </c>
      <c r="F87" s="435" t="s">
        <v>274</v>
      </c>
      <c r="G87" s="435" t="s">
        <v>12</v>
      </c>
      <c r="H87" s="435" t="s">
        <v>264</v>
      </c>
      <c r="I87" s="435" t="s">
        <v>7</v>
      </c>
      <c r="J87" s="435" t="s">
        <v>299</v>
      </c>
      <c r="K87" s="437" t="s">
        <v>303</v>
      </c>
      <c r="L87" s="437" t="s">
        <v>306</v>
      </c>
      <c r="M87" s="435" t="s">
        <v>842</v>
      </c>
      <c r="N87" s="435" t="s">
        <v>829</v>
      </c>
      <c r="O87" s="435" t="s">
        <v>214</v>
      </c>
      <c r="R87" s="435" t="s">
        <v>441</v>
      </c>
      <c r="S87" s="435" t="s">
        <v>351</v>
      </c>
      <c r="AC87" s="435" t="s">
        <v>2</v>
      </c>
      <c r="AE87" s="438"/>
      <c r="AF87" s="438"/>
      <c r="AG87" s="438"/>
      <c r="AH87" s="438"/>
      <c r="AI87" s="438"/>
    </row>
    <row r="88" spans="4:35">
      <c r="D88" s="435" t="s">
        <v>79</v>
      </c>
      <c r="E88" s="435" t="s">
        <v>68</v>
      </c>
      <c r="F88" s="435" t="s">
        <v>274</v>
      </c>
      <c r="G88" s="435" t="s">
        <v>12</v>
      </c>
      <c r="H88" s="435" t="s">
        <v>264</v>
      </c>
      <c r="I88" s="435" t="s">
        <v>7</v>
      </c>
      <c r="J88" s="435" t="s">
        <v>299</v>
      </c>
      <c r="K88" s="437" t="s">
        <v>303</v>
      </c>
      <c r="L88" s="437" t="s">
        <v>306</v>
      </c>
      <c r="M88" s="435" t="s">
        <v>842</v>
      </c>
      <c r="N88" s="435" t="s">
        <v>829</v>
      </c>
      <c r="O88" s="435" t="s">
        <v>214</v>
      </c>
      <c r="R88" s="435" t="s">
        <v>442</v>
      </c>
      <c r="S88" s="435" t="s">
        <v>439</v>
      </c>
      <c r="AC88" s="435" t="s">
        <v>2</v>
      </c>
      <c r="AE88" s="438"/>
      <c r="AF88" s="438"/>
      <c r="AG88" s="438"/>
      <c r="AH88" s="438"/>
      <c r="AI88" s="438"/>
    </row>
    <row r="89" spans="4:35">
      <c r="D89" s="435" t="s">
        <v>79</v>
      </c>
      <c r="E89" s="435" t="s">
        <v>68</v>
      </c>
      <c r="F89" s="435" t="s">
        <v>274</v>
      </c>
      <c r="G89" s="435" t="s">
        <v>12</v>
      </c>
      <c r="H89" s="435" t="s">
        <v>264</v>
      </c>
      <c r="I89" s="435" t="s">
        <v>7</v>
      </c>
      <c r="J89" s="435" t="s">
        <v>299</v>
      </c>
      <c r="K89" s="437" t="s">
        <v>303</v>
      </c>
      <c r="L89" s="437" t="s">
        <v>306</v>
      </c>
      <c r="M89" s="435" t="s">
        <v>842</v>
      </c>
      <c r="N89" s="435" t="s">
        <v>829</v>
      </c>
      <c r="O89" s="435" t="s">
        <v>214</v>
      </c>
      <c r="R89" s="435" t="s">
        <v>443</v>
      </c>
      <c r="S89" s="435" t="s">
        <v>439</v>
      </c>
      <c r="AC89" s="435" t="s">
        <v>2</v>
      </c>
      <c r="AE89" s="438"/>
      <c r="AF89" s="438"/>
      <c r="AG89" s="438"/>
      <c r="AH89" s="438"/>
      <c r="AI89" s="438"/>
    </row>
    <row r="90" spans="4:35">
      <c r="D90" s="435" t="s">
        <v>79</v>
      </c>
      <c r="E90" s="435" t="s">
        <v>68</v>
      </c>
      <c r="F90" s="435" t="s">
        <v>274</v>
      </c>
      <c r="G90" s="435" t="s">
        <v>12</v>
      </c>
      <c r="H90" s="435" t="s">
        <v>264</v>
      </c>
      <c r="I90" s="435" t="s">
        <v>7</v>
      </c>
      <c r="J90" s="435" t="s">
        <v>299</v>
      </c>
      <c r="K90" s="437" t="s">
        <v>255</v>
      </c>
      <c r="L90" s="437" t="s">
        <v>255</v>
      </c>
      <c r="M90" s="435" t="s">
        <v>843</v>
      </c>
      <c r="N90" s="435" t="s">
        <v>829</v>
      </c>
      <c r="O90" s="435" t="s">
        <v>214</v>
      </c>
      <c r="R90" s="435" t="s">
        <v>444</v>
      </c>
      <c r="S90" s="435" t="s">
        <v>445</v>
      </c>
      <c r="AC90" s="435" t="s">
        <v>2</v>
      </c>
      <c r="AE90" s="438"/>
      <c r="AF90" s="438"/>
      <c r="AG90" s="438"/>
      <c r="AH90" s="438"/>
      <c r="AI90" s="438"/>
    </row>
    <row r="91" spans="4:35">
      <c r="D91" s="435" t="s">
        <v>79</v>
      </c>
      <c r="E91" s="435" t="s">
        <v>68</v>
      </c>
      <c r="F91" s="435" t="s">
        <v>274</v>
      </c>
      <c r="G91" s="435" t="s">
        <v>12</v>
      </c>
      <c r="H91" s="435" t="s">
        <v>264</v>
      </c>
      <c r="I91" s="435" t="s">
        <v>7</v>
      </c>
      <c r="J91" s="435" t="s">
        <v>299</v>
      </c>
      <c r="K91" s="437" t="s">
        <v>255</v>
      </c>
      <c r="L91" s="437" t="s">
        <v>255</v>
      </c>
      <c r="M91" s="435" t="s">
        <v>843</v>
      </c>
      <c r="N91" s="435" t="s">
        <v>829</v>
      </c>
      <c r="O91" s="435" t="s">
        <v>214</v>
      </c>
      <c r="R91" s="435" t="s">
        <v>446</v>
      </c>
      <c r="S91" s="435" t="s">
        <v>447</v>
      </c>
      <c r="AC91" s="435" t="s">
        <v>2</v>
      </c>
      <c r="AE91" s="438"/>
      <c r="AF91" s="438"/>
      <c r="AG91" s="438"/>
      <c r="AH91" s="438"/>
      <c r="AI91" s="438"/>
    </row>
    <row r="92" spans="4:35">
      <c r="D92" s="435" t="s">
        <v>79</v>
      </c>
      <c r="E92" s="435" t="s">
        <v>68</v>
      </c>
      <c r="F92" s="435" t="s">
        <v>274</v>
      </c>
      <c r="G92" s="435" t="s">
        <v>12</v>
      </c>
      <c r="H92" s="435" t="s">
        <v>264</v>
      </c>
      <c r="I92" s="435" t="s">
        <v>7</v>
      </c>
      <c r="J92" s="435" t="s">
        <v>299</v>
      </c>
      <c r="K92" s="437" t="s">
        <v>255</v>
      </c>
      <c r="L92" s="437" t="s">
        <v>255</v>
      </c>
      <c r="M92" s="435" t="s">
        <v>843</v>
      </c>
      <c r="N92" s="435" t="s">
        <v>829</v>
      </c>
      <c r="O92" s="435" t="s">
        <v>214</v>
      </c>
      <c r="R92" s="435" t="s">
        <v>448</v>
      </c>
      <c r="S92" s="435" t="s">
        <v>449</v>
      </c>
      <c r="AC92" s="435" t="s">
        <v>2</v>
      </c>
      <c r="AE92" s="438"/>
      <c r="AF92" s="438"/>
      <c r="AG92" s="438"/>
      <c r="AH92" s="438"/>
      <c r="AI92" s="438"/>
    </row>
    <row r="93" spans="4:35">
      <c r="D93" s="435" t="s">
        <v>79</v>
      </c>
      <c r="E93" s="435" t="s">
        <v>68</v>
      </c>
      <c r="F93" s="435" t="s">
        <v>274</v>
      </c>
      <c r="G93" s="435" t="s">
        <v>12</v>
      </c>
      <c r="H93" s="435" t="s">
        <v>264</v>
      </c>
      <c r="I93" s="435" t="s">
        <v>7</v>
      </c>
      <c r="J93" s="435" t="s">
        <v>299</v>
      </c>
      <c r="K93" s="437" t="s">
        <v>255</v>
      </c>
      <c r="L93" s="437" t="s">
        <v>255</v>
      </c>
      <c r="M93" s="435" t="s">
        <v>843</v>
      </c>
      <c r="N93" s="435" t="s">
        <v>829</v>
      </c>
      <c r="O93" s="435" t="s">
        <v>214</v>
      </c>
      <c r="R93" s="435" t="s">
        <v>450</v>
      </c>
      <c r="S93" s="435" t="s">
        <v>451</v>
      </c>
      <c r="AC93" s="435" t="s">
        <v>2</v>
      </c>
      <c r="AE93" s="438"/>
      <c r="AF93" s="438"/>
      <c r="AG93" s="438"/>
      <c r="AH93" s="438"/>
      <c r="AI93" s="438"/>
    </row>
    <row r="94" spans="4:35">
      <c r="D94" s="435" t="s">
        <v>79</v>
      </c>
      <c r="E94" s="435" t="s">
        <v>68</v>
      </c>
      <c r="F94" s="435" t="s">
        <v>274</v>
      </c>
      <c r="G94" s="435" t="s">
        <v>12</v>
      </c>
      <c r="H94" s="435" t="s">
        <v>264</v>
      </c>
      <c r="I94" s="435" t="s">
        <v>7</v>
      </c>
      <c r="J94" s="435" t="s">
        <v>299</v>
      </c>
      <c r="K94" s="437" t="s">
        <v>255</v>
      </c>
      <c r="L94" s="437" t="s">
        <v>255</v>
      </c>
      <c r="M94" s="435" t="s">
        <v>843</v>
      </c>
      <c r="N94" s="435" t="s">
        <v>829</v>
      </c>
      <c r="O94" s="435" t="s">
        <v>214</v>
      </c>
      <c r="R94" s="435" t="s">
        <v>452</v>
      </c>
      <c r="S94" s="435" t="s">
        <v>453</v>
      </c>
      <c r="AC94" s="435" t="s">
        <v>2</v>
      </c>
      <c r="AE94" s="438"/>
      <c r="AF94" s="438"/>
      <c r="AG94" s="438"/>
      <c r="AH94" s="438"/>
      <c r="AI94" s="438"/>
    </row>
    <row r="95" spans="4:35">
      <c r="D95" s="435" t="s">
        <v>79</v>
      </c>
      <c r="E95" s="435" t="s">
        <v>68</v>
      </c>
      <c r="F95" s="435" t="s">
        <v>274</v>
      </c>
      <c r="G95" s="435" t="s">
        <v>12</v>
      </c>
      <c r="H95" s="435" t="s">
        <v>264</v>
      </c>
      <c r="I95" s="435" t="s">
        <v>7</v>
      </c>
      <c r="J95" s="435" t="s">
        <v>299</v>
      </c>
      <c r="K95" s="437" t="s">
        <v>255</v>
      </c>
      <c r="L95" s="437" t="s">
        <v>255</v>
      </c>
      <c r="M95" s="435" t="s">
        <v>843</v>
      </c>
      <c r="N95" s="435" t="s">
        <v>829</v>
      </c>
      <c r="O95" s="435" t="s">
        <v>214</v>
      </c>
      <c r="R95" s="435" t="s">
        <v>454</v>
      </c>
      <c r="S95" s="435" t="s">
        <v>455</v>
      </c>
      <c r="AC95" s="435" t="s">
        <v>2</v>
      </c>
      <c r="AE95" s="438"/>
      <c r="AF95" s="438"/>
      <c r="AG95" s="438"/>
      <c r="AH95" s="438"/>
      <c r="AI95" s="438"/>
    </row>
    <row r="96" spans="4:35">
      <c r="D96" s="435" t="s">
        <v>79</v>
      </c>
      <c r="E96" s="435" t="s">
        <v>68</v>
      </c>
      <c r="F96" s="435" t="s">
        <v>274</v>
      </c>
      <c r="G96" s="435" t="s">
        <v>12</v>
      </c>
      <c r="H96" s="435" t="s">
        <v>264</v>
      </c>
      <c r="I96" s="435" t="s">
        <v>7</v>
      </c>
      <c r="J96" s="435" t="s">
        <v>299</v>
      </c>
      <c r="K96" s="437" t="s">
        <v>255</v>
      </c>
      <c r="L96" s="437" t="s">
        <v>307</v>
      </c>
      <c r="M96" s="435" t="s">
        <v>844</v>
      </c>
      <c r="N96" s="435" t="s">
        <v>829</v>
      </c>
      <c r="O96" s="435" t="s">
        <v>214</v>
      </c>
      <c r="R96" s="435" t="s">
        <v>456</v>
      </c>
      <c r="S96" s="435" t="s">
        <v>457</v>
      </c>
      <c r="AC96" s="435" t="s">
        <v>2</v>
      </c>
      <c r="AE96" s="438"/>
      <c r="AF96" s="438"/>
      <c r="AG96" s="438"/>
      <c r="AH96" s="438"/>
      <c r="AI96" s="438"/>
    </row>
    <row r="97" spans="4:35">
      <c r="D97" s="435" t="s">
        <v>79</v>
      </c>
      <c r="E97" s="435" t="s">
        <v>68</v>
      </c>
      <c r="F97" s="435" t="s">
        <v>274</v>
      </c>
      <c r="G97" s="435" t="s">
        <v>12</v>
      </c>
      <c r="H97" s="435" t="s">
        <v>264</v>
      </c>
      <c r="I97" s="435" t="s">
        <v>7</v>
      </c>
      <c r="J97" s="435" t="s">
        <v>299</v>
      </c>
      <c r="K97" s="437" t="s">
        <v>255</v>
      </c>
      <c r="L97" s="437" t="s">
        <v>307</v>
      </c>
      <c r="M97" s="435" t="s">
        <v>844</v>
      </c>
      <c r="N97" s="435" t="s">
        <v>829</v>
      </c>
      <c r="O97" s="435" t="s">
        <v>214</v>
      </c>
      <c r="R97" s="435" t="s">
        <v>458</v>
      </c>
      <c r="S97" s="435" t="s">
        <v>459</v>
      </c>
      <c r="AC97" s="435" t="s">
        <v>2</v>
      </c>
      <c r="AE97" s="438"/>
      <c r="AF97" s="438"/>
      <c r="AG97" s="438"/>
      <c r="AH97" s="438"/>
      <c r="AI97" s="438"/>
    </row>
    <row r="98" spans="4:35">
      <c r="D98" s="435" t="s">
        <v>79</v>
      </c>
      <c r="E98" s="435" t="s">
        <v>68</v>
      </c>
      <c r="F98" s="435" t="s">
        <v>274</v>
      </c>
      <c r="G98" s="435" t="s">
        <v>12</v>
      </c>
      <c r="H98" s="435" t="s">
        <v>264</v>
      </c>
      <c r="I98" s="435" t="s">
        <v>7</v>
      </c>
      <c r="J98" s="435" t="s">
        <v>299</v>
      </c>
      <c r="K98" s="437" t="s">
        <v>255</v>
      </c>
      <c r="L98" s="437" t="s">
        <v>307</v>
      </c>
      <c r="M98" s="435" t="s">
        <v>844</v>
      </c>
      <c r="N98" s="435" t="s">
        <v>829</v>
      </c>
      <c r="O98" s="435" t="s">
        <v>214</v>
      </c>
      <c r="R98" s="435" t="s">
        <v>460</v>
      </c>
      <c r="S98" s="435" t="s">
        <v>461</v>
      </c>
      <c r="AC98" s="435" t="s">
        <v>2</v>
      </c>
      <c r="AE98" s="438"/>
      <c r="AF98" s="438"/>
      <c r="AG98" s="438"/>
      <c r="AH98" s="438"/>
      <c r="AI98" s="438"/>
    </row>
    <row r="99" spans="4:35">
      <c r="D99" s="435" t="s">
        <v>79</v>
      </c>
      <c r="E99" s="435" t="s">
        <v>68</v>
      </c>
      <c r="F99" s="435" t="s">
        <v>274</v>
      </c>
      <c r="G99" s="435" t="s">
        <v>12</v>
      </c>
      <c r="H99" s="435" t="s">
        <v>264</v>
      </c>
      <c r="I99" s="435" t="s">
        <v>7</v>
      </c>
      <c r="J99" s="435" t="s">
        <v>299</v>
      </c>
      <c r="K99" s="437" t="s">
        <v>255</v>
      </c>
      <c r="L99" s="437" t="s">
        <v>307</v>
      </c>
      <c r="M99" s="435" t="s">
        <v>844</v>
      </c>
      <c r="N99" s="435" t="s">
        <v>829</v>
      </c>
      <c r="O99" s="435" t="s">
        <v>214</v>
      </c>
      <c r="R99" s="435" t="s">
        <v>462</v>
      </c>
      <c r="S99" s="435" t="s">
        <v>463</v>
      </c>
      <c r="AC99" s="435" t="s">
        <v>2</v>
      </c>
      <c r="AE99" s="438"/>
      <c r="AF99" s="438"/>
      <c r="AG99" s="438"/>
      <c r="AH99" s="438"/>
      <c r="AI99" s="438"/>
    </row>
    <row r="100" spans="4:35">
      <c r="D100" s="435" t="s">
        <v>79</v>
      </c>
      <c r="E100" s="435" t="s">
        <v>68</v>
      </c>
      <c r="F100" s="435" t="s">
        <v>274</v>
      </c>
      <c r="G100" s="435" t="s">
        <v>12</v>
      </c>
      <c r="H100" s="435" t="s">
        <v>264</v>
      </c>
      <c r="I100" s="435" t="s">
        <v>7</v>
      </c>
      <c r="J100" s="435" t="s">
        <v>299</v>
      </c>
      <c r="K100" s="437" t="s">
        <v>255</v>
      </c>
      <c r="L100" s="437" t="s">
        <v>307</v>
      </c>
      <c r="M100" s="435" t="s">
        <v>844</v>
      </c>
      <c r="N100" s="435" t="s">
        <v>829</v>
      </c>
      <c r="O100" s="435" t="s">
        <v>214</v>
      </c>
      <c r="R100" s="435" t="s">
        <v>464</v>
      </c>
      <c r="S100" s="435" t="s">
        <v>465</v>
      </c>
      <c r="AC100" s="435" t="s">
        <v>2</v>
      </c>
      <c r="AE100" s="438"/>
      <c r="AF100" s="438"/>
      <c r="AG100" s="438"/>
      <c r="AH100" s="438"/>
      <c r="AI100" s="438"/>
    </row>
    <row r="101" spans="4:35">
      <c r="D101" s="435" t="s">
        <v>79</v>
      </c>
      <c r="E101" s="435" t="s">
        <v>68</v>
      </c>
      <c r="F101" s="435" t="s">
        <v>274</v>
      </c>
      <c r="G101" s="435" t="s">
        <v>12</v>
      </c>
      <c r="H101" s="435" t="s">
        <v>264</v>
      </c>
      <c r="I101" s="435" t="s">
        <v>7</v>
      </c>
      <c r="J101" s="435" t="s">
        <v>299</v>
      </c>
      <c r="K101" s="437" t="s">
        <v>255</v>
      </c>
      <c r="L101" s="437" t="s">
        <v>307</v>
      </c>
      <c r="M101" s="435" t="s">
        <v>844</v>
      </c>
      <c r="N101" s="435" t="s">
        <v>829</v>
      </c>
      <c r="O101" s="435" t="s">
        <v>214</v>
      </c>
      <c r="R101" s="435" t="s">
        <v>466</v>
      </c>
      <c r="S101" s="435" t="s">
        <v>467</v>
      </c>
      <c r="AC101" s="435" t="s">
        <v>2</v>
      </c>
      <c r="AE101" s="438"/>
      <c r="AF101" s="438"/>
      <c r="AG101" s="438"/>
      <c r="AH101" s="438"/>
      <c r="AI101" s="438"/>
    </row>
    <row r="102" spans="4:35">
      <c r="D102" s="435" t="s">
        <v>79</v>
      </c>
      <c r="E102" s="435" t="s">
        <v>68</v>
      </c>
      <c r="F102" s="435" t="s">
        <v>274</v>
      </c>
      <c r="G102" s="435" t="s">
        <v>12</v>
      </c>
      <c r="H102" s="435" t="s">
        <v>264</v>
      </c>
      <c r="I102" s="435" t="s">
        <v>7</v>
      </c>
      <c r="J102" s="435" t="s">
        <v>299</v>
      </c>
      <c r="K102" s="437" t="s">
        <v>255</v>
      </c>
      <c r="L102" s="437" t="s">
        <v>307</v>
      </c>
      <c r="M102" s="435" t="s">
        <v>844</v>
      </c>
      <c r="N102" s="435" t="s">
        <v>829</v>
      </c>
      <c r="O102" s="435" t="s">
        <v>214</v>
      </c>
      <c r="R102" s="435" t="s">
        <v>468</v>
      </c>
      <c r="S102" s="435" t="s">
        <v>469</v>
      </c>
      <c r="AC102" s="435" t="s">
        <v>2</v>
      </c>
      <c r="AE102" s="438"/>
      <c r="AF102" s="438"/>
      <c r="AG102" s="438"/>
      <c r="AH102" s="438"/>
      <c r="AI102" s="438"/>
    </row>
    <row r="103" spans="4:35">
      <c r="D103" s="435" t="s">
        <v>79</v>
      </c>
      <c r="E103" s="435" t="s">
        <v>68</v>
      </c>
      <c r="F103" s="435" t="s">
        <v>274</v>
      </c>
      <c r="G103" s="435" t="s">
        <v>12</v>
      </c>
      <c r="H103" s="435" t="s">
        <v>264</v>
      </c>
      <c r="I103" s="435" t="s">
        <v>7</v>
      </c>
      <c r="J103" s="435" t="s">
        <v>299</v>
      </c>
      <c r="K103" s="437" t="s">
        <v>255</v>
      </c>
      <c r="L103" s="437" t="s">
        <v>307</v>
      </c>
      <c r="M103" s="435" t="s">
        <v>845</v>
      </c>
      <c r="N103" s="435" t="s">
        <v>829</v>
      </c>
      <c r="O103" s="435" t="s">
        <v>214</v>
      </c>
      <c r="R103" s="435" t="s">
        <v>470</v>
      </c>
      <c r="S103" s="435" t="s">
        <v>471</v>
      </c>
      <c r="AC103" s="435" t="s">
        <v>2</v>
      </c>
      <c r="AE103" s="438"/>
      <c r="AF103" s="438"/>
      <c r="AG103" s="438"/>
      <c r="AH103" s="438"/>
      <c r="AI103" s="438"/>
    </row>
    <row r="104" spans="4:35">
      <c r="D104" s="435" t="s">
        <v>79</v>
      </c>
      <c r="E104" s="435" t="s">
        <v>68</v>
      </c>
      <c r="F104" s="435" t="s">
        <v>274</v>
      </c>
      <c r="G104" s="435" t="s">
        <v>12</v>
      </c>
      <c r="H104" s="435" t="s">
        <v>264</v>
      </c>
      <c r="I104" s="435" t="s">
        <v>7</v>
      </c>
      <c r="J104" s="435" t="s">
        <v>299</v>
      </c>
      <c r="K104" s="437" t="s">
        <v>255</v>
      </c>
      <c r="L104" s="437" t="s">
        <v>307</v>
      </c>
      <c r="M104" s="435" t="s">
        <v>845</v>
      </c>
      <c r="N104" s="435" t="s">
        <v>829</v>
      </c>
      <c r="O104" s="435" t="s">
        <v>214</v>
      </c>
      <c r="R104" s="435" t="s">
        <v>472</v>
      </c>
      <c r="S104" s="435" t="s">
        <v>473</v>
      </c>
      <c r="AC104" s="435" t="s">
        <v>2</v>
      </c>
      <c r="AE104" s="438"/>
      <c r="AF104" s="438"/>
      <c r="AG104" s="438"/>
      <c r="AH104" s="438"/>
      <c r="AI104" s="438"/>
    </row>
    <row r="105" spans="4:35">
      <c r="D105" s="435" t="s">
        <v>79</v>
      </c>
      <c r="E105" s="435" t="s">
        <v>68</v>
      </c>
      <c r="F105" s="435" t="s">
        <v>274</v>
      </c>
      <c r="G105" s="435" t="s">
        <v>12</v>
      </c>
      <c r="H105" s="435" t="s">
        <v>264</v>
      </c>
      <c r="I105" s="435" t="s">
        <v>7</v>
      </c>
      <c r="J105" s="435" t="s">
        <v>299</v>
      </c>
      <c r="K105" s="437" t="s">
        <v>255</v>
      </c>
      <c r="L105" s="437" t="s">
        <v>307</v>
      </c>
      <c r="M105" s="435" t="s">
        <v>845</v>
      </c>
      <c r="N105" s="435" t="s">
        <v>829</v>
      </c>
      <c r="O105" s="435" t="s">
        <v>214</v>
      </c>
      <c r="R105" s="435" t="s">
        <v>474</v>
      </c>
      <c r="S105" s="435" t="s">
        <v>475</v>
      </c>
      <c r="AC105" s="435" t="s">
        <v>2</v>
      </c>
      <c r="AE105" s="438"/>
      <c r="AF105" s="438"/>
      <c r="AG105" s="438"/>
      <c r="AH105" s="438"/>
      <c r="AI105" s="438"/>
    </row>
    <row r="106" spans="4:35">
      <c r="D106" s="435" t="s">
        <v>79</v>
      </c>
      <c r="E106" s="435" t="s">
        <v>68</v>
      </c>
      <c r="F106" s="435" t="s">
        <v>274</v>
      </c>
      <c r="G106" s="435" t="s">
        <v>12</v>
      </c>
      <c r="H106" s="435" t="s">
        <v>264</v>
      </c>
      <c r="I106" s="435" t="s">
        <v>7</v>
      </c>
      <c r="J106" s="435" t="s">
        <v>299</v>
      </c>
      <c r="K106" s="437" t="s">
        <v>255</v>
      </c>
      <c r="L106" s="437" t="s">
        <v>307</v>
      </c>
      <c r="M106" s="435" t="s">
        <v>845</v>
      </c>
      <c r="N106" s="435" t="s">
        <v>829</v>
      </c>
      <c r="O106" s="435" t="s">
        <v>214</v>
      </c>
      <c r="R106" s="435" t="s">
        <v>476</v>
      </c>
      <c r="S106" s="435" t="s">
        <v>477</v>
      </c>
      <c r="AC106" s="435" t="s">
        <v>2</v>
      </c>
      <c r="AE106" s="438"/>
      <c r="AF106" s="438"/>
      <c r="AG106" s="438"/>
      <c r="AH106" s="438"/>
      <c r="AI106" s="438"/>
    </row>
    <row r="107" spans="4:35">
      <c r="D107" s="435" t="s">
        <v>79</v>
      </c>
      <c r="E107" s="435" t="s">
        <v>68</v>
      </c>
      <c r="F107" s="435" t="s">
        <v>274</v>
      </c>
      <c r="G107" s="435" t="s">
        <v>12</v>
      </c>
      <c r="H107" s="435" t="s">
        <v>264</v>
      </c>
      <c r="I107" s="435" t="s">
        <v>7</v>
      </c>
      <c r="J107" s="435" t="s">
        <v>299</v>
      </c>
      <c r="K107" s="437" t="s">
        <v>255</v>
      </c>
      <c r="L107" s="437" t="s">
        <v>307</v>
      </c>
      <c r="M107" s="435" t="s">
        <v>845</v>
      </c>
      <c r="N107" s="435" t="s">
        <v>829</v>
      </c>
      <c r="O107" s="435" t="s">
        <v>214</v>
      </c>
      <c r="R107" s="435" t="s">
        <v>478</v>
      </c>
      <c r="S107" s="435" t="s">
        <v>479</v>
      </c>
      <c r="AC107" s="435" t="s">
        <v>2</v>
      </c>
      <c r="AE107" s="438"/>
      <c r="AF107" s="438"/>
      <c r="AG107" s="438"/>
      <c r="AH107" s="438"/>
      <c r="AI107" s="438"/>
    </row>
    <row r="108" spans="4:35">
      <c r="D108" s="435" t="s">
        <v>79</v>
      </c>
      <c r="E108" s="435" t="s">
        <v>68</v>
      </c>
      <c r="F108" s="435" t="s">
        <v>274</v>
      </c>
      <c r="G108" s="435" t="s">
        <v>12</v>
      </c>
      <c r="H108" s="435" t="s">
        <v>264</v>
      </c>
      <c r="I108" s="435" t="s">
        <v>7</v>
      </c>
      <c r="J108" s="435" t="s">
        <v>299</v>
      </c>
      <c r="K108" s="437" t="s">
        <v>255</v>
      </c>
      <c r="L108" s="437" t="s">
        <v>308</v>
      </c>
      <c r="M108" s="435" t="s">
        <v>846</v>
      </c>
      <c r="N108" s="435" t="s">
        <v>829</v>
      </c>
      <c r="O108" s="435" t="s">
        <v>214</v>
      </c>
      <c r="R108" s="435" t="s">
        <v>480</v>
      </c>
      <c r="S108" s="435" t="s">
        <v>481</v>
      </c>
      <c r="AC108" s="435" t="s">
        <v>2</v>
      </c>
      <c r="AE108" s="438"/>
      <c r="AF108" s="438"/>
      <c r="AG108" s="438"/>
      <c r="AH108" s="438"/>
      <c r="AI108" s="438"/>
    </row>
    <row r="109" spans="4:35">
      <c r="D109" s="435" t="s">
        <v>79</v>
      </c>
      <c r="E109" s="435" t="s">
        <v>68</v>
      </c>
      <c r="F109" s="435" t="s">
        <v>274</v>
      </c>
      <c r="G109" s="435" t="s">
        <v>12</v>
      </c>
      <c r="H109" s="435" t="s">
        <v>264</v>
      </c>
      <c r="I109" s="435" t="s">
        <v>7</v>
      </c>
      <c r="J109" s="435" t="s">
        <v>299</v>
      </c>
      <c r="K109" s="437" t="s">
        <v>255</v>
      </c>
      <c r="L109" s="437" t="s">
        <v>308</v>
      </c>
      <c r="M109" s="435" t="s">
        <v>846</v>
      </c>
      <c r="N109" s="435" t="s">
        <v>829</v>
      </c>
      <c r="O109" s="435" t="s">
        <v>214</v>
      </c>
      <c r="R109" s="435" t="s">
        <v>482</v>
      </c>
      <c r="S109" s="435" t="s">
        <v>483</v>
      </c>
      <c r="AC109" s="435" t="s">
        <v>2</v>
      </c>
      <c r="AE109" s="438"/>
      <c r="AF109" s="438"/>
      <c r="AG109" s="438"/>
      <c r="AH109" s="438"/>
      <c r="AI109" s="438"/>
    </row>
    <row r="110" spans="4:35">
      <c r="D110" s="435" t="s">
        <v>79</v>
      </c>
      <c r="E110" s="435" t="s">
        <v>68</v>
      </c>
      <c r="F110" s="435" t="s">
        <v>274</v>
      </c>
      <c r="G110" s="435" t="s">
        <v>12</v>
      </c>
      <c r="H110" s="435" t="s">
        <v>264</v>
      </c>
      <c r="I110" s="435" t="s">
        <v>7</v>
      </c>
      <c r="J110" s="435" t="s">
        <v>299</v>
      </c>
      <c r="K110" s="437" t="s">
        <v>255</v>
      </c>
      <c r="L110" s="437" t="s">
        <v>308</v>
      </c>
      <c r="M110" s="435" t="s">
        <v>846</v>
      </c>
      <c r="N110" s="435" t="s">
        <v>829</v>
      </c>
      <c r="O110" s="435" t="s">
        <v>214</v>
      </c>
      <c r="R110" s="435" t="s">
        <v>484</v>
      </c>
      <c r="S110" s="435" t="s">
        <v>485</v>
      </c>
      <c r="AC110" s="435" t="s">
        <v>2</v>
      </c>
      <c r="AE110" s="438"/>
      <c r="AF110" s="438"/>
      <c r="AG110" s="438"/>
      <c r="AH110" s="438"/>
      <c r="AI110" s="438"/>
    </row>
    <row r="111" spans="4:35">
      <c r="D111" s="435" t="s">
        <v>79</v>
      </c>
      <c r="E111" s="435" t="s">
        <v>68</v>
      </c>
      <c r="F111" s="435" t="s">
        <v>274</v>
      </c>
      <c r="G111" s="435" t="s">
        <v>12</v>
      </c>
      <c r="H111" s="435" t="s">
        <v>264</v>
      </c>
      <c r="I111" s="435" t="s">
        <v>7</v>
      </c>
      <c r="J111" s="435" t="s">
        <v>299</v>
      </c>
      <c r="K111" s="437" t="s">
        <v>255</v>
      </c>
      <c r="L111" s="437" t="s">
        <v>308</v>
      </c>
      <c r="M111" s="435" t="s">
        <v>846</v>
      </c>
      <c r="N111" s="435" t="s">
        <v>829</v>
      </c>
      <c r="O111" s="435" t="s">
        <v>214</v>
      </c>
      <c r="R111" s="435" t="s">
        <v>486</v>
      </c>
      <c r="S111" s="435" t="s">
        <v>487</v>
      </c>
      <c r="AC111" s="435" t="s">
        <v>2</v>
      </c>
      <c r="AE111" s="438"/>
      <c r="AF111" s="438"/>
      <c r="AG111" s="438"/>
      <c r="AH111" s="438"/>
      <c r="AI111" s="438"/>
    </row>
    <row r="112" spans="4:35">
      <c r="D112" s="435" t="s">
        <v>79</v>
      </c>
      <c r="E112" s="435" t="s">
        <v>68</v>
      </c>
      <c r="F112" s="435" t="s">
        <v>274</v>
      </c>
      <c r="G112" s="435" t="s">
        <v>12</v>
      </c>
      <c r="H112" s="435" t="s">
        <v>264</v>
      </c>
      <c r="I112" s="435" t="s">
        <v>7</v>
      </c>
      <c r="J112" s="435" t="s">
        <v>299</v>
      </c>
      <c r="K112" s="437" t="s">
        <v>255</v>
      </c>
      <c r="L112" s="437" t="s">
        <v>308</v>
      </c>
      <c r="M112" s="435" t="s">
        <v>846</v>
      </c>
      <c r="N112" s="435" t="s">
        <v>829</v>
      </c>
      <c r="O112" s="435" t="s">
        <v>214</v>
      </c>
      <c r="R112" s="435" t="s">
        <v>488</v>
      </c>
      <c r="S112" s="435" t="s">
        <v>489</v>
      </c>
      <c r="AC112" s="435" t="s">
        <v>2</v>
      </c>
      <c r="AE112" s="438"/>
      <c r="AF112" s="438"/>
      <c r="AG112" s="438"/>
      <c r="AH112" s="438"/>
      <c r="AI112" s="438"/>
    </row>
    <row r="113" spans="4:35">
      <c r="D113" s="435" t="s">
        <v>79</v>
      </c>
      <c r="E113" s="435" t="s">
        <v>68</v>
      </c>
      <c r="F113" s="435" t="s">
        <v>274</v>
      </c>
      <c r="G113" s="435" t="s">
        <v>12</v>
      </c>
      <c r="H113" s="435" t="s">
        <v>264</v>
      </c>
      <c r="I113" s="435" t="s">
        <v>7</v>
      </c>
      <c r="J113" s="435" t="s">
        <v>299</v>
      </c>
      <c r="K113" s="437" t="s">
        <v>255</v>
      </c>
      <c r="L113" s="437" t="s">
        <v>308</v>
      </c>
      <c r="M113" s="435" t="s">
        <v>846</v>
      </c>
      <c r="N113" s="435" t="s">
        <v>829</v>
      </c>
      <c r="O113" s="435" t="s">
        <v>214</v>
      </c>
      <c r="R113" s="435" t="s">
        <v>490</v>
      </c>
      <c r="S113" s="435" t="s">
        <v>491</v>
      </c>
      <c r="AC113" s="435" t="s">
        <v>2</v>
      </c>
      <c r="AE113" s="438"/>
      <c r="AF113" s="438"/>
      <c r="AG113" s="438"/>
      <c r="AH113" s="438"/>
      <c r="AI113" s="438"/>
    </row>
    <row r="114" spans="4:35">
      <c r="D114" s="435" t="s">
        <v>79</v>
      </c>
      <c r="E114" s="435" t="s">
        <v>68</v>
      </c>
      <c r="F114" s="435" t="s">
        <v>274</v>
      </c>
      <c r="G114" s="435" t="s">
        <v>12</v>
      </c>
      <c r="H114" s="435" t="s">
        <v>264</v>
      </c>
      <c r="I114" s="435" t="s">
        <v>7</v>
      </c>
      <c r="J114" s="435" t="s">
        <v>299</v>
      </c>
      <c r="K114" s="437" t="s">
        <v>255</v>
      </c>
      <c r="L114" s="437" t="s">
        <v>308</v>
      </c>
      <c r="M114" s="435" t="s">
        <v>846</v>
      </c>
      <c r="N114" s="436" t="s">
        <v>2870</v>
      </c>
      <c r="O114" s="435" t="s">
        <v>830</v>
      </c>
      <c r="R114" s="435" t="s">
        <v>492</v>
      </c>
      <c r="S114" s="435" t="s">
        <v>493</v>
      </c>
      <c r="AC114" s="435" t="s">
        <v>2</v>
      </c>
      <c r="AE114" s="438"/>
      <c r="AF114" s="438"/>
      <c r="AG114" s="438"/>
      <c r="AH114" s="438"/>
      <c r="AI114" s="438"/>
    </row>
    <row r="115" spans="4:35">
      <c r="D115" s="435" t="s">
        <v>79</v>
      </c>
      <c r="E115" s="435" t="s">
        <v>68</v>
      </c>
      <c r="F115" s="435" t="s">
        <v>274</v>
      </c>
      <c r="G115" s="435" t="s">
        <v>12</v>
      </c>
      <c r="H115" s="435" t="s">
        <v>264</v>
      </c>
      <c r="I115" s="435" t="s">
        <v>7</v>
      </c>
      <c r="J115" s="435" t="s">
        <v>299</v>
      </c>
      <c r="K115" s="437" t="s">
        <v>255</v>
      </c>
      <c r="L115" s="437" t="s">
        <v>308</v>
      </c>
      <c r="M115" s="435" t="s">
        <v>846</v>
      </c>
      <c r="N115" s="435" t="s">
        <v>829</v>
      </c>
      <c r="O115" s="435" t="s">
        <v>214</v>
      </c>
      <c r="R115" s="435" t="s">
        <v>494</v>
      </c>
      <c r="S115" s="435" t="s">
        <v>495</v>
      </c>
      <c r="AC115" s="435" t="s">
        <v>2</v>
      </c>
      <c r="AE115" s="438"/>
      <c r="AF115" s="438"/>
      <c r="AG115" s="438"/>
      <c r="AH115" s="438"/>
      <c r="AI115" s="438"/>
    </row>
    <row r="116" spans="4:35">
      <c r="D116" s="435" t="s">
        <v>79</v>
      </c>
      <c r="E116" s="435" t="s">
        <v>68</v>
      </c>
      <c r="F116" s="435" t="s">
        <v>274</v>
      </c>
      <c r="G116" s="435" t="s">
        <v>12</v>
      </c>
      <c r="H116" s="435" t="s">
        <v>264</v>
      </c>
      <c r="I116" s="435" t="s">
        <v>7</v>
      </c>
      <c r="J116" s="435" t="s">
        <v>299</v>
      </c>
      <c r="K116" s="437" t="s">
        <v>255</v>
      </c>
      <c r="L116" s="437" t="s">
        <v>308</v>
      </c>
      <c r="M116" s="435" t="s">
        <v>846</v>
      </c>
      <c r="N116" s="435" t="s">
        <v>829</v>
      </c>
      <c r="O116" s="435" t="s">
        <v>214</v>
      </c>
      <c r="R116" s="435" t="s">
        <v>496</v>
      </c>
      <c r="S116" s="435" t="s">
        <v>497</v>
      </c>
      <c r="AC116" s="435" t="s">
        <v>2</v>
      </c>
      <c r="AE116" s="438"/>
      <c r="AF116" s="438"/>
      <c r="AG116" s="438"/>
      <c r="AH116" s="438"/>
      <c r="AI116" s="438"/>
    </row>
    <row r="117" spans="4:35">
      <c r="D117" s="435" t="s">
        <v>79</v>
      </c>
      <c r="E117" s="435" t="s">
        <v>68</v>
      </c>
      <c r="F117" s="435" t="s">
        <v>274</v>
      </c>
      <c r="G117" s="435" t="s">
        <v>12</v>
      </c>
      <c r="H117" s="435" t="s">
        <v>264</v>
      </c>
      <c r="I117" s="435" t="s">
        <v>7</v>
      </c>
      <c r="J117" s="435" t="s">
        <v>299</v>
      </c>
      <c r="K117" s="437" t="s">
        <v>255</v>
      </c>
      <c r="L117" s="437" t="s">
        <v>308</v>
      </c>
      <c r="M117" s="435" t="s">
        <v>846</v>
      </c>
      <c r="N117" s="436" t="s">
        <v>2870</v>
      </c>
      <c r="O117" s="435" t="s">
        <v>830</v>
      </c>
      <c r="R117" s="435" t="s">
        <v>498</v>
      </c>
      <c r="S117" s="435" t="s">
        <v>499</v>
      </c>
      <c r="AC117" s="435" t="s">
        <v>2</v>
      </c>
      <c r="AE117" s="438"/>
      <c r="AF117" s="438"/>
      <c r="AG117" s="438"/>
      <c r="AH117" s="438"/>
      <c r="AI117" s="438"/>
    </row>
    <row r="118" spans="4:35">
      <c r="D118" s="435" t="s">
        <v>79</v>
      </c>
      <c r="E118" s="435" t="s">
        <v>68</v>
      </c>
      <c r="F118" s="435" t="s">
        <v>274</v>
      </c>
      <c r="G118" s="435" t="s">
        <v>12</v>
      </c>
      <c r="H118" s="435" t="s">
        <v>264</v>
      </c>
      <c r="I118" s="435" t="s">
        <v>7</v>
      </c>
      <c r="J118" s="435" t="s">
        <v>299</v>
      </c>
      <c r="K118" s="437" t="s">
        <v>255</v>
      </c>
      <c r="L118" s="437" t="s">
        <v>308</v>
      </c>
      <c r="M118" s="435" t="s">
        <v>846</v>
      </c>
      <c r="N118" s="435" t="s">
        <v>829</v>
      </c>
      <c r="O118" s="435" t="s">
        <v>214</v>
      </c>
      <c r="R118" s="435" t="s">
        <v>500</v>
      </c>
      <c r="S118" s="435" t="s">
        <v>501</v>
      </c>
      <c r="AC118" s="435" t="s">
        <v>2</v>
      </c>
      <c r="AE118" s="438"/>
      <c r="AF118" s="438"/>
      <c r="AG118" s="438"/>
      <c r="AH118" s="438"/>
      <c r="AI118" s="438"/>
    </row>
    <row r="119" spans="4:35">
      <c r="D119" s="435" t="s">
        <v>79</v>
      </c>
      <c r="E119" s="435" t="s">
        <v>68</v>
      </c>
      <c r="F119" s="435" t="s">
        <v>274</v>
      </c>
      <c r="G119" s="435" t="s">
        <v>12</v>
      </c>
      <c r="H119" s="435" t="s">
        <v>264</v>
      </c>
      <c r="I119" s="435" t="s">
        <v>7</v>
      </c>
      <c r="J119" s="435" t="s">
        <v>299</v>
      </c>
      <c r="K119" s="437" t="s">
        <v>255</v>
      </c>
      <c r="L119" s="437" t="s">
        <v>308</v>
      </c>
      <c r="M119" s="435" t="s">
        <v>846</v>
      </c>
      <c r="N119" s="435" t="s">
        <v>829</v>
      </c>
      <c r="O119" s="435" t="s">
        <v>214</v>
      </c>
      <c r="R119" s="435" t="s">
        <v>502</v>
      </c>
      <c r="S119" s="435" t="s">
        <v>503</v>
      </c>
      <c r="AC119" s="435" t="s">
        <v>2</v>
      </c>
      <c r="AE119" s="438"/>
      <c r="AF119" s="438"/>
      <c r="AG119" s="438"/>
      <c r="AH119" s="438"/>
      <c r="AI119" s="438"/>
    </row>
    <row r="120" spans="4:35">
      <c r="D120" s="435" t="s">
        <v>79</v>
      </c>
      <c r="E120" s="435" t="s">
        <v>68</v>
      </c>
      <c r="F120" s="435" t="s">
        <v>274</v>
      </c>
      <c r="G120" s="435" t="s">
        <v>12</v>
      </c>
      <c r="H120" s="435" t="s">
        <v>264</v>
      </c>
      <c r="I120" s="435" t="s">
        <v>7</v>
      </c>
      <c r="J120" s="435" t="s">
        <v>299</v>
      </c>
      <c r="K120" s="437" t="s">
        <v>255</v>
      </c>
      <c r="L120" s="437" t="s">
        <v>308</v>
      </c>
      <c r="M120" s="435" t="s">
        <v>846</v>
      </c>
      <c r="N120" s="436" t="s">
        <v>2870</v>
      </c>
      <c r="O120" s="435" t="s">
        <v>830</v>
      </c>
      <c r="R120" s="435" t="s">
        <v>504</v>
      </c>
      <c r="S120" s="435" t="s">
        <v>485</v>
      </c>
      <c r="AC120" s="435" t="s">
        <v>2</v>
      </c>
      <c r="AE120" s="438"/>
      <c r="AF120" s="438"/>
      <c r="AG120" s="438"/>
      <c r="AH120" s="438"/>
      <c r="AI120" s="438"/>
    </row>
    <row r="121" spans="4:35">
      <c r="D121" s="435" t="s">
        <v>79</v>
      </c>
      <c r="E121" s="435" t="s">
        <v>68</v>
      </c>
      <c r="F121" s="435" t="s">
        <v>274</v>
      </c>
      <c r="G121" s="435" t="s">
        <v>12</v>
      </c>
      <c r="H121" s="435" t="s">
        <v>264</v>
      </c>
      <c r="I121" s="435" t="s">
        <v>7</v>
      </c>
      <c r="J121" s="435" t="s">
        <v>299</v>
      </c>
      <c r="K121" s="437" t="s">
        <v>255</v>
      </c>
      <c r="L121" s="437" t="s">
        <v>308</v>
      </c>
      <c r="M121" s="435" t="s">
        <v>846</v>
      </c>
      <c r="N121" s="436" t="s">
        <v>2870</v>
      </c>
      <c r="O121" s="435" t="s">
        <v>830</v>
      </c>
      <c r="R121" s="435" t="s">
        <v>505</v>
      </c>
      <c r="S121" s="435" t="s">
        <v>499</v>
      </c>
      <c r="AC121" s="435" t="s">
        <v>2</v>
      </c>
      <c r="AE121" s="438"/>
      <c r="AF121" s="438"/>
      <c r="AG121" s="438"/>
      <c r="AH121" s="438"/>
      <c r="AI121" s="438"/>
    </row>
    <row r="122" spans="4:35">
      <c r="D122" s="435" t="s">
        <v>79</v>
      </c>
      <c r="E122" s="435" t="s">
        <v>68</v>
      </c>
      <c r="F122" s="435" t="s">
        <v>274</v>
      </c>
      <c r="G122" s="435" t="s">
        <v>12</v>
      </c>
      <c r="H122" s="435" t="s">
        <v>264</v>
      </c>
      <c r="I122" s="435" t="s">
        <v>7</v>
      </c>
      <c r="J122" s="435" t="s">
        <v>299</v>
      </c>
      <c r="K122" s="437" t="s">
        <v>255</v>
      </c>
      <c r="L122" s="437" t="s">
        <v>308</v>
      </c>
      <c r="M122" s="435" t="s">
        <v>846</v>
      </c>
      <c r="N122" s="436" t="s">
        <v>2870</v>
      </c>
      <c r="O122" s="435" t="s">
        <v>830</v>
      </c>
      <c r="R122" s="435" t="s">
        <v>506</v>
      </c>
      <c r="S122" s="435" t="s">
        <v>503</v>
      </c>
      <c r="AC122" s="435" t="s">
        <v>2</v>
      </c>
      <c r="AE122" s="438"/>
      <c r="AF122" s="438"/>
      <c r="AG122" s="438"/>
      <c r="AH122" s="438"/>
      <c r="AI122" s="438"/>
    </row>
    <row r="123" spans="4:35">
      <c r="D123" s="435" t="s">
        <v>79</v>
      </c>
      <c r="E123" s="435" t="s">
        <v>68</v>
      </c>
      <c r="F123" s="435" t="s">
        <v>274</v>
      </c>
      <c r="G123" s="435" t="s">
        <v>12</v>
      </c>
      <c r="H123" s="435" t="s">
        <v>264</v>
      </c>
      <c r="I123" s="435" t="s">
        <v>7</v>
      </c>
      <c r="J123" s="435" t="s">
        <v>299</v>
      </c>
      <c r="K123" s="437" t="s">
        <v>255</v>
      </c>
      <c r="L123" s="437" t="s">
        <v>308</v>
      </c>
      <c r="M123" s="435" t="s">
        <v>846</v>
      </c>
      <c r="N123" s="436" t="s">
        <v>2870</v>
      </c>
      <c r="O123" s="435" t="s">
        <v>830</v>
      </c>
      <c r="R123" s="435" t="s">
        <v>507</v>
      </c>
      <c r="S123" s="435" t="s">
        <v>483</v>
      </c>
      <c r="AC123" s="435" t="s">
        <v>2</v>
      </c>
      <c r="AE123" s="438"/>
      <c r="AF123" s="438"/>
      <c r="AG123" s="438"/>
      <c r="AH123" s="438"/>
      <c r="AI123" s="438"/>
    </row>
    <row r="124" spans="4:35">
      <c r="D124" s="435" t="s">
        <v>79</v>
      </c>
      <c r="E124" s="435" t="s">
        <v>68</v>
      </c>
      <c r="F124" s="435" t="s">
        <v>274</v>
      </c>
      <c r="G124" s="435" t="s">
        <v>12</v>
      </c>
      <c r="H124" s="435" t="s">
        <v>264</v>
      </c>
      <c r="I124" s="435" t="s">
        <v>7</v>
      </c>
      <c r="J124" s="435" t="s">
        <v>299</v>
      </c>
      <c r="K124" s="437" t="s">
        <v>255</v>
      </c>
      <c r="L124" s="437" t="s">
        <v>308</v>
      </c>
      <c r="M124" s="435" t="s">
        <v>846</v>
      </c>
      <c r="N124" s="436" t="s">
        <v>2870</v>
      </c>
      <c r="O124" s="435" t="s">
        <v>830</v>
      </c>
      <c r="R124" s="435" t="s">
        <v>508</v>
      </c>
      <c r="S124" s="435" t="s">
        <v>489</v>
      </c>
      <c r="AC124" s="435" t="s">
        <v>2</v>
      </c>
      <c r="AE124" s="438"/>
      <c r="AF124" s="438"/>
      <c r="AG124" s="438"/>
      <c r="AH124" s="438"/>
      <c r="AI124" s="438"/>
    </row>
    <row r="125" spans="4:35">
      <c r="D125" s="435" t="s">
        <v>79</v>
      </c>
      <c r="E125" s="435" t="s">
        <v>68</v>
      </c>
      <c r="F125" s="435" t="s">
        <v>274</v>
      </c>
      <c r="G125" s="435" t="s">
        <v>12</v>
      </c>
      <c r="H125" s="435" t="s">
        <v>264</v>
      </c>
      <c r="I125" s="435" t="s">
        <v>7</v>
      </c>
      <c r="J125" s="435" t="s">
        <v>299</v>
      </c>
      <c r="K125" s="437" t="s">
        <v>255</v>
      </c>
      <c r="L125" s="437" t="s">
        <v>308</v>
      </c>
      <c r="M125" s="435" t="s">
        <v>846</v>
      </c>
      <c r="N125" s="436" t="s">
        <v>2870</v>
      </c>
      <c r="O125" s="435" t="s">
        <v>830</v>
      </c>
      <c r="R125" s="435" t="s">
        <v>509</v>
      </c>
      <c r="S125" s="435" t="s">
        <v>493</v>
      </c>
      <c r="AC125" s="435" t="s">
        <v>2</v>
      </c>
      <c r="AE125" s="438"/>
      <c r="AF125" s="438"/>
      <c r="AG125" s="438"/>
      <c r="AH125" s="438"/>
      <c r="AI125" s="438"/>
    </row>
    <row r="126" spans="4:35">
      <c r="D126" s="435" t="s">
        <v>79</v>
      </c>
      <c r="E126" s="435" t="s">
        <v>68</v>
      </c>
      <c r="F126" s="435" t="s">
        <v>274</v>
      </c>
      <c r="G126" s="435" t="s">
        <v>12</v>
      </c>
      <c r="H126" s="435" t="s">
        <v>264</v>
      </c>
      <c r="I126" s="435" t="s">
        <v>7</v>
      </c>
      <c r="J126" s="435" t="s">
        <v>299</v>
      </c>
      <c r="K126" s="437" t="s">
        <v>255</v>
      </c>
      <c r="L126" s="437" t="s">
        <v>308</v>
      </c>
      <c r="M126" s="435" t="s">
        <v>846</v>
      </c>
      <c r="N126" s="436" t="s">
        <v>2870</v>
      </c>
      <c r="O126" s="435" t="s">
        <v>830</v>
      </c>
      <c r="R126" s="435" t="s">
        <v>510</v>
      </c>
      <c r="S126" s="435" t="s">
        <v>491</v>
      </c>
      <c r="AC126" s="435" t="s">
        <v>2</v>
      </c>
      <c r="AE126" s="438"/>
      <c r="AF126" s="438"/>
      <c r="AG126" s="438"/>
      <c r="AH126" s="438"/>
      <c r="AI126" s="438"/>
    </row>
    <row r="127" spans="4:35">
      <c r="D127" s="435" t="s">
        <v>79</v>
      </c>
      <c r="E127" s="435" t="s">
        <v>68</v>
      </c>
      <c r="F127" s="435" t="s">
        <v>274</v>
      </c>
      <c r="G127" s="435" t="s">
        <v>12</v>
      </c>
      <c r="H127" s="435" t="s">
        <v>264</v>
      </c>
      <c r="I127" s="435" t="s">
        <v>7</v>
      </c>
      <c r="J127" s="435" t="s">
        <v>299</v>
      </c>
      <c r="K127" s="437" t="s">
        <v>255</v>
      </c>
      <c r="L127" s="437" t="s">
        <v>308</v>
      </c>
      <c r="M127" s="435" t="s">
        <v>846</v>
      </c>
      <c r="N127" s="436" t="s">
        <v>2870</v>
      </c>
      <c r="O127" s="435" t="s">
        <v>830</v>
      </c>
      <c r="R127" s="435" t="s">
        <v>511</v>
      </c>
      <c r="S127" s="435" t="s">
        <v>497</v>
      </c>
      <c r="AC127" s="435" t="s">
        <v>2</v>
      </c>
      <c r="AE127" s="438"/>
      <c r="AF127" s="438"/>
      <c r="AG127" s="438"/>
      <c r="AH127" s="438"/>
      <c r="AI127" s="438"/>
    </row>
    <row r="128" spans="4:35">
      <c r="D128" s="435" t="s">
        <v>79</v>
      </c>
      <c r="E128" s="435" t="s">
        <v>68</v>
      </c>
      <c r="F128" s="435" t="s">
        <v>274</v>
      </c>
      <c r="G128" s="435" t="s">
        <v>12</v>
      </c>
      <c r="H128" s="435" t="s">
        <v>264</v>
      </c>
      <c r="I128" s="435" t="s">
        <v>7</v>
      </c>
      <c r="J128" s="435" t="s">
        <v>299</v>
      </c>
      <c r="K128" s="437" t="s">
        <v>255</v>
      </c>
      <c r="L128" s="437" t="s">
        <v>309</v>
      </c>
      <c r="M128" s="435" t="s">
        <v>847</v>
      </c>
      <c r="N128" s="435" t="s">
        <v>829</v>
      </c>
      <c r="O128" s="435" t="s">
        <v>214</v>
      </c>
      <c r="R128" s="435" t="s">
        <v>512</v>
      </c>
      <c r="S128" s="435" t="s">
        <v>513</v>
      </c>
      <c r="AC128" s="435" t="s">
        <v>2</v>
      </c>
      <c r="AE128" s="438"/>
      <c r="AF128" s="438"/>
      <c r="AG128" s="438"/>
      <c r="AH128" s="438"/>
      <c r="AI128" s="438"/>
    </row>
    <row r="129" spans="4:35">
      <c r="D129" s="435" t="s">
        <v>79</v>
      </c>
      <c r="E129" s="435" t="s">
        <v>68</v>
      </c>
      <c r="F129" s="435" t="s">
        <v>274</v>
      </c>
      <c r="G129" s="435" t="s">
        <v>12</v>
      </c>
      <c r="H129" s="435" t="s">
        <v>264</v>
      </c>
      <c r="I129" s="435" t="s">
        <v>7</v>
      </c>
      <c r="J129" s="435" t="s">
        <v>299</v>
      </c>
      <c r="K129" s="437" t="s">
        <v>255</v>
      </c>
      <c r="L129" s="437" t="s">
        <v>309</v>
      </c>
      <c r="M129" s="435" t="s">
        <v>847</v>
      </c>
      <c r="N129" s="435" t="s">
        <v>829</v>
      </c>
      <c r="O129" s="435" t="s">
        <v>214</v>
      </c>
      <c r="R129" s="435" t="s">
        <v>514</v>
      </c>
      <c r="S129" s="435" t="s">
        <v>515</v>
      </c>
      <c r="AC129" s="435" t="s">
        <v>2</v>
      </c>
      <c r="AE129" s="438"/>
      <c r="AF129" s="438"/>
      <c r="AG129" s="438"/>
      <c r="AH129" s="438"/>
      <c r="AI129" s="438"/>
    </row>
    <row r="130" spans="4:35">
      <c r="D130" s="435" t="s">
        <v>79</v>
      </c>
      <c r="E130" s="435" t="s">
        <v>68</v>
      </c>
      <c r="F130" s="435" t="s">
        <v>274</v>
      </c>
      <c r="G130" s="435" t="s">
        <v>12</v>
      </c>
      <c r="H130" s="435" t="s">
        <v>264</v>
      </c>
      <c r="I130" s="435" t="s">
        <v>7</v>
      </c>
      <c r="J130" s="435" t="s">
        <v>299</v>
      </c>
      <c r="K130" s="437" t="s">
        <v>255</v>
      </c>
      <c r="L130" s="437" t="s">
        <v>309</v>
      </c>
      <c r="M130" s="435" t="s">
        <v>847</v>
      </c>
      <c r="N130" s="435" t="s">
        <v>829</v>
      </c>
      <c r="O130" s="435" t="s">
        <v>214</v>
      </c>
      <c r="R130" s="435" t="s">
        <v>516</v>
      </c>
      <c r="S130" s="435" t="s">
        <v>517</v>
      </c>
      <c r="AC130" s="435" t="s">
        <v>2</v>
      </c>
      <c r="AE130" s="438"/>
      <c r="AF130" s="438"/>
      <c r="AG130" s="438"/>
      <c r="AH130" s="438"/>
      <c r="AI130" s="438"/>
    </row>
    <row r="131" spans="4:35">
      <c r="D131" s="435" t="s">
        <v>79</v>
      </c>
      <c r="E131" s="435" t="s">
        <v>68</v>
      </c>
      <c r="F131" s="435" t="s">
        <v>274</v>
      </c>
      <c r="G131" s="435" t="s">
        <v>12</v>
      </c>
      <c r="H131" s="435" t="s">
        <v>264</v>
      </c>
      <c r="I131" s="435" t="s">
        <v>7</v>
      </c>
      <c r="J131" s="435" t="s">
        <v>299</v>
      </c>
      <c r="K131" s="437" t="s">
        <v>255</v>
      </c>
      <c r="L131" s="437" t="s">
        <v>309</v>
      </c>
      <c r="M131" s="435" t="s">
        <v>847</v>
      </c>
      <c r="N131" s="435" t="s">
        <v>829</v>
      </c>
      <c r="O131" s="435" t="s">
        <v>214</v>
      </c>
      <c r="R131" s="435" t="s">
        <v>518</v>
      </c>
      <c r="S131" s="435" t="s">
        <v>519</v>
      </c>
      <c r="AC131" s="435" t="s">
        <v>2</v>
      </c>
      <c r="AE131" s="438"/>
      <c r="AF131" s="438"/>
      <c r="AG131" s="438"/>
      <c r="AH131" s="438"/>
      <c r="AI131" s="438"/>
    </row>
    <row r="132" spans="4:35">
      <c r="D132" s="435" t="s">
        <v>79</v>
      </c>
      <c r="E132" s="435" t="s">
        <v>68</v>
      </c>
      <c r="F132" s="435" t="s">
        <v>274</v>
      </c>
      <c r="G132" s="435" t="s">
        <v>12</v>
      </c>
      <c r="H132" s="435" t="s">
        <v>264</v>
      </c>
      <c r="I132" s="435" t="s">
        <v>7</v>
      </c>
      <c r="J132" s="435" t="s">
        <v>299</v>
      </c>
      <c r="K132" s="437" t="s">
        <v>255</v>
      </c>
      <c r="L132" s="437" t="s">
        <v>309</v>
      </c>
      <c r="M132" s="435" t="s">
        <v>847</v>
      </c>
      <c r="N132" s="435" t="s">
        <v>829</v>
      </c>
      <c r="O132" s="435" t="s">
        <v>214</v>
      </c>
      <c r="R132" s="435" t="s">
        <v>520</v>
      </c>
      <c r="S132" s="435" t="s">
        <v>513</v>
      </c>
      <c r="AC132" s="435" t="s">
        <v>2</v>
      </c>
      <c r="AE132" s="438"/>
      <c r="AF132" s="438"/>
      <c r="AG132" s="438"/>
      <c r="AH132" s="438"/>
      <c r="AI132" s="438"/>
    </row>
    <row r="133" spans="4:35">
      <c r="D133" s="435" t="s">
        <v>79</v>
      </c>
      <c r="E133" s="435" t="s">
        <v>68</v>
      </c>
      <c r="F133" s="435" t="s">
        <v>274</v>
      </c>
      <c r="G133" s="435" t="s">
        <v>12</v>
      </c>
      <c r="H133" s="435" t="s">
        <v>264</v>
      </c>
      <c r="I133" s="435" t="s">
        <v>7</v>
      </c>
      <c r="J133" s="435" t="s">
        <v>299</v>
      </c>
      <c r="K133" s="437" t="s">
        <v>255</v>
      </c>
      <c r="L133" s="437" t="s">
        <v>309</v>
      </c>
      <c r="M133" s="435" t="s">
        <v>847</v>
      </c>
      <c r="N133" s="435" t="s">
        <v>829</v>
      </c>
      <c r="O133" s="435" t="s">
        <v>214</v>
      </c>
      <c r="R133" s="435" t="s">
        <v>521</v>
      </c>
      <c r="S133" s="435" t="s">
        <v>351</v>
      </c>
      <c r="AC133" s="435" t="s">
        <v>2</v>
      </c>
      <c r="AE133" s="438"/>
      <c r="AF133" s="438"/>
      <c r="AG133" s="438"/>
      <c r="AH133" s="438"/>
      <c r="AI133" s="438"/>
    </row>
    <row r="134" spans="4:35">
      <c r="D134" s="435" t="s">
        <v>79</v>
      </c>
      <c r="E134" s="435" t="s">
        <v>68</v>
      </c>
      <c r="F134" s="435" t="s">
        <v>274</v>
      </c>
      <c r="G134" s="435" t="s">
        <v>12</v>
      </c>
      <c r="H134" s="435" t="s">
        <v>264</v>
      </c>
      <c r="I134" s="435" t="s">
        <v>7</v>
      </c>
      <c r="J134" s="435" t="s">
        <v>299</v>
      </c>
      <c r="K134" s="437" t="s">
        <v>310</v>
      </c>
      <c r="L134" s="437" t="s">
        <v>311</v>
      </c>
      <c r="M134" s="435" t="s">
        <v>848</v>
      </c>
      <c r="N134" s="436" t="s">
        <v>2870</v>
      </c>
      <c r="O134" s="435" t="s">
        <v>830</v>
      </c>
      <c r="R134" s="435" t="s">
        <v>522</v>
      </c>
      <c r="S134" s="435" t="s">
        <v>523</v>
      </c>
      <c r="AC134" s="435" t="s">
        <v>2</v>
      </c>
      <c r="AE134" s="438"/>
      <c r="AF134" s="438"/>
      <c r="AG134" s="438"/>
      <c r="AH134" s="438"/>
      <c r="AI134" s="438"/>
    </row>
    <row r="135" spans="4:35">
      <c r="D135" s="435" t="s">
        <v>79</v>
      </c>
      <c r="E135" s="435" t="s">
        <v>68</v>
      </c>
      <c r="F135" s="435" t="s">
        <v>274</v>
      </c>
      <c r="G135" s="435" t="s">
        <v>12</v>
      </c>
      <c r="H135" s="435" t="s">
        <v>264</v>
      </c>
      <c r="I135" s="435" t="s">
        <v>7</v>
      </c>
      <c r="J135" s="435" t="s">
        <v>299</v>
      </c>
      <c r="K135" s="437" t="s">
        <v>310</v>
      </c>
      <c r="L135" s="437" t="s">
        <v>311</v>
      </c>
      <c r="M135" s="435" t="s">
        <v>848</v>
      </c>
      <c r="N135" s="435" t="s">
        <v>829</v>
      </c>
      <c r="O135" s="435" t="s">
        <v>214</v>
      </c>
      <c r="R135" s="435" t="s">
        <v>524</v>
      </c>
      <c r="S135" s="435" t="s">
        <v>525</v>
      </c>
      <c r="AC135" s="435" t="s">
        <v>2</v>
      </c>
      <c r="AE135" s="438"/>
      <c r="AF135" s="438"/>
      <c r="AG135" s="438"/>
      <c r="AH135" s="438"/>
      <c r="AI135" s="438"/>
    </row>
    <row r="136" spans="4:35">
      <c r="D136" s="435" t="s">
        <v>79</v>
      </c>
      <c r="E136" s="435" t="s">
        <v>68</v>
      </c>
      <c r="F136" s="435" t="s">
        <v>274</v>
      </c>
      <c r="G136" s="435" t="s">
        <v>12</v>
      </c>
      <c r="H136" s="435" t="s">
        <v>264</v>
      </c>
      <c r="I136" s="435" t="s">
        <v>7</v>
      </c>
      <c r="J136" s="435" t="s">
        <v>299</v>
      </c>
      <c r="K136" s="437" t="s">
        <v>310</v>
      </c>
      <c r="L136" s="437" t="s">
        <v>311</v>
      </c>
      <c r="M136" s="435" t="s">
        <v>848</v>
      </c>
      <c r="N136" s="435" t="s">
        <v>829</v>
      </c>
      <c r="O136" s="435" t="s">
        <v>214</v>
      </c>
      <c r="R136" s="435" t="s">
        <v>526</v>
      </c>
      <c r="S136" s="435" t="s">
        <v>527</v>
      </c>
      <c r="AC136" s="435" t="s">
        <v>2</v>
      </c>
      <c r="AE136" s="438"/>
      <c r="AF136" s="438"/>
      <c r="AG136" s="438"/>
      <c r="AH136" s="438"/>
      <c r="AI136" s="438"/>
    </row>
    <row r="137" spans="4:35">
      <c r="D137" s="435" t="s">
        <v>79</v>
      </c>
      <c r="E137" s="435" t="s">
        <v>68</v>
      </c>
      <c r="F137" s="435" t="s">
        <v>274</v>
      </c>
      <c r="G137" s="435" t="s">
        <v>12</v>
      </c>
      <c r="H137" s="435" t="s">
        <v>264</v>
      </c>
      <c r="I137" s="435" t="s">
        <v>7</v>
      </c>
      <c r="J137" s="435" t="s">
        <v>299</v>
      </c>
      <c r="K137" s="437" t="s">
        <v>310</v>
      </c>
      <c r="L137" s="437" t="s">
        <v>311</v>
      </c>
      <c r="M137" s="435" t="s">
        <v>848</v>
      </c>
      <c r="N137" s="435" t="s">
        <v>829</v>
      </c>
      <c r="O137" s="435" t="s">
        <v>214</v>
      </c>
      <c r="R137" s="435" t="s">
        <v>528</v>
      </c>
      <c r="S137" s="435" t="s">
        <v>529</v>
      </c>
      <c r="AC137" s="435" t="s">
        <v>2</v>
      </c>
      <c r="AE137" s="438"/>
      <c r="AF137" s="438"/>
      <c r="AG137" s="438"/>
      <c r="AH137" s="438"/>
      <c r="AI137" s="438"/>
    </row>
    <row r="138" spans="4:35">
      <c r="D138" s="435" t="s">
        <v>79</v>
      </c>
      <c r="E138" s="435" t="s">
        <v>68</v>
      </c>
      <c r="F138" s="435" t="s">
        <v>274</v>
      </c>
      <c r="G138" s="435" t="s">
        <v>12</v>
      </c>
      <c r="H138" s="435" t="s">
        <v>264</v>
      </c>
      <c r="I138" s="435" t="s">
        <v>7</v>
      </c>
      <c r="J138" s="435" t="s">
        <v>299</v>
      </c>
      <c r="K138" s="437" t="s">
        <v>310</v>
      </c>
      <c r="L138" s="437" t="s">
        <v>311</v>
      </c>
      <c r="M138" s="435" t="s">
        <v>848</v>
      </c>
      <c r="N138" s="435" t="s">
        <v>829</v>
      </c>
      <c r="O138" s="435" t="s">
        <v>214</v>
      </c>
      <c r="R138" s="435" t="s">
        <v>530</v>
      </c>
      <c r="S138" s="435" t="s">
        <v>531</v>
      </c>
      <c r="AC138" s="435" t="s">
        <v>2</v>
      </c>
      <c r="AE138" s="438"/>
      <c r="AF138" s="438"/>
      <c r="AG138" s="438"/>
      <c r="AH138" s="438"/>
      <c r="AI138" s="438"/>
    </row>
    <row r="139" spans="4:35">
      <c r="D139" s="435" t="s">
        <v>79</v>
      </c>
      <c r="E139" s="435" t="s">
        <v>68</v>
      </c>
      <c r="F139" s="435" t="s">
        <v>274</v>
      </c>
      <c r="G139" s="435" t="s">
        <v>12</v>
      </c>
      <c r="H139" s="435" t="s">
        <v>264</v>
      </c>
      <c r="I139" s="435" t="s">
        <v>7</v>
      </c>
      <c r="J139" s="435" t="s">
        <v>299</v>
      </c>
      <c r="K139" s="437" t="s">
        <v>310</v>
      </c>
      <c r="L139" s="437" t="s">
        <v>311</v>
      </c>
      <c r="M139" s="435" t="s">
        <v>848</v>
      </c>
      <c r="N139" s="435" t="s">
        <v>829</v>
      </c>
      <c r="O139" s="435" t="s">
        <v>214</v>
      </c>
      <c r="R139" s="435" t="s">
        <v>532</v>
      </c>
      <c r="S139" s="435" t="s">
        <v>533</v>
      </c>
      <c r="AC139" s="435" t="s">
        <v>2</v>
      </c>
      <c r="AE139" s="438"/>
      <c r="AF139" s="438"/>
      <c r="AG139" s="438"/>
      <c r="AH139" s="438"/>
      <c r="AI139" s="438"/>
    </row>
    <row r="140" spans="4:35">
      <c r="D140" s="435" t="s">
        <v>79</v>
      </c>
      <c r="E140" s="435" t="s">
        <v>68</v>
      </c>
      <c r="F140" s="435" t="s">
        <v>274</v>
      </c>
      <c r="G140" s="435" t="s">
        <v>12</v>
      </c>
      <c r="H140" s="435" t="s">
        <v>264</v>
      </c>
      <c r="I140" s="435" t="s">
        <v>7</v>
      </c>
      <c r="J140" s="435" t="s">
        <v>299</v>
      </c>
      <c r="K140" s="437" t="s">
        <v>310</v>
      </c>
      <c r="L140" s="437" t="s">
        <v>311</v>
      </c>
      <c r="M140" s="435" t="s">
        <v>848</v>
      </c>
      <c r="N140" s="435" t="s">
        <v>829</v>
      </c>
      <c r="O140" s="435" t="s">
        <v>214</v>
      </c>
      <c r="R140" s="435" t="s">
        <v>534</v>
      </c>
      <c r="S140" s="435" t="s">
        <v>535</v>
      </c>
      <c r="AC140" s="435" t="s">
        <v>2</v>
      </c>
      <c r="AE140" s="438"/>
      <c r="AF140" s="438"/>
      <c r="AG140" s="438"/>
      <c r="AH140" s="438"/>
      <c r="AI140" s="438"/>
    </row>
    <row r="141" spans="4:35">
      <c r="D141" s="435" t="s">
        <v>79</v>
      </c>
      <c r="E141" s="435" t="s">
        <v>68</v>
      </c>
      <c r="F141" s="435" t="s">
        <v>274</v>
      </c>
      <c r="G141" s="435" t="s">
        <v>12</v>
      </c>
      <c r="H141" s="435" t="s">
        <v>264</v>
      </c>
      <c r="I141" s="435" t="s">
        <v>7</v>
      </c>
      <c r="J141" s="435" t="s">
        <v>299</v>
      </c>
      <c r="K141" s="437" t="s">
        <v>310</v>
      </c>
      <c r="L141" s="437" t="s">
        <v>311</v>
      </c>
      <c r="M141" s="435" t="s">
        <v>848</v>
      </c>
      <c r="N141" s="435" t="s">
        <v>829</v>
      </c>
      <c r="O141" s="435" t="s">
        <v>214</v>
      </c>
      <c r="R141" s="435" t="s">
        <v>536</v>
      </c>
      <c r="S141" s="435" t="s">
        <v>537</v>
      </c>
      <c r="AC141" s="435" t="s">
        <v>2</v>
      </c>
      <c r="AE141" s="438"/>
      <c r="AF141" s="438"/>
      <c r="AG141" s="438"/>
      <c r="AH141" s="438"/>
      <c r="AI141" s="438"/>
    </row>
    <row r="142" spans="4:35">
      <c r="D142" s="435" t="s">
        <v>79</v>
      </c>
      <c r="E142" s="435" t="s">
        <v>68</v>
      </c>
      <c r="F142" s="435" t="s">
        <v>274</v>
      </c>
      <c r="G142" s="435" t="s">
        <v>12</v>
      </c>
      <c r="H142" s="435" t="s">
        <v>264</v>
      </c>
      <c r="I142" s="435" t="s">
        <v>7</v>
      </c>
      <c r="J142" s="435" t="s">
        <v>299</v>
      </c>
      <c r="K142" s="437" t="s">
        <v>310</v>
      </c>
      <c r="L142" s="437" t="s">
        <v>311</v>
      </c>
      <c r="M142" s="435" t="s">
        <v>848</v>
      </c>
      <c r="N142" s="435" t="s">
        <v>829</v>
      </c>
      <c r="O142" s="435" t="s">
        <v>214</v>
      </c>
      <c r="R142" s="435" t="s">
        <v>538</v>
      </c>
      <c r="S142" s="435" t="s">
        <v>539</v>
      </c>
      <c r="AC142" s="435" t="s">
        <v>2</v>
      </c>
      <c r="AE142" s="438"/>
      <c r="AF142" s="438"/>
      <c r="AG142" s="438"/>
      <c r="AH142" s="438"/>
      <c r="AI142" s="438"/>
    </row>
    <row r="143" spans="4:35">
      <c r="D143" s="435" t="s">
        <v>79</v>
      </c>
      <c r="E143" s="435" t="s">
        <v>68</v>
      </c>
      <c r="F143" s="435" t="s">
        <v>274</v>
      </c>
      <c r="G143" s="435" t="s">
        <v>12</v>
      </c>
      <c r="H143" s="435" t="s">
        <v>264</v>
      </c>
      <c r="I143" s="435" t="s">
        <v>7</v>
      </c>
      <c r="J143" s="435" t="s">
        <v>299</v>
      </c>
      <c r="K143" s="437" t="s">
        <v>310</v>
      </c>
      <c r="L143" s="437" t="s">
        <v>311</v>
      </c>
      <c r="M143" s="435" t="s">
        <v>848</v>
      </c>
      <c r="N143" s="435" t="s">
        <v>829</v>
      </c>
      <c r="O143" s="435" t="s">
        <v>214</v>
      </c>
      <c r="R143" s="435" t="s">
        <v>540</v>
      </c>
      <c r="S143" s="435" t="s">
        <v>541</v>
      </c>
      <c r="AC143" s="435" t="s">
        <v>2</v>
      </c>
      <c r="AE143" s="438"/>
      <c r="AF143" s="438"/>
      <c r="AG143" s="438"/>
      <c r="AH143" s="438"/>
      <c r="AI143" s="438"/>
    </row>
    <row r="144" spans="4:35">
      <c r="D144" s="435" t="s">
        <v>79</v>
      </c>
      <c r="E144" s="435" t="s">
        <v>68</v>
      </c>
      <c r="F144" s="435" t="s">
        <v>274</v>
      </c>
      <c r="G144" s="435" t="s">
        <v>12</v>
      </c>
      <c r="H144" s="435" t="s">
        <v>264</v>
      </c>
      <c r="I144" s="435" t="s">
        <v>7</v>
      </c>
      <c r="J144" s="435" t="s">
        <v>299</v>
      </c>
      <c r="K144" s="437" t="s">
        <v>310</v>
      </c>
      <c r="L144" s="437" t="s">
        <v>311</v>
      </c>
      <c r="M144" s="435" t="s">
        <v>848</v>
      </c>
      <c r="N144" s="436" t="s">
        <v>2870</v>
      </c>
      <c r="O144" s="435" t="s">
        <v>830</v>
      </c>
      <c r="R144" s="435" t="s">
        <v>542</v>
      </c>
      <c r="S144" s="435" t="s">
        <v>543</v>
      </c>
      <c r="AC144" s="435" t="s">
        <v>2</v>
      </c>
      <c r="AE144" s="438"/>
      <c r="AF144" s="438"/>
      <c r="AG144" s="438"/>
      <c r="AH144" s="438"/>
      <c r="AI144" s="438"/>
    </row>
    <row r="145" spans="4:35">
      <c r="D145" s="435" t="s">
        <v>79</v>
      </c>
      <c r="E145" s="435" t="s">
        <v>68</v>
      </c>
      <c r="F145" s="435" t="s">
        <v>274</v>
      </c>
      <c r="G145" s="435" t="s">
        <v>12</v>
      </c>
      <c r="H145" s="435" t="s">
        <v>264</v>
      </c>
      <c r="I145" s="435" t="s">
        <v>7</v>
      </c>
      <c r="J145" s="435" t="s">
        <v>299</v>
      </c>
      <c r="K145" s="437" t="s">
        <v>310</v>
      </c>
      <c r="L145" s="437" t="s">
        <v>311</v>
      </c>
      <c r="M145" s="435" t="s">
        <v>848</v>
      </c>
      <c r="N145" s="435" t="s">
        <v>829</v>
      </c>
      <c r="O145" s="435" t="s">
        <v>214</v>
      </c>
      <c r="R145" s="435" t="s">
        <v>544</v>
      </c>
      <c r="S145" s="435" t="s">
        <v>545</v>
      </c>
      <c r="AC145" s="435" t="s">
        <v>2</v>
      </c>
      <c r="AE145" s="438"/>
      <c r="AF145" s="438"/>
      <c r="AG145" s="438"/>
      <c r="AH145" s="438"/>
      <c r="AI145" s="438"/>
    </row>
    <row r="146" spans="4:35">
      <c r="D146" s="435" t="s">
        <v>79</v>
      </c>
      <c r="E146" s="435" t="s">
        <v>68</v>
      </c>
      <c r="F146" s="435" t="s">
        <v>274</v>
      </c>
      <c r="G146" s="435" t="s">
        <v>12</v>
      </c>
      <c r="H146" s="435" t="s">
        <v>264</v>
      </c>
      <c r="I146" s="435" t="s">
        <v>7</v>
      </c>
      <c r="J146" s="435" t="s">
        <v>299</v>
      </c>
      <c r="K146" s="437" t="s">
        <v>310</v>
      </c>
      <c r="L146" s="437" t="s">
        <v>311</v>
      </c>
      <c r="M146" s="435" t="s">
        <v>848</v>
      </c>
      <c r="N146" s="435" t="s">
        <v>828</v>
      </c>
      <c r="O146" s="435" t="s">
        <v>217</v>
      </c>
      <c r="R146" s="435" t="s">
        <v>546</v>
      </c>
      <c r="S146" s="435" t="s">
        <v>547</v>
      </c>
      <c r="AC146" s="435" t="s">
        <v>2</v>
      </c>
      <c r="AE146" s="438"/>
      <c r="AF146" s="438"/>
      <c r="AG146" s="438"/>
      <c r="AH146" s="438"/>
      <c r="AI146" s="438"/>
    </row>
    <row r="147" spans="4:35">
      <c r="D147" s="435" t="s">
        <v>79</v>
      </c>
      <c r="E147" s="435" t="s">
        <v>68</v>
      </c>
      <c r="F147" s="435" t="s">
        <v>274</v>
      </c>
      <c r="G147" s="435" t="s">
        <v>12</v>
      </c>
      <c r="H147" s="435" t="s">
        <v>264</v>
      </c>
      <c r="I147" s="435" t="s">
        <v>7</v>
      </c>
      <c r="J147" s="435" t="s">
        <v>299</v>
      </c>
      <c r="K147" s="437" t="s">
        <v>310</v>
      </c>
      <c r="L147" s="437" t="s">
        <v>311</v>
      </c>
      <c r="M147" s="435" t="s">
        <v>848</v>
      </c>
      <c r="N147" s="435" t="s">
        <v>828</v>
      </c>
      <c r="O147" s="435" t="s">
        <v>217</v>
      </c>
      <c r="R147" s="435" t="s">
        <v>548</v>
      </c>
      <c r="S147" s="435" t="s">
        <v>549</v>
      </c>
      <c r="AC147" s="435" t="s">
        <v>2</v>
      </c>
      <c r="AE147" s="438"/>
      <c r="AF147" s="438"/>
      <c r="AG147" s="438"/>
      <c r="AH147" s="438"/>
      <c r="AI147" s="438"/>
    </row>
    <row r="148" spans="4:35">
      <c r="D148" s="435" t="s">
        <v>79</v>
      </c>
      <c r="E148" s="435" t="s">
        <v>68</v>
      </c>
      <c r="F148" s="435" t="s">
        <v>274</v>
      </c>
      <c r="G148" s="435" t="s">
        <v>12</v>
      </c>
      <c r="H148" s="435" t="s">
        <v>264</v>
      </c>
      <c r="I148" s="435" t="s">
        <v>7</v>
      </c>
      <c r="J148" s="435" t="s">
        <v>299</v>
      </c>
      <c r="K148" s="437" t="s">
        <v>310</v>
      </c>
      <c r="L148" s="437" t="s">
        <v>311</v>
      </c>
      <c r="M148" s="435" t="s">
        <v>848</v>
      </c>
      <c r="N148" s="435" t="s">
        <v>828</v>
      </c>
      <c r="O148" s="435" t="s">
        <v>217</v>
      </c>
      <c r="R148" s="435" t="s">
        <v>550</v>
      </c>
      <c r="S148" s="435" t="s">
        <v>551</v>
      </c>
      <c r="AC148" s="435" t="s">
        <v>2</v>
      </c>
      <c r="AE148" s="438"/>
      <c r="AF148" s="438"/>
      <c r="AG148" s="438"/>
      <c r="AH148" s="438"/>
      <c r="AI148" s="438"/>
    </row>
    <row r="149" spans="4:35">
      <c r="D149" s="435" t="s">
        <v>79</v>
      </c>
      <c r="E149" s="435" t="s">
        <v>68</v>
      </c>
      <c r="F149" s="435" t="s">
        <v>274</v>
      </c>
      <c r="G149" s="435" t="s">
        <v>12</v>
      </c>
      <c r="H149" s="435" t="s">
        <v>264</v>
      </c>
      <c r="I149" s="435" t="s">
        <v>7</v>
      </c>
      <c r="J149" s="435" t="s">
        <v>299</v>
      </c>
      <c r="K149" s="437" t="s">
        <v>310</v>
      </c>
      <c r="L149" s="437" t="s">
        <v>311</v>
      </c>
      <c r="M149" s="435" t="s">
        <v>848</v>
      </c>
      <c r="N149" s="436" t="s">
        <v>2870</v>
      </c>
      <c r="O149" s="435" t="s">
        <v>830</v>
      </c>
      <c r="R149" s="435" t="s">
        <v>552</v>
      </c>
      <c r="S149" s="435" t="s">
        <v>553</v>
      </c>
      <c r="AC149" s="435" t="s">
        <v>2</v>
      </c>
      <c r="AE149" s="438"/>
      <c r="AF149" s="438"/>
      <c r="AG149" s="438"/>
      <c r="AH149" s="438"/>
      <c r="AI149" s="438"/>
    </row>
    <row r="150" spans="4:35">
      <c r="D150" s="435" t="s">
        <v>79</v>
      </c>
      <c r="E150" s="435" t="s">
        <v>68</v>
      </c>
      <c r="F150" s="435" t="s">
        <v>274</v>
      </c>
      <c r="G150" s="435" t="s">
        <v>12</v>
      </c>
      <c r="H150" s="435" t="s">
        <v>264</v>
      </c>
      <c r="I150" s="435" t="s">
        <v>7</v>
      </c>
      <c r="J150" s="435" t="s">
        <v>299</v>
      </c>
      <c r="K150" s="437" t="s">
        <v>310</v>
      </c>
      <c r="L150" s="437" t="s">
        <v>311</v>
      </c>
      <c r="M150" s="435" t="s">
        <v>848</v>
      </c>
      <c r="N150" s="435" t="s">
        <v>828</v>
      </c>
      <c r="O150" s="435" t="s">
        <v>217</v>
      </c>
      <c r="R150" s="435" t="s">
        <v>554</v>
      </c>
      <c r="S150" s="435" t="s">
        <v>555</v>
      </c>
      <c r="AC150" s="435" t="s">
        <v>2</v>
      </c>
      <c r="AE150" s="438"/>
      <c r="AF150" s="438"/>
      <c r="AG150" s="438"/>
      <c r="AH150" s="438"/>
      <c r="AI150" s="438"/>
    </row>
    <row r="151" spans="4:35">
      <c r="D151" s="435" t="s">
        <v>79</v>
      </c>
      <c r="E151" s="435" t="s">
        <v>68</v>
      </c>
      <c r="F151" s="435" t="s">
        <v>274</v>
      </c>
      <c r="G151" s="435" t="s">
        <v>12</v>
      </c>
      <c r="H151" s="435" t="s">
        <v>264</v>
      </c>
      <c r="I151" s="435" t="s">
        <v>7</v>
      </c>
      <c r="J151" s="435" t="s">
        <v>299</v>
      </c>
      <c r="K151" s="437" t="s">
        <v>310</v>
      </c>
      <c r="L151" s="437" t="s">
        <v>311</v>
      </c>
      <c r="M151" s="435" t="s">
        <v>848</v>
      </c>
      <c r="N151" s="435" t="s">
        <v>828</v>
      </c>
      <c r="O151" s="435" t="s">
        <v>217</v>
      </c>
      <c r="R151" s="435" t="s">
        <v>556</v>
      </c>
      <c r="S151" s="435" t="s">
        <v>557</v>
      </c>
      <c r="AC151" s="435" t="s">
        <v>2</v>
      </c>
      <c r="AE151" s="438"/>
      <c r="AF151" s="438"/>
      <c r="AG151" s="438"/>
      <c r="AH151" s="438"/>
      <c r="AI151" s="438"/>
    </row>
    <row r="152" spans="4:35">
      <c r="D152" s="435" t="s">
        <v>79</v>
      </c>
      <c r="E152" s="435" t="s">
        <v>68</v>
      </c>
      <c r="F152" s="435" t="s">
        <v>274</v>
      </c>
      <c r="G152" s="435" t="s">
        <v>12</v>
      </c>
      <c r="H152" s="435" t="s">
        <v>264</v>
      </c>
      <c r="I152" s="435" t="s">
        <v>7</v>
      </c>
      <c r="J152" s="435" t="s">
        <v>299</v>
      </c>
      <c r="K152" s="437" t="s">
        <v>310</v>
      </c>
      <c r="L152" s="437" t="s">
        <v>311</v>
      </c>
      <c r="M152" s="435" t="s">
        <v>848</v>
      </c>
      <c r="N152" s="435" t="s">
        <v>828</v>
      </c>
      <c r="O152" s="435" t="s">
        <v>217</v>
      </c>
      <c r="R152" s="435" t="s">
        <v>558</v>
      </c>
      <c r="S152" s="435" t="s">
        <v>559</v>
      </c>
      <c r="AC152" s="435" t="s">
        <v>2</v>
      </c>
      <c r="AE152" s="438"/>
      <c r="AF152" s="438"/>
      <c r="AG152" s="438"/>
      <c r="AH152" s="438"/>
      <c r="AI152" s="438"/>
    </row>
    <row r="153" spans="4:35">
      <c r="D153" s="435" t="s">
        <v>79</v>
      </c>
      <c r="E153" s="435" t="s">
        <v>68</v>
      </c>
      <c r="F153" s="435" t="s">
        <v>274</v>
      </c>
      <c r="G153" s="435" t="s">
        <v>12</v>
      </c>
      <c r="H153" s="435" t="s">
        <v>264</v>
      </c>
      <c r="I153" s="435" t="s">
        <v>7</v>
      </c>
      <c r="J153" s="435" t="s">
        <v>299</v>
      </c>
      <c r="K153" s="437" t="s">
        <v>310</v>
      </c>
      <c r="L153" s="437" t="s">
        <v>311</v>
      </c>
      <c r="M153" s="435" t="s">
        <v>848</v>
      </c>
      <c r="N153" s="435" t="s">
        <v>828</v>
      </c>
      <c r="O153" s="435" t="s">
        <v>217</v>
      </c>
      <c r="R153" s="435" t="s">
        <v>560</v>
      </c>
      <c r="S153" s="435" t="s">
        <v>561</v>
      </c>
      <c r="AC153" s="435" t="s">
        <v>2</v>
      </c>
      <c r="AE153" s="438"/>
      <c r="AF153" s="438"/>
      <c r="AG153" s="438"/>
      <c r="AH153" s="438"/>
      <c r="AI153" s="438"/>
    </row>
    <row r="154" spans="4:35">
      <c r="D154" s="435" t="s">
        <v>79</v>
      </c>
      <c r="E154" s="435" t="s">
        <v>68</v>
      </c>
      <c r="F154" s="435" t="s">
        <v>274</v>
      </c>
      <c r="G154" s="435" t="s">
        <v>12</v>
      </c>
      <c r="H154" s="435" t="s">
        <v>264</v>
      </c>
      <c r="I154" s="435" t="s">
        <v>7</v>
      </c>
      <c r="J154" s="435" t="s">
        <v>299</v>
      </c>
      <c r="K154" s="437" t="s">
        <v>310</v>
      </c>
      <c r="L154" s="437" t="s">
        <v>311</v>
      </c>
      <c r="M154" s="435" t="s">
        <v>848</v>
      </c>
      <c r="N154" s="435" t="s">
        <v>828</v>
      </c>
      <c r="O154" s="435" t="s">
        <v>217</v>
      </c>
      <c r="R154" s="435" t="s">
        <v>562</v>
      </c>
      <c r="S154" s="435" t="s">
        <v>563</v>
      </c>
      <c r="AC154" s="435" t="s">
        <v>2</v>
      </c>
      <c r="AE154" s="438"/>
      <c r="AF154" s="438"/>
      <c r="AG154" s="438"/>
      <c r="AH154" s="438"/>
      <c r="AI154" s="438"/>
    </row>
    <row r="155" spans="4:35">
      <c r="D155" s="435" t="s">
        <v>79</v>
      </c>
      <c r="E155" s="435" t="s">
        <v>68</v>
      </c>
      <c r="F155" s="435" t="s">
        <v>274</v>
      </c>
      <c r="G155" s="435" t="s">
        <v>12</v>
      </c>
      <c r="H155" s="435" t="s">
        <v>264</v>
      </c>
      <c r="I155" s="435" t="s">
        <v>7</v>
      </c>
      <c r="J155" s="435" t="s">
        <v>299</v>
      </c>
      <c r="K155" s="437" t="s">
        <v>310</v>
      </c>
      <c r="L155" s="437" t="s">
        <v>311</v>
      </c>
      <c r="M155" s="435" t="s">
        <v>848</v>
      </c>
      <c r="N155" s="436" t="s">
        <v>2870</v>
      </c>
      <c r="O155" s="435" t="s">
        <v>830</v>
      </c>
      <c r="R155" s="435" t="s">
        <v>564</v>
      </c>
      <c r="S155" s="435" t="s">
        <v>565</v>
      </c>
      <c r="AC155" s="435" t="s">
        <v>2</v>
      </c>
      <c r="AE155" s="438"/>
      <c r="AF155" s="438"/>
      <c r="AG155" s="438"/>
      <c r="AH155" s="438"/>
      <c r="AI155" s="438"/>
    </row>
    <row r="156" spans="4:35">
      <c r="D156" s="435" t="s">
        <v>79</v>
      </c>
      <c r="E156" s="435" t="s">
        <v>68</v>
      </c>
      <c r="F156" s="435" t="s">
        <v>274</v>
      </c>
      <c r="G156" s="435" t="s">
        <v>12</v>
      </c>
      <c r="H156" s="435" t="s">
        <v>264</v>
      </c>
      <c r="I156" s="435" t="s">
        <v>7</v>
      </c>
      <c r="J156" s="435" t="s">
        <v>299</v>
      </c>
      <c r="K156" s="437" t="s">
        <v>310</v>
      </c>
      <c r="L156" s="437" t="s">
        <v>311</v>
      </c>
      <c r="M156" s="435" t="s">
        <v>848</v>
      </c>
      <c r="N156" s="436" t="s">
        <v>2870</v>
      </c>
      <c r="O156" s="435" t="s">
        <v>830</v>
      </c>
      <c r="R156" s="435" t="s">
        <v>566</v>
      </c>
      <c r="S156" s="435" t="s">
        <v>567</v>
      </c>
      <c r="AC156" s="435" t="s">
        <v>2</v>
      </c>
      <c r="AE156" s="438"/>
      <c r="AF156" s="438"/>
      <c r="AG156" s="438"/>
      <c r="AH156" s="438"/>
      <c r="AI156" s="438"/>
    </row>
    <row r="157" spans="4:35">
      <c r="D157" s="435" t="s">
        <v>79</v>
      </c>
      <c r="E157" s="435" t="s">
        <v>68</v>
      </c>
      <c r="F157" s="435" t="s">
        <v>274</v>
      </c>
      <c r="G157" s="435" t="s">
        <v>12</v>
      </c>
      <c r="H157" s="435" t="s">
        <v>264</v>
      </c>
      <c r="I157" s="435" t="s">
        <v>7</v>
      </c>
      <c r="J157" s="435" t="s">
        <v>299</v>
      </c>
      <c r="K157" s="437" t="s">
        <v>310</v>
      </c>
      <c r="L157" s="437" t="s">
        <v>311</v>
      </c>
      <c r="M157" s="435" t="s">
        <v>848</v>
      </c>
      <c r="N157" s="435" t="s">
        <v>828</v>
      </c>
      <c r="O157" s="435" t="s">
        <v>217</v>
      </c>
      <c r="R157" s="435" t="s">
        <v>568</v>
      </c>
      <c r="S157" s="435" t="s">
        <v>569</v>
      </c>
      <c r="AC157" s="435" t="s">
        <v>2</v>
      </c>
      <c r="AE157" s="438"/>
      <c r="AF157" s="438"/>
      <c r="AG157" s="438"/>
      <c r="AH157" s="438"/>
      <c r="AI157" s="438"/>
    </row>
    <row r="158" spans="4:35">
      <c r="D158" s="435" t="s">
        <v>79</v>
      </c>
      <c r="E158" s="435" t="s">
        <v>68</v>
      </c>
      <c r="F158" s="435" t="s">
        <v>274</v>
      </c>
      <c r="G158" s="435" t="s">
        <v>12</v>
      </c>
      <c r="H158" s="435" t="s">
        <v>264</v>
      </c>
      <c r="I158" s="435" t="s">
        <v>7</v>
      </c>
      <c r="J158" s="435" t="s">
        <v>299</v>
      </c>
      <c r="K158" s="437" t="s">
        <v>310</v>
      </c>
      <c r="L158" s="437" t="s">
        <v>311</v>
      </c>
      <c r="M158" s="435" t="s">
        <v>848</v>
      </c>
      <c r="N158" s="435" t="s">
        <v>829</v>
      </c>
      <c r="O158" s="435" t="s">
        <v>214</v>
      </c>
      <c r="R158" s="435" t="s">
        <v>570</v>
      </c>
      <c r="S158" s="435" t="s">
        <v>571</v>
      </c>
      <c r="AC158" s="435" t="s">
        <v>2</v>
      </c>
      <c r="AE158" s="438"/>
      <c r="AF158" s="438"/>
      <c r="AG158" s="438"/>
      <c r="AH158" s="438"/>
      <c r="AI158" s="438"/>
    </row>
    <row r="159" spans="4:35">
      <c r="D159" s="435" t="s">
        <v>79</v>
      </c>
      <c r="E159" s="435" t="s">
        <v>68</v>
      </c>
      <c r="F159" s="435" t="s">
        <v>274</v>
      </c>
      <c r="G159" s="435" t="s">
        <v>12</v>
      </c>
      <c r="H159" s="435" t="s">
        <v>264</v>
      </c>
      <c r="I159" s="435" t="s">
        <v>7</v>
      </c>
      <c r="J159" s="435" t="s">
        <v>299</v>
      </c>
      <c r="K159" s="437" t="s">
        <v>310</v>
      </c>
      <c r="L159" s="437" t="s">
        <v>311</v>
      </c>
      <c r="M159" s="435" t="s">
        <v>848</v>
      </c>
      <c r="N159" s="435" t="s">
        <v>829</v>
      </c>
      <c r="O159" s="435" t="s">
        <v>214</v>
      </c>
      <c r="R159" s="435" t="s">
        <v>572</v>
      </c>
      <c r="S159" s="435" t="s">
        <v>573</v>
      </c>
      <c r="AC159" s="435" t="s">
        <v>2</v>
      </c>
      <c r="AE159" s="438"/>
      <c r="AF159" s="438"/>
      <c r="AG159" s="438"/>
      <c r="AH159" s="438"/>
      <c r="AI159" s="438"/>
    </row>
    <row r="160" spans="4:35">
      <c r="D160" s="435" t="s">
        <v>79</v>
      </c>
      <c r="E160" s="435" t="s">
        <v>68</v>
      </c>
      <c r="F160" s="435" t="s">
        <v>274</v>
      </c>
      <c r="G160" s="435" t="s">
        <v>12</v>
      </c>
      <c r="H160" s="435" t="s">
        <v>264</v>
      </c>
      <c r="I160" s="435" t="s">
        <v>7</v>
      </c>
      <c r="J160" s="435" t="s">
        <v>299</v>
      </c>
      <c r="K160" s="437" t="s">
        <v>310</v>
      </c>
      <c r="L160" s="437" t="s">
        <v>311</v>
      </c>
      <c r="M160" s="435" t="s">
        <v>848</v>
      </c>
      <c r="N160" s="435" t="s">
        <v>829</v>
      </c>
      <c r="O160" s="435" t="s">
        <v>214</v>
      </c>
      <c r="R160" s="435" t="s">
        <v>574</v>
      </c>
      <c r="S160" s="435" t="s">
        <v>575</v>
      </c>
      <c r="AC160" s="435" t="s">
        <v>2</v>
      </c>
      <c r="AE160" s="438"/>
      <c r="AF160" s="438"/>
      <c r="AG160" s="438"/>
      <c r="AH160" s="438"/>
      <c r="AI160" s="438"/>
    </row>
    <row r="161" spans="4:35">
      <c r="D161" s="435" t="s">
        <v>79</v>
      </c>
      <c r="E161" s="435" t="s">
        <v>68</v>
      </c>
      <c r="F161" s="435" t="s">
        <v>274</v>
      </c>
      <c r="G161" s="435" t="s">
        <v>12</v>
      </c>
      <c r="H161" s="435" t="s">
        <v>264</v>
      </c>
      <c r="I161" s="435" t="s">
        <v>7</v>
      </c>
      <c r="J161" s="435" t="s">
        <v>299</v>
      </c>
      <c r="K161" s="437" t="s">
        <v>310</v>
      </c>
      <c r="L161" s="437" t="s">
        <v>311</v>
      </c>
      <c r="M161" s="435" t="s">
        <v>848</v>
      </c>
      <c r="N161" s="436" t="s">
        <v>2870</v>
      </c>
      <c r="O161" s="435" t="s">
        <v>830</v>
      </c>
      <c r="R161" s="435" t="s">
        <v>576</v>
      </c>
      <c r="S161" s="435" t="s">
        <v>577</v>
      </c>
      <c r="AC161" s="435" t="s">
        <v>2</v>
      </c>
      <c r="AE161" s="438"/>
      <c r="AF161" s="438"/>
      <c r="AG161" s="438"/>
      <c r="AH161" s="438"/>
      <c r="AI161" s="438"/>
    </row>
    <row r="162" spans="4:35">
      <c r="D162" s="435" t="s">
        <v>79</v>
      </c>
      <c r="E162" s="435" t="s">
        <v>68</v>
      </c>
      <c r="F162" s="435" t="s">
        <v>274</v>
      </c>
      <c r="G162" s="435" t="s">
        <v>12</v>
      </c>
      <c r="H162" s="435" t="s">
        <v>264</v>
      </c>
      <c r="I162" s="435" t="s">
        <v>7</v>
      </c>
      <c r="J162" s="435" t="s">
        <v>299</v>
      </c>
      <c r="K162" s="437" t="s">
        <v>310</v>
      </c>
      <c r="L162" s="437" t="s">
        <v>311</v>
      </c>
      <c r="M162" s="435" t="s">
        <v>848</v>
      </c>
      <c r="N162" s="435" t="s">
        <v>829</v>
      </c>
      <c r="O162" s="435" t="s">
        <v>214</v>
      </c>
      <c r="R162" s="435" t="s">
        <v>578</v>
      </c>
      <c r="S162" s="435" t="s">
        <v>579</v>
      </c>
      <c r="AC162" s="435" t="s">
        <v>2</v>
      </c>
      <c r="AE162" s="438"/>
      <c r="AF162" s="438"/>
      <c r="AG162" s="438"/>
      <c r="AH162" s="438"/>
      <c r="AI162" s="438"/>
    </row>
    <row r="163" spans="4:35">
      <c r="D163" s="435" t="s">
        <v>79</v>
      </c>
      <c r="E163" s="435" t="s">
        <v>68</v>
      </c>
      <c r="F163" s="435" t="s">
        <v>274</v>
      </c>
      <c r="G163" s="435" t="s">
        <v>12</v>
      </c>
      <c r="H163" s="435" t="s">
        <v>264</v>
      </c>
      <c r="I163" s="435" t="s">
        <v>7</v>
      </c>
      <c r="J163" s="435" t="s">
        <v>299</v>
      </c>
      <c r="K163" s="437" t="s">
        <v>310</v>
      </c>
      <c r="L163" s="437" t="s">
        <v>311</v>
      </c>
      <c r="M163" s="435" t="s">
        <v>848</v>
      </c>
      <c r="N163" s="435" t="s">
        <v>829</v>
      </c>
      <c r="O163" s="435" t="s">
        <v>214</v>
      </c>
      <c r="R163" s="435" t="s">
        <v>580</v>
      </c>
      <c r="S163" s="435" t="s">
        <v>581</v>
      </c>
      <c r="AC163" s="435" t="s">
        <v>2</v>
      </c>
      <c r="AE163" s="438"/>
      <c r="AF163" s="438"/>
      <c r="AG163" s="438"/>
      <c r="AH163" s="438"/>
      <c r="AI163" s="438"/>
    </row>
    <row r="164" spans="4:35">
      <c r="D164" s="435" t="s">
        <v>79</v>
      </c>
      <c r="E164" s="435" t="s">
        <v>68</v>
      </c>
      <c r="F164" s="435" t="s">
        <v>274</v>
      </c>
      <c r="G164" s="435" t="s">
        <v>12</v>
      </c>
      <c r="H164" s="435" t="s">
        <v>264</v>
      </c>
      <c r="I164" s="435" t="s">
        <v>7</v>
      </c>
      <c r="J164" s="435" t="s">
        <v>299</v>
      </c>
      <c r="K164" s="437" t="s">
        <v>310</v>
      </c>
      <c r="L164" s="437" t="s">
        <v>311</v>
      </c>
      <c r="M164" s="435" t="s">
        <v>848</v>
      </c>
      <c r="N164" s="436" t="s">
        <v>2870</v>
      </c>
      <c r="O164" s="435" t="s">
        <v>830</v>
      </c>
      <c r="R164" s="435" t="s">
        <v>582</v>
      </c>
      <c r="S164" s="435" t="s">
        <v>583</v>
      </c>
      <c r="AC164" s="435" t="s">
        <v>2</v>
      </c>
      <c r="AE164" s="438"/>
      <c r="AF164" s="438"/>
      <c r="AG164" s="438"/>
      <c r="AH164" s="438"/>
      <c r="AI164" s="438"/>
    </row>
    <row r="165" spans="4:35">
      <c r="D165" s="435" t="s">
        <v>79</v>
      </c>
      <c r="E165" s="435" t="s">
        <v>68</v>
      </c>
      <c r="F165" s="435" t="s">
        <v>274</v>
      </c>
      <c r="G165" s="435" t="s">
        <v>12</v>
      </c>
      <c r="H165" s="435" t="s">
        <v>264</v>
      </c>
      <c r="I165" s="435" t="s">
        <v>7</v>
      </c>
      <c r="J165" s="435" t="s">
        <v>299</v>
      </c>
      <c r="K165" s="437" t="s">
        <v>310</v>
      </c>
      <c r="L165" s="437" t="s">
        <v>311</v>
      </c>
      <c r="M165" s="435" t="s">
        <v>848</v>
      </c>
      <c r="N165" s="435" t="s">
        <v>829</v>
      </c>
      <c r="O165" s="435" t="s">
        <v>214</v>
      </c>
      <c r="R165" s="435" t="s">
        <v>584</v>
      </c>
      <c r="S165" s="435" t="s">
        <v>585</v>
      </c>
      <c r="AC165" s="435" t="s">
        <v>2</v>
      </c>
      <c r="AE165" s="438"/>
      <c r="AF165" s="438"/>
      <c r="AG165" s="438"/>
      <c r="AH165" s="438"/>
      <c r="AI165" s="438"/>
    </row>
    <row r="166" spans="4:35">
      <c r="D166" s="435" t="s">
        <v>79</v>
      </c>
      <c r="E166" s="435" t="s">
        <v>68</v>
      </c>
      <c r="F166" s="435" t="s">
        <v>274</v>
      </c>
      <c r="G166" s="435" t="s">
        <v>12</v>
      </c>
      <c r="H166" s="435" t="s">
        <v>264</v>
      </c>
      <c r="I166" s="435" t="s">
        <v>7</v>
      </c>
      <c r="J166" s="435" t="s">
        <v>299</v>
      </c>
      <c r="K166" s="437" t="s">
        <v>310</v>
      </c>
      <c r="L166" s="437" t="s">
        <v>311</v>
      </c>
      <c r="M166" s="435" t="s">
        <v>848</v>
      </c>
      <c r="N166" s="435" t="s">
        <v>829</v>
      </c>
      <c r="O166" s="435" t="s">
        <v>214</v>
      </c>
      <c r="R166" s="435" t="s">
        <v>586</v>
      </c>
      <c r="S166" s="435" t="s">
        <v>587</v>
      </c>
      <c r="AC166" s="435" t="s">
        <v>2</v>
      </c>
      <c r="AE166" s="438"/>
      <c r="AF166" s="438"/>
      <c r="AG166" s="438"/>
      <c r="AH166" s="438"/>
      <c r="AI166" s="438"/>
    </row>
    <row r="167" spans="4:35">
      <c r="D167" s="435" t="s">
        <v>79</v>
      </c>
      <c r="E167" s="435" t="s">
        <v>68</v>
      </c>
      <c r="F167" s="435" t="s">
        <v>274</v>
      </c>
      <c r="G167" s="435" t="s">
        <v>12</v>
      </c>
      <c r="H167" s="435" t="s">
        <v>264</v>
      </c>
      <c r="I167" s="435" t="s">
        <v>7</v>
      </c>
      <c r="J167" s="435" t="s">
        <v>299</v>
      </c>
      <c r="K167" s="437" t="s">
        <v>310</v>
      </c>
      <c r="L167" s="437" t="s">
        <v>311</v>
      </c>
      <c r="M167" s="435" t="s">
        <v>848</v>
      </c>
      <c r="N167" s="435" t="s">
        <v>829</v>
      </c>
      <c r="O167" s="435" t="s">
        <v>214</v>
      </c>
      <c r="R167" s="435" t="s">
        <v>588</v>
      </c>
      <c r="S167" s="435" t="s">
        <v>589</v>
      </c>
      <c r="AC167" s="435" t="s">
        <v>2</v>
      </c>
      <c r="AE167" s="438"/>
      <c r="AF167" s="438"/>
      <c r="AG167" s="438"/>
      <c r="AH167" s="438"/>
      <c r="AI167" s="438"/>
    </row>
    <row r="168" spans="4:35">
      <c r="D168" s="435" t="s">
        <v>79</v>
      </c>
      <c r="E168" s="435" t="s">
        <v>68</v>
      </c>
      <c r="F168" s="435" t="s">
        <v>274</v>
      </c>
      <c r="G168" s="435" t="s">
        <v>12</v>
      </c>
      <c r="H168" s="435" t="s">
        <v>264</v>
      </c>
      <c r="I168" s="435" t="s">
        <v>7</v>
      </c>
      <c r="J168" s="435" t="s">
        <v>299</v>
      </c>
      <c r="K168" s="437" t="s">
        <v>310</v>
      </c>
      <c r="L168" s="437" t="s">
        <v>311</v>
      </c>
      <c r="M168" s="435" t="s">
        <v>848</v>
      </c>
      <c r="N168" s="436" t="s">
        <v>2870</v>
      </c>
      <c r="O168" s="435" t="s">
        <v>830</v>
      </c>
      <c r="R168" s="435" t="s">
        <v>590</v>
      </c>
      <c r="S168" s="435" t="s">
        <v>591</v>
      </c>
      <c r="AC168" s="435" t="s">
        <v>2</v>
      </c>
      <c r="AE168" s="438"/>
      <c r="AF168" s="438"/>
      <c r="AG168" s="438"/>
      <c r="AH168" s="438"/>
      <c r="AI168" s="438"/>
    </row>
    <row r="169" spans="4:35">
      <c r="D169" s="435" t="s">
        <v>79</v>
      </c>
      <c r="E169" s="435" t="s">
        <v>68</v>
      </c>
      <c r="F169" s="435" t="s">
        <v>274</v>
      </c>
      <c r="G169" s="435" t="s">
        <v>12</v>
      </c>
      <c r="H169" s="435" t="s">
        <v>264</v>
      </c>
      <c r="I169" s="435" t="s">
        <v>7</v>
      </c>
      <c r="J169" s="435" t="s">
        <v>299</v>
      </c>
      <c r="K169" s="437" t="s">
        <v>310</v>
      </c>
      <c r="L169" s="437" t="s">
        <v>311</v>
      </c>
      <c r="M169" s="435" t="s">
        <v>848</v>
      </c>
      <c r="N169" s="436" t="s">
        <v>2870</v>
      </c>
      <c r="O169" s="435" t="s">
        <v>830</v>
      </c>
      <c r="R169" s="435" t="s">
        <v>592</v>
      </c>
      <c r="S169" s="435" t="s">
        <v>579</v>
      </c>
      <c r="AC169" s="435" t="s">
        <v>2</v>
      </c>
      <c r="AE169" s="438"/>
      <c r="AF169" s="438"/>
      <c r="AG169" s="438"/>
      <c r="AH169" s="438"/>
      <c r="AI169" s="438"/>
    </row>
    <row r="170" spans="4:35">
      <c r="D170" s="435" t="s">
        <v>79</v>
      </c>
      <c r="E170" s="435" t="s">
        <v>68</v>
      </c>
      <c r="F170" s="435" t="s">
        <v>274</v>
      </c>
      <c r="G170" s="435" t="s">
        <v>12</v>
      </c>
      <c r="H170" s="435" t="s">
        <v>264</v>
      </c>
      <c r="I170" s="435" t="s">
        <v>7</v>
      </c>
      <c r="J170" s="435" t="s">
        <v>299</v>
      </c>
      <c r="K170" s="437" t="s">
        <v>310</v>
      </c>
      <c r="L170" s="437" t="s">
        <v>311</v>
      </c>
      <c r="M170" s="435" t="s">
        <v>848</v>
      </c>
      <c r="N170" s="436" t="s">
        <v>2870</v>
      </c>
      <c r="O170" s="435" t="s">
        <v>830</v>
      </c>
      <c r="R170" s="435" t="s">
        <v>593</v>
      </c>
      <c r="S170" s="435" t="s">
        <v>577</v>
      </c>
      <c r="AC170" s="435" t="s">
        <v>2</v>
      </c>
      <c r="AE170" s="438"/>
      <c r="AF170" s="438"/>
      <c r="AG170" s="438"/>
      <c r="AH170" s="438"/>
      <c r="AI170" s="438"/>
    </row>
    <row r="171" spans="4:35">
      <c r="D171" s="435" t="s">
        <v>79</v>
      </c>
      <c r="E171" s="435" t="s">
        <v>68</v>
      </c>
      <c r="F171" s="435" t="s">
        <v>274</v>
      </c>
      <c r="G171" s="435" t="s">
        <v>12</v>
      </c>
      <c r="H171" s="435" t="s">
        <v>264</v>
      </c>
      <c r="I171" s="435" t="s">
        <v>7</v>
      </c>
      <c r="J171" s="435" t="s">
        <v>299</v>
      </c>
      <c r="K171" s="437" t="s">
        <v>310</v>
      </c>
      <c r="L171" s="437" t="s">
        <v>311</v>
      </c>
      <c r="M171" s="435" t="s">
        <v>848</v>
      </c>
      <c r="N171" s="436" t="s">
        <v>2870</v>
      </c>
      <c r="O171" s="435" t="s">
        <v>830</v>
      </c>
      <c r="R171" s="435" t="s">
        <v>594</v>
      </c>
      <c r="S171" s="435" t="s">
        <v>581</v>
      </c>
      <c r="AC171" s="435" t="s">
        <v>2</v>
      </c>
      <c r="AE171" s="438"/>
      <c r="AF171" s="438"/>
      <c r="AG171" s="438"/>
      <c r="AH171" s="438"/>
      <c r="AI171" s="438"/>
    </row>
    <row r="172" spans="4:35">
      <c r="D172" s="435" t="s">
        <v>79</v>
      </c>
      <c r="E172" s="435" t="s">
        <v>68</v>
      </c>
      <c r="F172" s="435" t="s">
        <v>274</v>
      </c>
      <c r="G172" s="435" t="s">
        <v>12</v>
      </c>
      <c r="H172" s="435" t="s">
        <v>264</v>
      </c>
      <c r="I172" s="435" t="s">
        <v>7</v>
      </c>
      <c r="J172" s="435" t="s">
        <v>299</v>
      </c>
      <c r="K172" s="437" t="s">
        <v>310</v>
      </c>
      <c r="L172" s="437" t="s">
        <v>311</v>
      </c>
      <c r="M172" s="435" t="s">
        <v>848</v>
      </c>
      <c r="N172" s="436" t="s">
        <v>2870</v>
      </c>
      <c r="O172" s="435" t="s">
        <v>830</v>
      </c>
      <c r="R172" s="435" t="s">
        <v>595</v>
      </c>
      <c r="S172" s="435" t="s">
        <v>596</v>
      </c>
      <c r="AC172" s="435" t="s">
        <v>2</v>
      </c>
      <c r="AE172" s="438"/>
      <c r="AF172" s="438"/>
      <c r="AG172" s="438"/>
      <c r="AH172" s="438"/>
      <c r="AI172" s="438"/>
    </row>
    <row r="173" spans="4:35">
      <c r="D173" s="435" t="s">
        <v>79</v>
      </c>
      <c r="E173" s="435" t="s">
        <v>68</v>
      </c>
      <c r="F173" s="435" t="s">
        <v>274</v>
      </c>
      <c r="G173" s="435" t="s">
        <v>12</v>
      </c>
      <c r="H173" s="435" t="s">
        <v>264</v>
      </c>
      <c r="I173" s="435" t="s">
        <v>7</v>
      </c>
      <c r="J173" s="435" t="s">
        <v>299</v>
      </c>
      <c r="K173" s="437" t="s">
        <v>310</v>
      </c>
      <c r="L173" s="437" t="s">
        <v>311</v>
      </c>
      <c r="M173" s="435" t="s">
        <v>848</v>
      </c>
      <c r="N173" s="436" t="s">
        <v>2870</v>
      </c>
      <c r="O173" s="435" t="s">
        <v>830</v>
      </c>
      <c r="R173" s="435" t="s">
        <v>597</v>
      </c>
      <c r="S173" s="435" t="s">
        <v>598</v>
      </c>
      <c r="AC173" s="435" t="s">
        <v>2</v>
      </c>
      <c r="AE173" s="438"/>
      <c r="AF173" s="438"/>
      <c r="AG173" s="438"/>
      <c r="AH173" s="438"/>
      <c r="AI173" s="438"/>
    </row>
    <row r="174" spans="4:35">
      <c r="D174" s="435" t="s">
        <v>79</v>
      </c>
      <c r="E174" s="435" t="s">
        <v>68</v>
      </c>
      <c r="F174" s="435" t="s">
        <v>274</v>
      </c>
      <c r="G174" s="435" t="s">
        <v>12</v>
      </c>
      <c r="H174" s="435" t="s">
        <v>264</v>
      </c>
      <c r="I174" s="435" t="s">
        <v>7</v>
      </c>
      <c r="J174" s="435" t="s">
        <v>299</v>
      </c>
      <c r="K174" s="437" t="s">
        <v>310</v>
      </c>
      <c r="L174" s="437" t="s">
        <v>311</v>
      </c>
      <c r="M174" s="435" t="s">
        <v>848</v>
      </c>
      <c r="N174" s="436" t="s">
        <v>2870</v>
      </c>
      <c r="O174" s="435" t="s">
        <v>830</v>
      </c>
      <c r="R174" s="435" t="s">
        <v>599</v>
      </c>
      <c r="S174" s="435" t="s">
        <v>529</v>
      </c>
      <c r="AC174" s="435" t="s">
        <v>2</v>
      </c>
      <c r="AE174" s="438"/>
      <c r="AF174" s="438"/>
      <c r="AG174" s="438"/>
      <c r="AH174" s="438"/>
      <c r="AI174" s="438"/>
    </row>
    <row r="175" spans="4:35">
      <c r="D175" s="435" t="s">
        <v>79</v>
      </c>
      <c r="E175" s="435" t="s">
        <v>68</v>
      </c>
      <c r="F175" s="435" t="s">
        <v>274</v>
      </c>
      <c r="G175" s="435" t="s">
        <v>12</v>
      </c>
      <c r="H175" s="435" t="s">
        <v>264</v>
      </c>
      <c r="I175" s="435" t="s">
        <v>7</v>
      </c>
      <c r="J175" s="435" t="s">
        <v>299</v>
      </c>
      <c r="K175" s="437" t="s">
        <v>310</v>
      </c>
      <c r="L175" s="437" t="s">
        <v>311</v>
      </c>
      <c r="M175" s="435" t="s">
        <v>848</v>
      </c>
      <c r="N175" s="436" t="s">
        <v>2870</v>
      </c>
      <c r="O175" s="435" t="s">
        <v>830</v>
      </c>
      <c r="R175" s="435" t="s">
        <v>600</v>
      </c>
      <c r="S175" s="435" t="s">
        <v>527</v>
      </c>
      <c r="AC175" s="435" t="s">
        <v>2</v>
      </c>
      <c r="AE175" s="438"/>
      <c r="AF175" s="438"/>
      <c r="AG175" s="438"/>
      <c r="AH175" s="438"/>
      <c r="AI175" s="438"/>
    </row>
    <row r="176" spans="4:35">
      <c r="D176" s="435" t="s">
        <v>79</v>
      </c>
      <c r="E176" s="435" t="s">
        <v>68</v>
      </c>
      <c r="F176" s="435" t="s">
        <v>274</v>
      </c>
      <c r="G176" s="435" t="s">
        <v>12</v>
      </c>
      <c r="H176" s="435" t="s">
        <v>264</v>
      </c>
      <c r="I176" s="435" t="s">
        <v>7</v>
      </c>
      <c r="J176" s="435" t="s">
        <v>299</v>
      </c>
      <c r="K176" s="437" t="s">
        <v>310</v>
      </c>
      <c r="L176" s="437" t="s">
        <v>311</v>
      </c>
      <c r="M176" s="435" t="s">
        <v>848</v>
      </c>
      <c r="N176" s="436" t="s">
        <v>2870</v>
      </c>
      <c r="O176" s="435" t="s">
        <v>830</v>
      </c>
      <c r="R176" s="435" t="s">
        <v>601</v>
      </c>
      <c r="S176" s="435" t="s">
        <v>531</v>
      </c>
      <c r="AC176" s="435" t="s">
        <v>2</v>
      </c>
      <c r="AE176" s="438"/>
      <c r="AF176" s="438"/>
      <c r="AG176" s="438"/>
      <c r="AH176" s="438"/>
      <c r="AI176" s="438"/>
    </row>
    <row r="177" spans="4:35">
      <c r="D177" s="435" t="s">
        <v>79</v>
      </c>
      <c r="E177" s="435" t="s">
        <v>68</v>
      </c>
      <c r="F177" s="435" t="s">
        <v>274</v>
      </c>
      <c r="G177" s="435" t="s">
        <v>12</v>
      </c>
      <c r="H177" s="435" t="s">
        <v>264</v>
      </c>
      <c r="I177" s="435" t="s">
        <v>7</v>
      </c>
      <c r="J177" s="435" t="s">
        <v>299</v>
      </c>
      <c r="K177" s="437" t="s">
        <v>310</v>
      </c>
      <c r="L177" s="437" t="s">
        <v>311</v>
      </c>
      <c r="M177" s="435" t="s">
        <v>848</v>
      </c>
      <c r="N177" s="436" t="s">
        <v>2870</v>
      </c>
      <c r="O177" s="435" t="s">
        <v>830</v>
      </c>
      <c r="R177" s="435" t="s">
        <v>602</v>
      </c>
      <c r="S177" s="435" t="s">
        <v>535</v>
      </c>
      <c r="AC177" s="435" t="s">
        <v>2</v>
      </c>
      <c r="AE177" s="438"/>
      <c r="AF177" s="438"/>
      <c r="AG177" s="438"/>
      <c r="AH177" s="438"/>
      <c r="AI177" s="438"/>
    </row>
    <row r="178" spans="4:35">
      <c r="D178" s="435" t="s">
        <v>79</v>
      </c>
      <c r="E178" s="435" t="s">
        <v>68</v>
      </c>
      <c r="F178" s="435" t="s">
        <v>274</v>
      </c>
      <c r="G178" s="435" t="s">
        <v>12</v>
      </c>
      <c r="H178" s="435" t="s">
        <v>264</v>
      </c>
      <c r="I178" s="435" t="s">
        <v>7</v>
      </c>
      <c r="J178" s="435" t="s">
        <v>299</v>
      </c>
      <c r="K178" s="437" t="s">
        <v>310</v>
      </c>
      <c r="L178" s="437" t="s">
        <v>311</v>
      </c>
      <c r="M178" s="435" t="s">
        <v>848</v>
      </c>
      <c r="N178" s="436" t="s">
        <v>2870</v>
      </c>
      <c r="O178" s="435" t="s">
        <v>830</v>
      </c>
      <c r="R178" s="435" t="s">
        <v>603</v>
      </c>
      <c r="S178" s="435" t="s">
        <v>533</v>
      </c>
      <c r="AC178" s="435" t="s">
        <v>2</v>
      </c>
      <c r="AE178" s="438"/>
      <c r="AF178" s="438"/>
      <c r="AG178" s="438"/>
      <c r="AH178" s="438"/>
      <c r="AI178" s="438"/>
    </row>
    <row r="179" spans="4:35">
      <c r="D179" s="435" t="s">
        <v>79</v>
      </c>
      <c r="E179" s="435" t="s">
        <v>68</v>
      </c>
      <c r="F179" s="435" t="s">
        <v>274</v>
      </c>
      <c r="G179" s="435" t="s">
        <v>12</v>
      </c>
      <c r="H179" s="435" t="s">
        <v>264</v>
      </c>
      <c r="I179" s="435" t="s">
        <v>7</v>
      </c>
      <c r="J179" s="435" t="s">
        <v>299</v>
      </c>
      <c r="K179" s="437" t="s">
        <v>310</v>
      </c>
      <c r="L179" s="437" t="s">
        <v>311</v>
      </c>
      <c r="M179" s="435" t="s">
        <v>848</v>
      </c>
      <c r="N179" s="436" t="s">
        <v>2870</v>
      </c>
      <c r="O179" s="435" t="s">
        <v>830</v>
      </c>
      <c r="R179" s="435" t="s">
        <v>604</v>
      </c>
      <c r="S179" s="435" t="s">
        <v>585</v>
      </c>
      <c r="AC179" s="435" t="s">
        <v>2</v>
      </c>
      <c r="AE179" s="438"/>
      <c r="AF179" s="438"/>
      <c r="AG179" s="438"/>
      <c r="AH179" s="438"/>
      <c r="AI179" s="438"/>
    </row>
    <row r="180" spans="4:35">
      <c r="D180" s="435" t="s">
        <v>79</v>
      </c>
      <c r="E180" s="435" t="s">
        <v>68</v>
      </c>
      <c r="F180" s="435" t="s">
        <v>274</v>
      </c>
      <c r="G180" s="435" t="s">
        <v>12</v>
      </c>
      <c r="H180" s="435" t="s">
        <v>264</v>
      </c>
      <c r="I180" s="435" t="s">
        <v>7</v>
      </c>
      <c r="J180" s="435" t="s">
        <v>299</v>
      </c>
      <c r="K180" s="437" t="s">
        <v>310</v>
      </c>
      <c r="L180" s="437" t="s">
        <v>311</v>
      </c>
      <c r="M180" s="435" t="s">
        <v>848</v>
      </c>
      <c r="N180" s="436" t="s">
        <v>2870</v>
      </c>
      <c r="O180" s="435" t="s">
        <v>830</v>
      </c>
      <c r="R180" s="435" t="s">
        <v>605</v>
      </c>
      <c r="S180" s="435" t="s">
        <v>537</v>
      </c>
      <c r="AC180" s="435" t="s">
        <v>2</v>
      </c>
      <c r="AE180" s="438"/>
      <c r="AF180" s="438"/>
      <c r="AG180" s="438"/>
      <c r="AH180" s="438"/>
      <c r="AI180" s="438"/>
    </row>
    <row r="181" spans="4:35">
      <c r="D181" s="435" t="s">
        <v>79</v>
      </c>
      <c r="E181" s="435" t="s">
        <v>68</v>
      </c>
      <c r="F181" s="435" t="s">
        <v>274</v>
      </c>
      <c r="G181" s="435" t="s">
        <v>12</v>
      </c>
      <c r="H181" s="435" t="s">
        <v>264</v>
      </c>
      <c r="I181" s="435" t="s">
        <v>7</v>
      </c>
      <c r="J181" s="435" t="s">
        <v>299</v>
      </c>
      <c r="K181" s="437" t="s">
        <v>310</v>
      </c>
      <c r="L181" s="437" t="s">
        <v>311</v>
      </c>
      <c r="M181" s="435" t="s">
        <v>848</v>
      </c>
      <c r="N181" s="436" t="s">
        <v>2870</v>
      </c>
      <c r="O181" s="435" t="s">
        <v>830</v>
      </c>
      <c r="R181" s="435" t="s">
        <v>606</v>
      </c>
      <c r="S181" s="435" t="s">
        <v>571</v>
      </c>
      <c r="AC181" s="435" t="s">
        <v>2</v>
      </c>
      <c r="AE181" s="438"/>
      <c r="AF181" s="438"/>
      <c r="AG181" s="438"/>
      <c r="AH181" s="438"/>
      <c r="AI181" s="438"/>
    </row>
    <row r="182" spans="4:35">
      <c r="D182" s="435" t="s">
        <v>79</v>
      </c>
      <c r="E182" s="435" t="s">
        <v>68</v>
      </c>
      <c r="F182" s="435" t="s">
        <v>274</v>
      </c>
      <c r="G182" s="435" t="s">
        <v>12</v>
      </c>
      <c r="H182" s="435" t="s">
        <v>264</v>
      </c>
      <c r="I182" s="435" t="s">
        <v>7</v>
      </c>
      <c r="J182" s="435" t="s">
        <v>299</v>
      </c>
      <c r="K182" s="437" t="s">
        <v>310</v>
      </c>
      <c r="L182" s="437" t="s">
        <v>311</v>
      </c>
      <c r="M182" s="435" t="s">
        <v>848</v>
      </c>
      <c r="N182" s="436" t="s">
        <v>2870</v>
      </c>
      <c r="O182" s="435" t="s">
        <v>830</v>
      </c>
      <c r="R182" s="435" t="s">
        <v>607</v>
      </c>
      <c r="S182" s="435" t="s">
        <v>575</v>
      </c>
      <c r="AC182" s="435" t="s">
        <v>2</v>
      </c>
      <c r="AE182" s="438"/>
      <c r="AF182" s="438"/>
      <c r="AG182" s="438"/>
      <c r="AH182" s="438"/>
      <c r="AI182" s="438"/>
    </row>
    <row r="183" spans="4:35">
      <c r="D183" s="435" t="s">
        <v>79</v>
      </c>
      <c r="E183" s="435" t="s">
        <v>68</v>
      </c>
      <c r="F183" s="435" t="s">
        <v>274</v>
      </c>
      <c r="G183" s="435" t="s">
        <v>12</v>
      </c>
      <c r="H183" s="435" t="s">
        <v>264</v>
      </c>
      <c r="I183" s="435" t="s">
        <v>7</v>
      </c>
      <c r="J183" s="435" t="s">
        <v>299</v>
      </c>
      <c r="K183" s="437" t="s">
        <v>310</v>
      </c>
      <c r="L183" s="437" t="s">
        <v>311</v>
      </c>
      <c r="M183" s="435" t="s">
        <v>848</v>
      </c>
      <c r="N183" s="436" t="s">
        <v>2870</v>
      </c>
      <c r="O183" s="435" t="s">
        <v>830</v>
      </c>
      <c r="R183" s="435" t="s">
        <v>608</v>
      </c>
      <c r="S183" s="435" t="s">
        <v>587</v>
      </c>
      <c r="AC183" s="435" t="s">
        <v>2</v>
      </c>
      <c r="AE183" s="438"/>
      <c r="AF183" s="438"/>
      <c r="AG183" s="438"/>
      <c r="AH183" s="438"/>
      <c r="AI183" s="438"/>
    </row>
    <row r="184" spans="4:35">
      <c r="D184" s="435" t="s">
        <v>79</v>
      </c>
      <c r="E184" s="435" t="s">
        <v>68</v>
      </c>
      <c r="F184" s="435" t="s">
        <v>274</v>
      </c>
      <c r="G184" s="435" t="s">
        <v>12</v>
      </c>
      <c r="H184" s="435" t="s">
        <v>264</v>
      </c>
      <c r="I184" s="435" t="s">
        <v>7</v>
      </c>
      <c r="J184" s="435" t="s">
        <v>299</v>
      </c>
      <c r="K184" s="437" t="s">
        <v>310</v>
      </c>
      <c r="L184" s="437" t="s">
        <v>311</v>
      </c>
      <c r="M184" s="435" t="s">
        <v>848</v>
      </c>
      <c r="N184" s="436" t="s">
        <v>2870</v>
      </c>
      <c r="O184" s="435" t="s">
        <v>830</v>
      </c>
      <c r="R184" s="435" t="s">
        <v>609</v>
      </c>
      <c r="S184" s="435" t="s">
        <v>567</v>
      </c>
      <c r="AC184" s="435" t="s">
        <v>2</v>
      </c>
      <c r="AE184" s="438"/>
      <c r="AF184" s="438"/>
      <c r="AG184" s="438"/>
      <c r="AH184" s="438"/>
      <c r="AI184" s="438"/>
    </row>
    <row r="185" spans="4:35">
      <c r="D185" s="435" t="s">
        <v>79</v>
      </c>
      <c r="E185" s="435" t="s">
        <v>68</v>
      </c>
      <c r="F185" s="435" t="s">
        <v>274</v>
      </c>
      <c r="G185" s="435" t="s">
        <v>12</v>
      </c>
      <c r="H185" s="435" t="s">
        <v>264</v>
      </c>
      <c r="I185" s="435" t="s">
        <v>7</v>
      </c>
      <c r="J185" s="435" t="s">
        <v>299</v>
      </c>
      <c r="K185" s="437" t="s">
        <v>310</v>
      </c>
      <c r="L185" s="437" t="s">
        <v>311</v>
      </c>
      <c r="M185" s="435" t="s">
        <v>848</v>
      </c>
      <c r="N185" s="436" t="s">
        <v>2870</v>
      </c>
      <c r="O185" s="435" t="s">
        <v>830</v>
      </c>
      <c r="R185" s="435" t="s">
        <v>610</v>
      </c>
      <c r="S185" s="435" t="s">
        <v>569</v>
      </c>
      <c r="AC185" s="435" t="s">
        <v>2</v>
      </c>
      <c r="AE185" s="438"/>
      <c r="AF185" s="438"/>
      <c r="AG185" s="438"/>
      <c r="AH185" s="438"/>
      <c r="AI185" s="438"/>
    </row>
    <row r="186" spans="4:35">
      <c r="D186" s="435" t="s">
        <v>79</v>
      </c>
      <c r="E186" s="435" t="s">
        <v>68</v>
      </c>
      <c r="F186" s="435" t="s">
        <v>274</v>
      </c>
      <c r="G186" s="435" t="s">
        <v>12</v>
      </c>
      <c r="H186" s="435" t="s">
        <v>264</v>
      </c>
      <c r="I186" s="435" t="s">
        <v>7</v>
      </c>
      <c r="J186" s="435" t="s">
        <v>299</v>
      </c>
      <c r="K186" s="437" t="s">
        <v>310</v>
      </c>
      <c r="L186" s="437" t="s">
        <v>311</v>
      </c>
      <c r="M186" s="435" t="s">
        <v>848</v>
      </c>
      <c r="N186" s="436" t="s">
        <v>2870</v>
      </c>
      <c r="O186" s="435" t="s">
        <v>830</v>
      </c>
      <c r="R186" s="435" t="s">
        <v>611</v>
      </c>
      <c r="S186" s="435" t="s">
        <v>612</v>
      </c>
      <c r="AC186" s="435" t="s">
        <v>2</v>
      </c>
      <c r="AE186" s="438"/>
      <c r="AF186" s="438"/>
      <c r="AG186" s="438"/>
      <c r="AH186" s="438"/>
      <c r="AI186" s="438"/>
    </row>
    <row r="187" spans="4:35">
      <c r="D187" s="435" t="s">
        <v>79</v>
      </c>
      <c r="E187" s="435" t="s">
        <v>68</v>
      </c>
      <c r="F187" s="435" t="s">
        <v>274</v>
      </c>
      <c r="G187" s="435" t="s">
        <v>12</v>
      </c>
      <c r="H187" s="435" t="s">
        <v>264</v>
      </c>
      <c r="I187" s="435" t="s">
        <v>7</v>
      </c>
      <c r="J187" s="435" t="s">
        <v>299</v>
      </c>
      <c r="K187" s="437" t="s">
        <v>310</v>
      </c>
      <c r="L187" s="437" t="s">
        <v>311</v>
      </c>
      <c r="M187" s="435" t="s">
        <v>848</v>
      </c>
      <c r="N187" s="436" t="s">
        <v>2870</v>
      </c>
      <c r="O187" s="435" t="s">
        <v>830</v>
      </c>
      <c r="R187" s="435" t="s">
        <v>613</v>
      </c>
      <c r="S187" s="435" t="s">
        <v>614</v>
      </c>
      <c r="AC187" s="435" t="s">
        <v>2</v>
      </c>
      <c r="AE187" s="438"/>
      <c r="AF187" s="438"/>
      <c r="AG187" s="438"/>
      <c r="AH187" s="438"/>
      <c r="AI187" s="438"/>
    </row>
    <row r="188" spans="4:35">
      <c r="D188" s="435" t="s">
        <v>79</v>
      </c>
      <c r="E188" s="435" t="s">
        <v>68</v>
      </c>
      <c r="F188" s="435" t="s">
        <v>274</v>
      </c>
      <c r="G188" s="435" t="s">
        <v>12</v>
      </c>
      <c r="H188" s="435" t="s">
        <v>264</v>
      </c>
      <c r="I188" s="435" t="s">
        <v>7</v>
      </c>
      <c r="J188" s="435" t="s">
        <v>299</v>
      </c>
      <c r="K188" s="437" t="s">
        <v>310</v>
      </c>
      <c r="L188" s="437" t="s">
        <v>311</v>
      </c>
      <c r="M188" s="435" t="s">
        <v>848</v>
      </c>
      <c r="N188" s="436" t="s">
        <v>2870</v>
      </c>
      <c r="O188" s="435" t="s">
        <v>830</v>
      </c>
      <c r="R188" s="435" t="s">
        <v>615</v>
      </c>
      <c r="S188" s="435" t="s">
        <v>555</v>
      </c>
      <c r="AC188" s="435" t="s">
        <v>2</v>
      </c>
      <c r="AE188" s="438"/>
      <c r="AF188" s="438"/>
      <c r="AG188" s="438"/>
      <c r="AH188" s="438"/>
      <c r="AI188" s="438"/>
    </row>
    <row r="189" spans="4:35">
      <c r="D189" s="435" t="s">
        <v>79</v>
      </c>
      <c r="E189" s="435" t="s">
        <v>68</v>
      </c>
      <c r="F189" s="435" t="s">
        <v>274</v>
      </c>
      <c r="G189" s="435" t="s">
        <v>12</v>
      </c>
      <c r="H189" s="435" t="s">
        <v>264</v>
      </c>
      <c r="I189" s="435" t="s">
        <v>7</v>
      </c>
      <c r="J189" s="435" t="s">
        <v>299</v>
      </c>
      <c r="K189" s="437" t="s">
        <v>310</v>
      </c>
      <c r="L189" s="437" t="s">
        <v>311</v>
      </c>
      <c r="M189" s="435" t="s">
        <v>848</v>
      </c>
      <c r="N189" s="436" t="s">
        <v>2870</v>
      </c>
      <c r="O189" s="435" t="s">
        <v>830</v>
      </c>
      <c r="R189" s="435" t="s">
        <v>616</v>
      </c>
      <c r="S189" s="435" t="s">
        <v>559</v>
      </c>
      <c r="AC189" s="435" t="s">
        <v>2</v>
      </c>
      <c r="AE189" s="438"/>
      <c r="AF189" s="438"/>
      <c r="AG189" s="438"/>
      <c r="AH189" s="438"/>
      <c r="AI189" s="438"/>
    </row>
    <row r="190" spans="4:35">
      <c r="D190" s="435" t="s">
        <v>79</v>
      </c>
      <c r="E190" s="435" t="s">
        <v>68</v>
      </c>
      <c r="F190" s="435" t="s">
        <v>274</v>
      </c>
      <c r="G190" s="435" t="s">
        <v>12</v>
      </c>
      <c r="H190" s="435" t="s">
        <v>264</v>
      </c>
      <c r="I190" s="435" t="s">
        <v>7</v>
      </c>
      <c r="J190" s="435" t="s">
        <v>299</v>
      </c>
      <c r="K190" s="437" t="s">
        <v>310</v>
      </c>
      <c r="L190" s="437" t="s">
        <v>311</v>
      </c>
      <c r="M190" s="435" t="s">
        <v>848</v>
      </c>
      <c r="N190" s="436" t="s">
        <v>2870</v>
      </c>
      <c r="O190" s="435" t="s">
        <v>830</v>
      </c>
      <c r="R190" s="435" t="s">
        <v>617</v>
      </c>
      <c r="S190" s="435" t="s">
        <v>618</v>
      </c>
      <c r="AC190" s="435" t="s">
        <v>2</v>
      </c>
      <c r="AE190" s="438"/>
      <c r="AF190" s="438"/>
      <c r="AG190" s="438"/>
      <c r="AH190" s="438"/>
      <c r="AI190" s="438"/>
    </row>
    <row r="191" spans="4:35">
      <c r="D191" s="435" t="s">
        <v>79</v>
      </c>
      <c r="E191" s="435" t="s">
        <v>68</v>
      </c>
      <c r="F191" s="435" t="s">
        <v>274</v>
      </c>
      <c r="G191" s="435" t="s">
        <v>12</v>
      </c>
      <c r="H191" s="435" t="s">
        <v>264</v>
      </c>
      <c r="I191" s="435" t="s">
        <v>7</v>
      </c>
      <c r="J191" s="435" t="s">
        <v>299</v>
      </c>
      <c r="K191" s="437" t="s">
        <v>310</v>
      </c>
      <c r="L191" s="437" t="s">
        <v>311</v>
      </c>
      <c r="M191" s="435" t="s">
        <v>848</v>
      </c>
      <c r="N191" s="436" t="s">
        <v>2870</v>
      </c>
      <c r="O191" s="435" t="s">
        <v>830</v>
      </c>
      <c r="R191" s="435" t="s">
        <v>619</v>
      </c>
      <c r="S191" s="435" t="s">
        <v>561</v>
      </c>
      <c r="AC191" s="435" t="s">
        <v>2</v>
      </c>
      <c r="AE191" s="438"/>
      <c r="AF191" s="438"/>
      <c r="AG191" s="438"/>
      <c r="AH191" s="438"/>
      <c r="AI191" s="438"/>
    </row>
    <row r="192" spans="4:35">
      <c r="D192" s="435" t="s">
        <v>79</v>
      </c>
      <c r="E192" s="435" t="s">
        <v>68</v>
      </c>
      <c r="F192" s="435" t="s">
        <v>274</v>
      </c>
      <c r="G192" s="435" t="s">
        <v>12</v>
      </c>
      <c r="H192" s="435" t="s">
        <v>264</v>
      </c>
      <c r="I192" s="435" t="s">
        <v>7</v>
      </c>
      <c r="J192" s="435" t="s">
        <v>299</v>
      </c>
      <c r="K192" s="437" t="s">
        <v>310</v>
      </c>
      <c r="L192" s="437" t="s">
        <v>311</v>
      </c>
      <c r="M192" s="435" t="s">
        <v>848</v>
      </c>
      <c r="N192" s="436" t="s">
        <v>2870</v>
      </c>
      <c r="O192" s="435" t="s">
        <v>830</v>
      </c>
      <c r="R192" s="435" t="s">
        <v>620</v>
      </c>
      <c r="S192" s="435" t="s">
        <v>621</v>
      </c>
      <c r="AC192" s="435" t="s">
        <v>2</v>
      </c>
      <c r="AE192" s="438"/>
      <c r="AF192" s="438"/>
      <c r="AG192" s="438"/>
      <c r="AH192" s="438"/>
      <c r="AI192" s="438"/>
    </row>
    <row r="193" spans="4:35">
      <c r="D193" s="435" t="s">
        <v>79</v>
      </c>
      <c r="E193" s="435" t="s">
        <v>68</v>
      </c>
      <c r="F193" s="435" t="s">
        <v>274</v>
      </c>
      <c r="G193" s="435" t="s">
        <v>12</v>
      </c>
      <c r="H193" s="435" t="s">
        <v>264</v>
      </c>
      <c r="I193" s="435" t="s">
        <v>7</v>
      </c>
      <c r="J193" s="435" t="s">
        <v>299</v>
      </c>
      <c r="K193" s="437" t="s">
        <v>310</v>
      </c>
      <c r="L193" s="437" t="s">
        <v>311</v>
      </c>
      <c r="M193" s="435" t="s">
        <v>848</v>
      </c>
      <c r="N193" s="436" t="s">
        <v>2870</v>
      </c>
      <c r="O193" s="435" t="s">
        <v>830</v>
      </c>
      <c r="R193" s="435" t="s">
        <v>622</v>
      </c>
      <c r="S193" s="435" t="s">
        <v>549</v>
      </c>
      <c r="AC193" s="435" t="s">
        <v>2</v>
      </c>
      <c r="AE193" s="438"/>
      <c r="AF193" s="438"/>
      <c r="AG193" s="438"/>
      <c r="AH193" s="438"/>
      <c r="AI193" s="438"/>
    </row>
    <row r="194" spans="4:35">
      <c r="D194" s="435" t="s">
        <v>79</v>
      </c>
      <c r="E194" s="435" t="s">
        <v>68</v>
      </c>
      <c r="F194" s="435" t="s">
        <v>274</v>
      </c>
      <c r="G194" s="435" t="s">
        <v>12</v>
      </c>
      <c r="H194" s="435" t="s">
        <v>264</v>
      </c>
      <c r="I194" s="435" t="s">
        <v>7</v>
      </c>
      <c r="J194" s="435" t="s">
        <v>299</v>
      </c>
      <c r="K194" s="437" t="s">
        <v>310</v>
      </c>
      <c r="L194" s="437" t="s">
        <v>311</v>
      </c>
      <c r="M194" s="435" t="s">
        <v>848</v>
      </c>
      <c r="N194" s="436" t="s">
        <v>2870</v>
      </c>
      <c r="O194" s="435" t="s">
        <v>830</v>
      </c>
      <c r="R194" s="435" t="s">
        <v>623</v>
      </c>
      <c r="S194" s="435" t="s">
        <v>624</v>
      </c>
      <c r="AC194" s="435" t="s">
        <v>2</v>
      </c>
      <c r="AE194" s="438"/>
      <c r="AF194" s="438"/>
      <c r="AG194" s="438"/>
      <c r="AH194" s="438"/>
      <c r="AI194" s="438"/>
    </row>
    <row r="195" spans="4:35">
      <c r="D195" s="435" t="s">
        <v>79</v>
      </c>
      <c r="E195" s="435" t="s">
        <v>68</v>
      </c>
      <c r="F195" s="435" t="s">
        <v>274</v>
      </c>
      <c r="G195" s="435" t="s">
        <v>12</v>
      </c>
      <c r="H195" s="435" t="s">
        <v>264</v>
      </c>
      <c r="I195" s="435" t="s">
        <v>7</v>
      </c>
      <c r="J195" s="435" t="s">
        <v>299</v>
      </c>
      <c r="K195" s="437" t="s">
        <v>310</v>
      </c>
      <c r="L195" s="437" t="s">
        <v>311</v>
      </c>
      <c r="M195" s="435" t="s">
        <v>848</v>
      </c>
      <c r="N195" s="436" t="s">
        <v>2870</v>
      </c>
      <c r="O195" s="435" t="s">
        <v>830</v>
      </c>
      <c r="R195" s="435" t="s">
        <v>625</v>
      </c>
      <c r="S195" s="435" t="s">
        <v>551</v>
      </c>
      <c r="AC195" s="435" t="s">
        <v>2</v>
      </c>
      <c r="AE195" s="438"/>
      <c r="AF195" s="438"/>
      <c r="AG195" s="438"/>
      <c r="AH195" s="438"/>
      <c r="AI195" s="438"/>
    </row>
    <row r="196" spans="4:35">
      <c r="D196" s="435" t="s">
        <v>79</v>
      </c>
      <c r="E196" s="435" t="s">
        <v>68</v>
      </c>
      <c r="F196" s="435" t="s">
        <v>274</v>
      </c>
      <c r="G196" s="435" t="s">
        <v>12</v>
      </c>
      <c r="H196" s="435" t="s">
        <v>264</v>
      </c>
      <c r="I196" s="435" t="s">
        <v>7</v>
      </c>
      <c r="J196" s="435" t="s">
        <v>299</v>
      </c>
      <c r="K196" s="437" t="s">
        <v>310</v>
      </c>
      <c r="L196" s="437" t="s">
        <v>311</v>
      </c>
      <c r="M196" s="435" t="s">
        <v>848</v>
      </c>
      <c r="N196" s="436" t="s">
        <v>2870</v>
      </c>
      <c r="O196" s="435" t="s">
        <v>830</v>
      </c>
      <c r="R196" s="435" t="s">
        <v>626</v>
      </c>
      <c r="S196" s="435" t="s">
        <v>523</v>
      </c>
      <c r="AC196" s="435" t="s">
        <v>2</v>
      </c>
      <c r="AE196" s="438"/>
      <c r="AF196" s="438"/>
      <c r="AG196" s="438"/>
      <c r="AH196" s="438"/>
      <c r="AI196" s="438"/>
    </row>
    <row r="197" spans="4:35">
      <c r="D197" s="435" t="s">
        <v>79</v>
      </c>
      <c r="E197" s="435" t="s">
        <v>68</v>
      </c>
      <c r="F197" s="435" t="s">
        <v>274</v>
      </c>
      <c r="G197" s="435" t="s">
        <v>12</v>
      </c>
      <c r="H197" s="435" t="s">
        <v>264</v>
      </c>
      <c r="I197" s="435" t="s">
        <v>7</v>
      </c>
      <c r="J197" s="435" t="s">
        <v>299</v>
      </c>
      <c r="K197" s="437" t="s">
        <v>310</v>
      </c>
      <c r="L197" s="437" t="s">
        <v>311</v>
      </c>
      <c r="M197" s="435" t="s">
        <v>848</v>
      </c>
      <c r="N197" s="436" t="s">
        <v>2870</v>
      </c>
      <c r="O197" s="435" t="s">
        <v>830</v>
      </c>
      <c r="R197" s="435" t="s">
        <v>627</v>
      </c>
      <c r="S197" s="435" t="s">
        <v>591</v>
      </c>
      <c r="AC197" s="435" t="s">
        <v>2</v>
      </c>
      <c r="AE197" s="438"/>
      <c r="AF197" s="438"/>
      <c r="AG197" s="438"/>
      <c r="AH197" s="438"/>
      <c r="AI197" s="438"/>
    </row>
    <row r="198" spans="4:35">
      <c r="D198" s="435" t="s">
        <v>79</v>
      </c>
      <c r="E198" s="435" t="s">
        <v>68</v>
      </c>
      <c r="F198" s="435" t="s">
        <v>274</v>
      </c>
      <c r="G198" s="435" t="s">
        <v>12</v>
      </c>
      <c r="H198" s="435" t="s">
        <v>264</v>
      </c>
      <c r="I198" s="435" t="s">
        <v>7</v>
      </c>
      <c r="J198" s="435" t="s">
        <v>299</v>
      </c>
      <c r="K198" s="437" t="s">
        <v>310</v>
      </c>
      <c r="L198" s="437" t="s">
        <v>311</v>
      </c>
      <c r="M198" s="435" t="s">
        <v>848</v>
      </c>
      <c r="N198" s="436" t="s">
        <v>2870</v>
      </c>
      <c r="O198" s="435" t="s">
        <v>830</v>
      </c>
      <c r="R198" s="435" t="s">
        <v>628</v>
      </c>
      <c r="S198" s="435" t="s">
        <v>541</v>
      </c>
      <c r="AC198" s="435" t="s">
        <v>2</v>
      </c>
      <c r="AE198" s="438"/>
      <c r="AF198" s="438"/>
      <c r="AG198" s="438"/>
      <c r="AH198" s="438"/>
      <c r="AI198" s="438"/>
    </row>
    <row r="199" spans="4:35">
      <c r="D199" s="435" t="s">
        <v>79</v>
      </c>
      <c r="E199" s="435" t="s">
        <v>68</v>
      </c>
      <c r="F199" s="435" t="s">
        <v>274</v>
      </c>
      <c r="G199" s="435" t="s">
        <v>12</v>
      </c>
      <c r="H199" s="435" t="s">
        <v>264</v>
      </c>
      <c r="I199" s="435" t="s">
        <v>7</v>
      </c>
      <c r="J199" s="435" t="s">
        <v>299</v>
      </c>
      <c r="K199" s="437" t="s">
        <v>310</v>
      </c>
      <c r="L199" s="437" t="s">
        <v>311</v>
      </c>
      <c r="M199" s="435" t="s">
        <v>848</v>
      </c>
      <c r="N199" s="436" t="s">
        <v>2870</v>
      </c>
      <c r="O199" s="435" t="s">
        <v>830</v>
      </c>
      <c r="R199" s="435" t="s">
        <v>629</v>
      </c>
      <c r="S199" s="435" t="s">
        <v>539</v>
      </c>
      <c r="AC199" s="435" t="s">
        <v>2</v>
      </c>
      <c r="AE199" s="438"/>
      <c r="AF199" s="438"/>
      <c r="AG199" s="438"/>
      <c r="AH199" s="438"/>
      <c r="AI199" s="438"/>
    </row>
    <row r="200" spans="4:35">
      <c r="D200" s="435" t="s">
        <v>79</v>
      </c>
      <c r="E200" s="435" t="s">
        <v>68</v>
      </c>
      <c r="F200" s="435" t="s">
        <v>274</v>
      </c>
      <c r="G200" s="435" t="s">
        <v>12</v>
      </c>
      <c r="H200" s="435" t="s">
        <v>264</v>
      </c>
      <c r="I200" s="435" t="s">
        <v>7</v>
      </c>
      <c r="J200" s="435" t="s">
        <v>299</v>
      </c>
      <c r="K200" s="437" t="s">
        <v>310</v>
      </c>
      <c r="L200" s="437" t="s">
        <v>311</v>
      </c>
      <c r="M200" s="435" t="s">
        <v>848</v>
      </c>
      <c r="N200" s="436" t="s">
        <v>2870</v>
      </c>
      <c r="O200" s="435" t="s">
        <v>830</v>
      </c>
      <c r="R200" s="435" t="s">
        <v>630</v>
      </c>
      <c r="S200" s="435" t="s">
        <v>545</v>
      </c>
      <c r="AC200" s="435" t="s">
        <v>2</v>
      </c>
      <c r="AE200" s="438"/>
      <c r="AF200" s="438"/>
      <c r="AG200" s="438"/>
      <c r="AH200" s="438"/>
      <c r="AI200" s="438"/>
    </row>
    <row r="201" spans="4:35">
      <c r="D201" s="435" t="s">
        <v>79</v>
      </c>
      <c r="E201" s="435" t="s">
        <v>68</v>
      </c>
      <c r="F201" s="435" t="s">
        <v>274</v>
      </c>
      <c r="G201" s="435" t="s">
        <v>12</v>
      </c>
      <c r="H201" s="435" t="s">
        <v>264</v>
      </c>
      <c r="I201" s="435" t="s">
        <v>7</v>
      </c>
      <c r="J201" s="435" t="s">
        <v>299</v>
      </c>
      <c r="K201" s="437" t="s">
        <v>310</v>
      </c>
      <c r="L201" s="437" t="s">
        <v>311</v>
      </c>
      <c r="M201" s="435" t="s">
        <v>848</v>
      </c>
      <c r="N201" s="435" t="s">
        <v>829</v>
      </c>
      <c r="O201" s="435" t="s">
        <v>214</v>
      </c>
      <c r="R201" s="435" t="s">
        <v>631</v>
      </c>
      <c r="S201" s="435" t="s">
        <v>596</v>
      </c>
      <c r="AC201" s="435" t="s">
        <v>2</v>
      </c>
      <c r="AE201" s="438"/>
      <c r="AF201" s="438"/>
      <c r="AG201" s="438"/>
      <c r="AH201" s="438"/>
      <c r="AI201" s="438"/>
    </row>
    <row r="202" spans="4:35">
      <c r="D202" s="435" t="s">
        <v>79</v>
      </c>
      <c r="E202" s="435" t="s">
        <v>68</v>
      </c>
      <c r="F202" s="435" t="s">
        <v>274</v>
      </c>
      <c r="G202" s="435" t="s">
        <v>12</v>
      </c>
      <c r="H202" s="435" t="s">
        <v>264</v>
      </c>
      <c r="I202" s="435" t="s">
        <v>7</v>
      </c>
      <c r="J202" s="435" t="s">
        <v>299</v>
      </c>
      <c r="K202" s="437" t="s">
        <v>310</v>
      </c>
      <c r="L202" s="437" t="s">
        <v>311</v>
      </c>
      <c r="M202" s="435" t="s">
        <v>848</v>
      </c>
      <c r="N202" s="436" t="s">
        <v>2870</v>
      </c>
      <c r="O202" s="435" t="s">
        <v>830</v>
      </c>
      <c r="R202" s="435" t="s">
        <v>632</v>
      </c>
      <c r="S202" s="435" t="s">
        <v>598</v>
      </c>
      <c r="AC202" s="435" t="s">
        <v>2</v>
      </c>
      <c r="AE202" s="438"/>
      <c r="AF202" s="438"/>
      <c r="AG202" s="438"/>
      <c r="AH202" s="438"/>
      <c r="AI202" s="438"/>
    </row>
    <row r="203" spans="4:35">
      <c r="D203" s="435" t="s">
        <v>79</v>
      </c>
      <c r="E203" s="435" t="s">
        <v>68</v>
      </c>
      <c r="F203" s="435" t="s">
        <v>274</v>
      </c>
      <c r="G203" s="435" t="s">
        <v>12</v>
      </c>
      <c r="H203" s="435" t="s">
        <v>264</v>
      </c>
      <c r="I203" s="435" t="s">
        <v>7</v>
      </c>
      <c r="J203" s="435" t="s">
        <v>299</v>
      </c>
      <c r="K203" s="437" t="s">
        <v>310</v>
      </c>
      <c r="L203" s="437" t="s">
        <v>311</v>
      </c>
      <c r="M203" s="435" t="s">
        <v>848</v>
      </c>
      <c r="N203" s="436" t="s">
        <v>2870</v>
      </c>
      <c r="O203" s="435" t="s">
        <v>830</v>
      </c>
      <c r="R203" s="435" t="s">
        <v>633</v>
      </c>
      <c r="S203" s="435" t="s">
        <v>563</v>
      </c>
      <c r="AC203" s="435" t="s">
        <v>2</v>
      </c>
      <c r="AE203" s="438"/>
      <c r="AF203" s="438"/>
      <c r="AG203" s="438"/>
      <c r="AH203" s="438"/>
      <c r="AI203" s="438"/>
    </row>
    <row r="204" spans="4:35">
      <c r="D204" s="435" t="s">
        <v>79</v>
      </c>
      <c r="E204" s="435" t="s">
        <v>68</v>
      </c>
      <c r="F204" s="435" t="s">
        <v>274</v>
      </c>
      <c r="G204" s="435" t="s">
        <v>12</v>
      </c>
      <c r="H204" s="435" t="s">
        <v>264</v>
      </c>
      <c r="I204" s="435" t="s">
        <v>7</v>
      </c>
      <c r="J204" s="435" t="s">
        <v>299</v>
      </c>
      <c r="K204" s="437" t="s">
        <v>310</v>
      </c>
      <c r="L204" s="437" t="s">
        <v>312</v>
      </c>
      <c r="M204" s="435" t="s">
        <v>849</v>
      </c>
      <c r="N204" s="435" t="s">
        <v>829</v>
      </c>
      <c r="O204" s="435" t="s">
        <v>214</v>
      </c>
      <c r="R204" s="435" t="s">
        <v>634</v>
      </c>
      <c r="S204" s="435" t="s">
        <v>635</v>
      </c>
      <c r="AC204" s="435" t="s">
        <v>2</v>
      </c>
      <c r="AE204" s="438"/>
      <c r="AF204" s="438"/>
      <c r="AG204" s="438"/>
      <c r="AH204" s="438"/>
      <c r="AI204" s="438"/>
    </row>
    <row r="205" spans="4:35">
      <c r="D205" s="435" t="s">
        <v>79</v>
      </c>
      <c r="E205" s="435" t="s">
        <v>68</v>
      </c>
      <c r="F205" s="435" t="s">
        <v>274</v>
      </c>
      <c r="G205" s="435" t="s">
        <v>12</v>
      </c>
      <c r="H205" s="435" t="s">
        <v>264</v>
      </c>
      <c r="I205" s="435" t="s">
        <v>7</v>
      </c>
      <c r="J205" s="435" t="s">
        <v>299</v>
      </c>
      <c r="K205" s="437" t="s">
        <v>310</v>
      </c>
      <c r="L205" s="437" t="s">
        <v>312</v>
      </c>
      <c r="M205" s="435" t="s">
        <v>849</v>
      </c>
      <c r="N205" s="435" t="s">
        <v>829</v>
      </c>
      <c r="O205" s="435" t="s">
        <v>214</v>
      </c>
      <c r="R205" s="435" t="s">
        <v>636</v>
      </c>
      <c r="S205" s="435" t="s">
        <v>637</v>
      </c>
      <c r="AC205" s="435" t="s">
        <v>2</v>
      </c>
      <c r="AE205" s="438"/>
      <c r="AF205" s="438"/>
      <c r="AG205" s="438"/>
      <c r="AH205" s="438"/>
      <c r="AI205" s="438"/>
    </row>
    <row r="206" spans="4:35">
      <c r="D206" s="435" t="s">
        <v>79</v>
      </c>
      <c r="E206" s="435" t="s">
        <v>68</v>
      </c>
      <c r="F206" s="435" t="s">
        <v>274</v>
      </c>
      <c r="G206" s="435" t="s">
        <v>12</v>
      </c>
      <c r="H206" s="435" t="s">
        <v>264</v>
      </c>
      <c r="I206" s="435" t="s">
        <v>7</v>
      </c>
      <c r="J206" s="435" t="s">
        <v>299</v>
      </c>
      <c r="K206" s="437" t="s">
        <v>310</v>
      </c>
      <c r="L206" s="437" t="s">
        <v>312</v>
      </c>
      <c r="M206" s="435" t="s">
        <v>849</v>
      </c>
      <c r="N206" s="436" t="s">
        <v>2870</v>
      </c>
      <c r="O206" s="435" t="s">
        <v>830</v>
      </c>
      <c r="R206" s="435" t="s">
        <v>638</v>
      </c>
      <c r="S206" s="435" t="s">
        <v>639</v>
      </c>
      <c r="AC206" s="435" t="s">
        <v>2</v>
      </c>
      <c r="AE206" s="438"/>
      <c r="AF206" s="438"/>
      <c r="AG206" s="438"/>
      <c r="AH206" s="438"/>
      <c r="AI206" s="438"/>
    </row>
    <row r="207" spans="4:35">
      <c r="D207" s="435" t="s">
        <v>79</v>
      </c>
      <c r="E207" s="435" t="s">
        <v>68</v>
      </c>
      <c r="F207" s="435" t="s">
        <v>274</v>
      </c>
      <c r="G207" s="435" t="s">
        <v>12</v>
      </c>
      <c r="H207" s="435" t="s">
        <v>264</v>
      </c>
      <c r="I207" s="435" t="s">
        <v>7</v>
      </c>
      <c r="J207" s="435" t="s">
        <v>299</v>
      </c>
      <c r="K207" s="437" t="s">
        <v>310</v>
      </c>
      <c r="L207" s="437" t="s">
        <v>312</v>
      </c>
      <c r="M207" s="435" t="s">
        <v>849</v>
      </c>
      <c r="N207" s="435" t="s">
        <v>829</v>
      </c>
      <c r="O207" s="435" t="s">
        <v>214</v>
      </c>
      <c r="R207" s="435" t="s">
        <v>640</v>
      </c>
      <c r="S207" s="435" t="s">
        <v>641</v>
      </c>
      <c r="AC207" s="435" t="s">
        <v>2</v>
      </c>
      <c r="AE207" s="438"/>
      <c r="AF207" s="438"/>
      <c r="AG207" s="438"/>
      <c r="AH207" s="438"/>
      <c r="AI207" s="438"/>
    </row>
    <row r="208" spans="4:35">
      <c r="D208" s="435" t="s">
        <v>79</v>
      </c>
      <c r="E208" s="435" t="s">
        <v>68</v>
      </c>
      <c r="F208" s="435" t="s">
        <v>274</v>
      </c>
      <c r="G208" s="435" t="s">
        <v>12</v>
      </c>
      <c r="H208" s="435" t="s">
        <v>264</v>
      </c>
      <c r="I208" s="435" t="s">
        <v>7</v>
      </c>
      <c r="J208" s="435" t="s">
        <v>299</v>
      </c>
      <c r="K208" s="437" t="s">
        <v>310</v>
      </c>
      <c r="L208" s="437" t="s">
        <v>312</v>
      </c>
      <c r="M208" s="435" t="s">
        <v>849</v>
      </c>
      <c r="N208" s="436" t="s">
        <v>2870</v>
      </c>
      <c r="O208" s="435" t="s">
        <v>830</v>
      </c>
      <c r="R208" s="435" t="s">
        <v>642</v>
      </c>
      <c r="S208" s="435" t="s">
        <v>643</v>
      </c>
      <c r="AC208" s="435" t="s">
        <v>2</v>
      </c>
      <c r="AE208" s="438"/>
      <c r="AF208" s="438"/>
      <c r="AG208" s="438"/>
      <c r="AH208" s="438"/>
      <c r="AI208" s="438"/>
    </row>
    <row r="209" spans="4:35">
      <c r="D209" s="435" t="s">
        <v>79</v>
      </c>
      <c r="E209" s="435" t="s">
        <v>68</v>
      </c>
      <c r="F209" s="435" t="s">
        <v>274</v>
      </c>
      <c r="G209" s="435" t="s">
        <v>12</v>
      </c>
      <c r="H209" s="435" t="s">
        <v>264</v>
      </c>
      <c r="I209" s="435" t="s">
        <v>7</v>
      </c>
      <c r="J209" s="435" t="s">
        <v>299</v>
      </c>
      <c r="K209" s="437" t="s">
        <v>310</v>
      </c>
      <c r="L209" s="437" t="s">
        <v>312</v>
      </c>
      <c r="M209" s="435" t="s">
        <v>849</v>
      </c>
      <c r="N209" s="435" t="s">
        <v>829</v>
      </c>
      <c r="O209" s="435" t="s">
        <v>214</v>
      </c>
      <c r="R209" s="435" t="s">
        <v>644</v>
      </c>
      <c r="S209" s="435" t="s">
        <v>645</v>
      </c>
      <c r="AC209" s="435" t="s">
        <v>2</v>
      </c>
      <c r="AE209" s="438"/>
      <c r="AF209" s="438"/>
      <c r="AG209" s="438"/>
      <c r="AH209" s="438"/>
      <c r="AI209" s="438"/>
    </row>
    <row r="210" spans="4:35">
      <c r="D210" s="435" t="s">
        <v>79</v>
      </c>
      <c r="E210" s="435" t="s">
        <v>68</v>
      </c>
      <c r="F210" s="435" t="s">
        <v>274</v>
      </c>
      <c r="G210" s="435" t="s">
        <v>12</v>
      </c>
      <c r="H210" s="435" t="s">
        <v>264</v>
      </c>
      <c r="I210" s="435" t="s">
        <v>7</v>
      </c>
      <c r="J210" s="435" t="s">
        <v>299</v>
      </c>
      <c r="K210" s="437" t="s">
        <v>310</v>
      </c>
      <c r="L210" s="437" t="s">
        <v>312</v>
      </c>
      <c r="M210" s="435" t="s">
        <v>849</v>
      </c>
      <c r="N210" s="435" t="s">
        <v>829</v>
      </c>
      <c r="O210" s="435" t="s">
        <v>214</v>
      </c>
      <c r="R210" s="435" t="s">
        <v>646</v>
      </c>
      <c r="S210" s="435" t="s">
        <v>647</v>
      </c>
      <c r="AC210" s="435" t="s">
        <v>2</v>
      </c>
      <c r="AE210" s="438"/>
      <c r="AF210" s="438"/>
      <c r="AG210" s="438"/>
      <c r="AH210" s="438"/>
      <c r="AI210" s="438"/>
    </row>
    <row r="211" spans="4:35">
      <c r="D211" s="435" t="s">
        <v>79</v>
      </c>
      <c r="E211" s="435" t="s">
        <v>68</v>
      </c>
      <c r="F211" s="435" t="s">
        <v>274</v>
      </c>
      <c r="G211" s="435" t="s">
        <v>12</v>
      </c>
      <c r="H211" s="435" t="s">
        <v>264</v>
      </c>
      <c r="I211" s="435" t="s">
        <v>7</v>
      </c>
      <c r="J211" s="435" t="s">
        <v>299</v>
      </c>
      <c r="K211" s="437" t="s">
        <v>310</v>
      </c>
      <c r="L211" s="437" t="s">
        <v>312</v>
      </c>
      <c r="M211" s="435" t="s">
        <v>849</v>
      </c>
      <c r="N211" s="436" t="s">
        <v>2870</v>
      </c>
      <c r="O211" s="435" t="s">
        <v>830</v>
      </c>
      <c r="R211" s="435" t="s">
        <v>648</v>
      </c>
      <c r="S211" s="435" t="s">
        <v>649</v>
      </c>
      <c r="AC211" s="435" t="s">
        <v>2</v>
      </c>
      <c r="AE211" s="438"/>
      <c r="AF211" s="438"/>
      <c r="AG211" s="438"/>
      <c r="AH211" s="438"/>
      <c r="AI211" s="438"/>
    </row>
    <row r="212" spans="4:35">
      <c r="D212" s="435" t="s">
        <v>79</v>
      </c>
      <c r="E212" s="435" t="s">
        <v>68</v>
      </c>
      <c r="F212" s="435" t="s">
        <v>274</v>
      </c>
      <c r="G212" s="435" t="s">
        <v>12</v>
      </c>
      <c r="H212" s="435" t="s">
        <v>264</v>
      </c>
      <c r="I212" s="435" t="s">
        <v>7</v>
      </c>
      <c r="J212" s="435" t="s">
        <v>299</v>
      </c>
      <c r="K212" s="437" t="s">
        <v>310</v>
      </c>
      <c r="L212" s="437" t="s">
        <v>312</v>
      </c>
      <c r="M212" s="435" t="s">
        <v>849</v>
      </c>
      <c r="N212" s="436" t="s">
        <v>2870</v>
      </c>
      <c r="O212" s="435" t="s">
        <v>830</v>
      </c>
      <c r="R212" s="435" t="s">
        <v>650</v>
      </c>
      <c r="S212" s="435" t="s">
        <v>651</v>
      </c>
      <c r="AC212" s="435" t="s">
        <v>2</v>
      </c>
      <c r="AE212" s="438"/>
      <c r="AF212" s="438"/>
      <c r="AG212" s="438"/>
      <c r="AH212" s="438"/>
      <c r="AI212" s="438"/>
    </row>
    <row r="213" spans="4:35">
      <c r="D213" s="435" t="s">
        <v>79</v>
      </c>
      <c r="E213" s="435" t="s">
        <v>68</v>
      </c>
      <c r="F213" s="435" t="s">
        <v>274</v>
      </c>
      <c r="G213" s="435" t="s">
        <v>12</v>
      </c>
      <c r="H213" s="435" t="s">
        <v>264</v>
      </c>
      <c r="I213" s="435" t="s">
        <v>7</v>
      </c>
      <c r="J213" s="435" t="s">
        <v>299</v>
      </c>
      <c r="K213" s="437" t="s">
        <v>310</v>
      </c>
      <c r="L213" s="437" t="s">
        <v>312</v>
      </c>
      <c r="M213" s="435" t="s">
        <v>849</v>
      </c>
      <c r="N213" s="436" t="s">
        <v>2870</v>
      </c>
      <c r="O213" s="435" t="s">
        <v>830</v>
      </c>
      <c r="R213" s="435" t="s">
        <v>652</v>
      </c>
      <c r="S213" s="435" t="s">
        <v>653</v>
      </c>
      <c r="AC213" s="435" t="s">
        <v>2</v>
      </c>
      <c r="AE213" s="438"/>
      <c r="AF213" s="438"/>
      <c r="AG213" s="438"/>
      <c r="AH213" s="438"/>
      <c r="AI213" s="438"/>
    </row>
    <row r="214" spans="4:35">
      <c r="D214" s="435" t="s">
        <v>79</v>
      </c>
      <c r="E214" s="435" t="s">
        <v>68</v>
      </c>
      <c r="F214" s="435" t="s">
        <v>274</v>
      </c>
      <c r="G214" s="435" t="s">
        <v>12</v>
      </c>
      <c r="H214" s="435" t="s">
        <v>264</v>
      </c>
      <c r="I214" s="435" t="s">
        <v>7</v>
      </c>
      <c r="J214" s="435" t="s">
        <v>299</v>
      </c>
      <c r="K214" s="437" t="s">
        <v>310</v>
      </c>
      <c r="L214" s="437" t="s">
        <v>312</v>
      </c>
      <c r="M214" s="435" t="s">
        <v>849</v>
      </c>
      <c r="N214" s="435" t="s">
        <v>829</v>
      </c>
      <c r="O214" s="435" t="s">
        <v>214</v>
      </c>
      <c r="R214" s="435" t="s">
        <v>654</v>
      </c>
      <c r="S214" s="435" t="s">
        <v>655</v>
      </c>
      <c r="AC214" s="435" t="s">
        <v>2</v>
      </c>
      <c r="AE214" s="438"/>
      <c r="AF214" s="438"/>
      <c r="AG214" s="438"/>
      <c r="AH214" s="438"/>
      <c r="AI214" s="438"/>
    </row>
    <row r="215" spans="4:35">
      <c r="D215" s="435" t="s">
        <v>79</v>
      </c>
      <c r="E215" s="435" t="s">
        <v>68</v>
      </c>
      <c r="F215" s="435" t="s">
        <v>274</v>
      </c>
      <c r="G215" s="435" t="s">
        <v>12</v>
      </c>
      <c r="H215" s="435" t="s">
        <v>264</v>
      </c>
      <c r="I215" s="435" t="s">
        <v>7</v>
      </c>
      <c r="J215" s="435" t="s">
        <v>299</v>
      </c>
      <c r="K215" s="437" t="s">
        <v>310</v>
      </c>
      <c r="L215" s="437" t="s">
        <v>312</v>
      </c>
      <c r="M215" s="435" t="s">
        <v>849</v>
      </c>
      <c r="N215" s="435" t="s">
        <v>829</v>
      </c>
      <c r="O215" s="435" t="s">
        <v>214</v>
      </c>
      <c r="R215" s="435" t="s">
        <v>656</v>
      </c>
      <c r="S215" s="435" t="s">
        <v>657</v>
      </c>
      <c r="AC215" s="435" t="s">
        <v>2</v>
      </c>
      <c r="AE215" s="438"/>
      <c r="AF215" s="438"/>
      <c r="AG215" s="438"/>
      <c r="AH215" s="438"/>
      <c r="AI215" s="438"/>
    </row>
    <row r="216" spans="4:35">
      <c r="D216" s="435" t="s">
        <v>79</v>
      </c>
      <c r="E216" s="435" t="s">
        <v>68</v>
      </c>
      <c r="F216" s="435" t="s">
        <v>274</v>
      </c>
      <c r="G216" s="435" t="s">
        <v>12</v>
      </c>
      <c r="H216" s="435" t="s">
        <v>264</v>
      </c>
      <c r="I216" s="435" t="s">
        <v>7</v>
      </c>
      <c r="J216" s="435" t="s">
        <v>299</v>
      </c>
      <c r="K216" s="437" t="s">
        <v>310</v>
      </c>
      <c r="L216" s="437" t="s">
        <v>312</v>
      </c>
      <c r="M216" s="435" t="s">
        <v>849</v>
      </c>
      <c r="N216" s="436" t="s">
        <v>2870</v>
      </c>
      <c r="O216" s="435" t="s">
        <v>830</v>
      </c>
      <c r="R216" s="435" t="s">
        <v>658</v>
      </c>
      <c r="S216" s="435" t="s">
        <v>659</v>
      </c>
      <c r="AC216" s="435" t="s">
        <v>2</v>
      </c>
      <c r="AE216" s="438"/>
      <c r="AF216" s="438"/>
      <c r="AG216" s="438"/>
      <c r="AH216" s="438"/>
      <c r="AI216" s="438"/>
    </row>
    <row r="217" spans="4:35">
      <c r="D217" s="435" t="s">
        <v>79</v>
      </c>
      <c r="E217" s="435" t="s">
        <v>68</v>
      </c>
      <c r="F217" s="435" t="s">
        <v>274</v>
      </c>
      <c r="G217" s="435" t="s">
        <v>12</v>
      </c>
      <c r="H217" s="435" t="s">
        <v>264</v>
      </c>
      <c r="I217" s="435" t="s">
        <v>7</v>
      </c>
      <c r="J217" s="435" t="s">
        <v>299</v>
      </c>
      <c r="K217" s="437" t="s">
        <v>310</v>
      </c>
      <c r="L217" s="437" t="s">
        <v>312</v>
      </c>
      <c r="M217" s="435" t="s">
        <v>849</v>
      </c>
      <c r="N217" s="436" t="s">
        <v>2870</v>
      </c>
      <c r="O217" s="435" t="s">
        <v>830</v>
      </c>
      <c r="R217" s="435" t="s">
        <v>660</v>
      </c>
      <c r="S217" s="435" t="s">
        <v>661</v>
      </c>
      <c r="AC217" s="435" t="s">
        <v>2</v>
      </c>
      <c r="AE217" s="438"/>
      <c r="AF217" s="438"/>
      <c r="AG217" s="438"/>
      <c r="AH217" s="438"/>
      <c r="AI217" s="438"/>
    </row>
    <row r="218" spans="4:35">
      <c r="D218" s="435" t="s">
        <v>79</v>
      </c>
      <c r="E218" s="435" t="s">
        <v>68</v>
      </c>
      <c r="F218" s="435" t="s">
        <v>274</v>
      </c>
      <c r="G218" s="435" t="s">
        <v>12</v>
      </c>
      <c r="H218" s="435" t="s">
        <v>264</v>
      </c>
      <c r="I218" s="435" t="s">
        <v>7</v>
      </c>
      <c r="J218" s="435" t="s">
        <v>299</v>
      </c>
      <c r="K218" s="437" t="s">
        <v>310</v>
      </c>
      <c r="L218" s="437" t="s">
        <v>312</v>
      </c>
      <c r="M218" s="435" t="s">
        <v>849</v>
      </c>
      <c r="N218" s="435" t="s">
        <v>829</v>
      </c>
      <c r="O218" s="435" t="s">
        <v>214</v>
      </c>
      <c r="R218" s="435" t="s">
        <v>662</v>
      </c>
      <c r="S218" s="435" t="s">
        <v>663</v>
      </c>
      <c r="AC218" s="435" t="s">
        <v>2</v>
      </c>
      <c r="AE218" s="438"/>
      <c r="AF218" s="438"/>
      <c r="AG218" s="438"/>
      <c r="AH218" s="438"/>
      <c r="AI218" s="438"/>
    </row>
    <row r="219" spans="4:35">
      <c r="D219" s="435" t="s">
        <v>79</v>
      </c>
      <c r="E219" s="435" t="s">
        <v>68</v>
      </c>
      <c r="F219" s="435" t="s">
        <v>274</v>
      </c>
      <c r="G219" s="435" t="s">
        <v>12</v>
      </c>
      <c r="H219" s="435" t="s">
        <v>264</v>
      </c>
      <c r="I219" s="435" t="s">
        <v>7</v>
      </c>
      <c r="J219" s="435" t="s">
        <v>299</v>
      </c>
      <c r="K219" s="437" t="s">
        <v>310</v>
      </c>
      <c r="L219" s="437" t="s">
        <v>312</v>
      </c>
      <c r="M219" s="435" t="s">
        <v>849</v>
      </c>
      <c r="N219" s="436" t="s">
        <v>2870</v>
      </c>
      <c r="O219" s="435" t="s">
        <v>830</v>
      </c>
      <c r="R219" s="435" t="s">
        <v>664</v>
      </c>
      <c r="S219" s="435" t="s">
        <v>665</v>
      </c>
      <c r="AC219" s="435" t="s">
        <v>2</v>
      </c>
      <c r="AE219" s="438"/>
      <c r="AF219" s="438"/>
      <c r="AG219" s="438"/>
      <c r="AH219" s="438"/>
      <c r="AI219" s="438"/>
    </row>
    <row r="220" spans="4:35">
      <c r="D220" s="435" t="s">
        <v>79</v>
      </c>
      <c r="E220" s="435" t="s">
        <v>68</v>
      </c>
      <c r="F220" s="435" t="s">
        <v>274</v>
      </c>
      <c r="G220" s="435" t="s">
        <v>12</v>
      </c>
      <c r="H220" s="435" t="s">
        <v>264</v>
      </c>
      <c r="I220" s="435" t="s">
        <v>7</v>
      </c>
      <c r="J220" s="435" t="s">
        <v>299</v>
      </c>
      <c r="K220" s="437" t="s">
        <v>310</v>
      </c>
      <c r="L220" s="437" t="s">
        <v>312</v>
      </c>
      <c r="M220" s="435" t="s">
        <v>849</v>
      </c>
      <c r="N220" s="436" t="s">
        <v>2870</v>
      </c>
      <c r="O220" s="435" t="s">
        <v>830</v>
      </c>
      <c r="R220" s="435" t="s">
        <v>666</v>
      </c>
      <c r="S220" s="435" t="s">
        <v>667</v>
      </c>
      <c r="AC220" s="435" t="s">
        <v>2</v>
      </c>
      <c r="AE220" s="438"/>
      <c r="AF220" s="438"/>
      <c r="AG220" s="438"/>
      <c r="AH220" s="438"/>
      <c r="AI220" s="438"/>
    </row>
    <row r="221" spans="4:35">
      <c r="D221" s="435" t="s">
        <v>79</v>
      </c>
      <c r="E221" s="435" t="s">
        <v>68</v>
      </c>
      <c r="F221" s="435" t="s">
        <v>274</v>
      </c>
      <c r="G221" s="435" t="s">
        <v>12</v>
      </c>
      <c r="H221" s="435" t="s">
        <v>264</v>
      </c>
      <c r="I221" s="435" t="s">
        <v>7</v>
      </c>
      <c r="J221" s="435" t="s">
        <v>299</v>
      </c>
      <c r="K221" s="437" t="s">
        <v>310</v>
      </c>
      <c r="L221" s="437" t="s">
        <v>312</v>
      </c>
      <c r="M221" s="435" t="s">
        <v>849</v>
      </c>
      <c r="N221" s="435" t="s">
        <v>829</v>
      </c>
      <c r="O221" s="435" t="s">
        <v>214</v>
      </c>
      <c r="R221" s="435" t="s">
        <v>668</v>
      </c>
      <c r="S221" s="435" t="s">
        <v>669</v>
      </c>
      <c r="AC221" s="435" t="s">
        <v>2</v>
      </c>
      <c r="AE221" s="438"/>
      <c r="AF221" s="438"/>
      <c r="AG221" s="438"/>
      <c r="AH221" s="438"/>
      <c r="AI221" s="438"/>
    </row>
    <row r="222" spans="4:35">
      <c r="D222" s="435" t="s">
        <v>79</v>
      </c>
      <c r="E222" s="435" t="s">
        <v>68</v>
      </c>
      <c r="F222" s="435" t="s">
        <v>274</v>
      </c>
      <c r="G222" s="435" t="s">
        <v>12</v>
      </c>
      <c r="H222" s="435" t="s">
        <v>264</v>
      </c>
      <c r="I222" s="435" t="s">
        <v>7</v>
      </c>
      <c r="J222" s="435" t="s">
        <v>299</v>
      </c>
      <c r="K222" s="437" t="s">
        <v>310</v>
      </c>
      <c r="L222" s="437" t="s">
        <v>312</v>
      </c>
      <c r="M222" s="435" t="s">
        <v>849</v>
      </c>
      <c r="N222" s="436" t="s">
        <v>2870</v>
      </c>
      <c r="O222" s="435" t="s">
        <v>830</v>
      </c>
      <c r="R222" s="435" t="s">
        <v>670</v>
      </c>
      <c r="S222" s="435" t="s">
        <v>645</v>
      </c>
      <c r="AC222" s="435" t="s">
        <v>2</v>
      </c>
      <c r="AE222" s="438"/>
      <c r="AF222" s="438"/>
      <c r="AG222" s="438"/>
      <c r="AH222" s="438"/>
      <c r="AI222" s="438"/>
    </row>
    <row r="223" spans="4:35">
      <c r="D223" s="435" t="s">
        <v>79</v>
      </c>
      <c r="E223" s="435" t="s">
        <v>68</v>
      </c>
      <c r="F223" s="435" t="s">
        <v>274</v>
      </c>
      <c r="G223" s="435" t="s">
        <v>12</v>
      </c>
      <c r="H223" s="435" t="s">
        <v>264</v>
      </c>
      <c r="I223" s="435" t="s">
        <v>7</v>
      </c>
      <c r="J223" s="435" t="s">
        <v>299</v>
      </c>
      <c r="K223" s="437" t="s">
        <v>310</v>
      </c>
      <c r="L223" s="437" t="s">
        <v>312</v>
      </c>
      <c r="M223" s="435" t="s">
        <v>849</v>
      </c>
      <c r="N223" s="436" t="s">
        <v>2870</v>
      </c>
      <c r="O223" s="435" t="s">
        <v>830</v>
      </c>
      <c r="R223" s="435" t="s">
        <v>671</v>
      </c>
      <c r="S223" s="435" t="s">
        <v>643</v>
      </c>
      <c r="AC223" s="435" t="s">
        <v>2</v>
      </c>
      <c r="AE223" s="438"/>
      <c r="AF223" s="438"/>
      <c r="AG223" s="438"/>
      <c r="AH223" s="438"/>
      <c r="AI223" s="438"/>
    </row>
    <row r="224" spans="4:35">
      <c r="D224" s="435" t="s">
        <v>79</v>
      </c>
      <c r="E224" s="435" t="s">
        <v>68</v>
      </c>
      <c r="F224" s="435" t="s">
        <v>274</v>
      </c>
      <c r="G224" s="435" t="s">
        <v>12</v>
      </c>
      <c r="H224" s="435" t="s">
        <v>264</v>
      </c>
      <c r="I224" s="435" t="s">
        <v>7</v>
      </c>
      <c r="J224" s="435" t="s">
        <v>299</v>
      </c>
      <c r="K224" s="437" t="s">
        <v>310</v>
      </c>
      <c r="L224" s="437" t="s">
        <v>312</v>
      </c>
      <c r="M224" s="435" t="s">
        <v>849</v>
      </c>
      <c r="N224" s="436" t="s">
        <v>2870</v>
      </c>
      <c r="O224" s="435" t="s">
        <v>830</v>
      </c>
      <c r="R224" s="435" t="s">
        <v>672</v>
      </c>
      <c r="S224" s="435" t="s">
        <v>647</v>
      </c>
      <c r="AC224" s="435" t="s">
        <v>2</v>
      </c>
      <c r="AE224" s="438"/>
      <c r="AF224" s="438"/>
      <c r="AG224" s="438"/>
      <c r="AH224" s="438"/>
      <c r="AI224" s="438"/>
    </row>
    <row r="225" spans="4:35">
      <c r="D225" s="435" t="s">
        <v>79</v>
      </c>
      <c r="E225" s="435" t="s">
        <v>68</v>
      </c>
      <c r="F225" s="435" t="s">
        <v>274</v>
      </c>
      <c r="G225" s="435" t="s">
        <v>12</v>
      </c>
      <c r="H225" s="435" t="s">
        <v>264</v>
      </c>
      <c r="I225" s="435" t="s">
        <v>7</v>
      </c>
      <c r="J225" s="435" t="s">
        <v>299</v>
      </c>
      <c r="K225" s="437" t="s">
        <v>310</v>
      </c>
      <c r="L225" s="437" t="s">
        <v>312</v>
      </c>
      <c r="M225" s="435" t="s">
        <v>849</v>
      </c>
      <c r="N225" s="436" t="s">
        <v>2870</v>
      </c>
      <c r="O225" s="435" t="s">
        <v>830</v>
      </c>
      <c r="R225" s="435" t="s">
        <v>673</v>
      </c>
      <c r="S225" s="435" t="s">
        <v>661</v>
      </c>
      <c r="AC225" s="435" t="s">
        <v>2</v>
      </c>
      <c r="AE225" s="438"/>
      <c r="AF225" s="438"/>
      <c r="AG225" s="438"/>
      <c r="AH225" s="438"/>
      <c r="AI225" s="438"/>
    </row>
    <row r="226" spans="4:35">
      <c r="D226" s="435" t="s">
        <v>79</v>
      </c>
      <c r="E226" s="435" t="s">
        <v>68</v>
      </c>
      <c r="F226" s="435" t="s">
        <v>274</v>
      </c>
      <c r="G226" s="435" t="s">
        <v>12</v>
      </c>
      <c r="H226" s="435" t="s">
        <v>264</v>
      </c>
      <c r="I226" s="435" t="s">
        <v>7</v>
      </c>
      <c r="J226" s="435" t="s">
        <v>299</v>
      </c>
      <c r="K226" s="437" t="s">
        <v>310</v>
      </c>
      <c r="L226" s="437" t="s">
        <v>312</v>
      </c>
      <c r="M226" s="435" t="s">
        <v>849</v>
      </c>
      <c r="N226" s="436" t="s">
        <v>2870</v>
      </c>
      <c r="O226" s="435" t="s">
        <v>830</v>
      </c>
      <c r="R226" s="435" t="s">
        <v>674</v>
      </c>
      <c r="S226" s="435" t="s">
        <v>659</v>
      </c>
      <c r="AC226" s="435" t="s">
        <v>2</v>
      </c>
      <c r="AE226" s="438"/>
      <c r="AF226" s="438"/>
      <c r="AG226" s="438"/>
      <c r="AH226" s="438"/>
      <c r="AI226" s="438"/>
    </row>
    <row r="227" spans="4:35">
      <c r="D227" s="435" t="s">
        <v>79</v>
      </c>
      <c r="E227" s="435" t="s">
        <v>68</v>
      </c>
      <c r="F227" s="435" t="s">
        <v>274</v>
      </c>
      <c r="G227" s="435" t="s">
        <v>12</v>
      </c>
      <c r="H227" s="435" t="s">
        <v>264</v>
      </c>
      <c r="I227" s="435" t="s">
        <v>7</v>
      </c>
      <c r="J227" s="435" t="s">
        <v>299</v>
      </c>
      <c r="K227" s="437" t="s">
        <v>310</v>
      </c>
      <c r="L227" s="437" t="s">
        <v>312</v>
      </c>
      <c r="M227" s="435" t="s">
        <v>849</v>
      </c>
      <c r="N227" s="436" t="s">
        <v>2870</v>
      </c>
      <c r="O227" s="435" t="s">
        <v>830</v>
      </c>
      <c r="R227" s="435" t="s">
        <v>675</v>
      </c>
      <c r="S227" s="435" t="s">
        <v>663</v>
      </c>
      <c r="AC227" s="435" t="s">
        <v>2</v>
      </c>
      <c r="AE227" s="438"/>
      <c r="AF227" s="438"/>
      <c r="AG227" s="438"/>
      <c r="AH227" s="438"/>
      <c r="AI227" s="438"/>
    </row>
    <row r="228" spans="4:35">
      <c r="D228" s="435" t="s">
        <v>79</v>
      </c>
      <c r="E228" s="435" t="s">
        <v>68</v>
      </c>
      <c r="F228" s="435" t="s">
        <v>274</v>
      </c>
      <c r="G228" s="435" t="s">
        <v>12</v>
      </c>
      <c r="H228" s="435" t="s">
        <v>264</v>
      </c>
      <c r="I228" s="435" t="s">
        <v>7</v>
      </c>
      <c r="J228" s="435" t="s">
        <v>299</v>
      </c>
      <c r="K228" s="437" t="s">
        <v>310</v>
      </c>
      <c r="L228" s="437" t="s">
        <v>312</v>
      </c>
      <c r="M228" s="435" t="s">
        <v>849</v>
      </c>
      <c r="N228" s="436" t="s">
        <v>2870</v>
      </c>
      <c r="O228" s="435" t="s">
        <v>830</v>
      </c>
      <c r="R228" s="435" t="s">
        <v>676</v>
      </c>
      <c r="S228" s="435" t="s">
        <v>655</v>
      </c>
      <c r="AC228" s="435" t="s">
        <v>2</v>
      </c>
      <c r="AE228" s="438"/>
      <c r="AF228" s="438"/>
      <c r="AG228" s="438"/>
      <c r="AH228" s="438"/>
      <c r="AI228" s="438"/>
    </row>
    <row r="229" spans="4:35">
      <c r="D229" s="435" t="s">
        <v>79</v>
      </c>
      <c r="E229" s="435" t="s">
        <v>68</v>
      </c>
      <c r="F229" s="435" t="s">
        <v>274</v>
      </c>
      <c r="G229" s="435" t="s">
        <v>12</v>
      </c>
      <c r="H229" s="435" t="s">
        <v>264</v>
      </c>
      <c r="I229" s="435" t="s">
        <v>7</v>
      </c>
      <c r="J229" s="435" t="s">
        <v>299</v>
      </c>
      <c r="K229" s="437" t="s">
        <v>310</v>
      </c>
      <c r="L229" s="437" t="s">
        <v>312</v>
      </c>
      <c r="M229" s="435" t="s">
        <v>849</v>
      </c>
      <c r="N229" s="436" t="s">
        <v>2870</v>
      </c>
      <c r="O229" s="435" t="s">
        <v>830</v>
      </c>
      <c r="R229" s="435" t="s">
        <v>677</v>
      </c>
      <c r="S229" s="435" t="s">
        <v>635</v>
      </c>
      <c r="AC229" s="435" t="s">
        <v>2</v>
      </c>
      <c r="AE229" s="438"/>
      <c r="AF229" s="438"/>
      <c r="AG229" s="438"/>
      <c r="AH229" s="438"/>
      <c r="AI229" s="438"/>
    </row>
    <row r="230" spans="4:35">
      <c r="D230" s="435" t="s">
        <v>79</v>
      </c>
      <c r="E230" s="435" t="s">
        <v>68</v>
      </c>
      <c r="F230" s="435" t="s">
        <v>274</v>
      </c>
      <c r="G230" s="435" t="s">
        <v>12</v>
      </c>
      <c r="H230" s="435" t="s">
        <v>264</v>
      </c>
      <c r="I230" s="435" t="s">
        <v>7</v>
      </c>
      <c r="J230" s="435" t="s">
        <v>299</v>
      </c>
      <c r="K230" s="437" t="s">
        <v>313</v>
      </c>
      <c r="L230" s="437" t="s">
        <v>314</v>
      </c>
      <c r="M230" s="435" t="s">
        <v>850</v>
      </c>
      <c r="N230" s="436" t="s">
        <v>2870</v>
      </c>
      <c r="O230" s="435" t="s">
        <v>830</v>
      </c>
      <c r="R230" s="435" t="s">
        <v>678</v>
      </c>
      <c r="S230" s="435" t="s">
        <v>679</v>
      </c>
      <c r="AC230" s="435" t="s">
        <v>2</v>
      </c>
      <c r="AE230" s="438"/>
      <c r="AF230" s="438"/>
      <c r="AG230" s="438"/>
      <c r="AH230" s="438"/>
      <c r="AI230" s="438"/>
    </row>
    <row r="231" spans="4:35">
      <c r="D231" s="435" t="s">
        <v>79</v>
      </c>
      <c r="E231" s="435" t="s">
        <v>68</v>
      </c>
      <c r="F231" s="435" t="s">
        <v>274</v>
      </c>
      <c r="G231" s="435" t="s">
        <v>12</v>
      </c>
      <c r="H231" s="435" t="s">
        <v>264</v>
      </c>
      <c r="I231" s="435" t="s">
        <v>7</v>
      </c>
      <c r="J231" s="435" t="s">
        <v>299</v>
      </c>
      <c r="K231" s="437" t="s">
        <v>313</v>
      </c>
      <c r="L231" s="437" t="s">
        <v>315</v>
      </c>
      <c r="M231" s="435" t="s">
        <v>850</v>
      </c>
      <c r="N231" s="436" t="s">
        <v>2870</v>
      </c>
      <c r="O231" s="435" t="s">
        <v>830</v>
      </c>
      <c r="R231" s="435" t="s">
        <v>680</v>
      </c>
      <c r="S231" s="435" t="s">
        <v>681</v>
      </c>
      <c r="AC231" s="435" t="s">
        <v>2</v>
      </c>
      <c r="AE231" s="438"/>
      <c r="AF231" s="438"/>
      <c r="AG231" s="438"/>
      <c r="AH231" s="438"/>
      <c r="AI231" s="438"/>
    </row>
    <row r="232" spans="4:35">
      <c r="D232" s="435" t="s">
        <v>79</v>
      </c>
      <c r="E232" s="435" t="s">
        <v>68</v>
      </c>
      <c r="F232" s="435" t="s">
        <v>274</v>
      </c>
      <c r="G232" s="435" t="s">
        <v>12</v>
      </c>
      <c r="H232" s="435" t="s">
        <v>264</v>
      </c>
      <c r="I232" s="435" t="s">
        <v>7</v>
      </c>
      <c r="J232" s="435" t="s">
        <v>299</v>
      </c>
      <c r="K232" s="437" t="s">
        <v>313</v>
      </c>
      <c r="L232" s="437" t="s">
        <v>315</v>
      </c>
      <c r="M232" s="435" t="s">
        <v>850</v>
      </c>
      <c r="N232" s="436" t="s">
        <v>2870</v>
      </c>
      <c r="O232" s="435" t="s">
        <v>830</v>
      </c>
      <c r="R232" s="435" t="s">
        <v>682</v>
      </c>
      <c r="S232" s="435" t="s">
        <v>683</v>
      </c>
      <c r="AC232" s="435" t="s">
        <v>2</v>
      </c>
      <c r="AE232" s="438"/>
      <c r="AF232" s="438"/>
      <c r="AG232" s="438"/>
      <c r="AH232" s="438"/>
      <c r="AI232" s="438"/>
    </row>
    <row r="233" spans="4:35">
      <c r="D233" s="435" t="s">
        <v>79</v>
      </c>
      <c r="E233" s="435" t="s">
        <v>68</v>
      </c>
      <c r="F233" s="435" t="s">
        <v>274</v>
      </c>
      <c r="G233" s="435" t="s">
        <v>12</v>
      </c>
      <c r="H233" s="435" t="s">
        <v>264</v>
      </c>
      <c r="I233" s="435" t="s">
        <v>7</v>
      </c>
      <c r="J233" s="435" t="s">
        <v>299</v>
      </c>
      <c r="K233" s="437" t="s">
        <v>313</v>
      </c>
      <c r="L233" s="437" t="s">
        <v>315</v>
      </c>
      <c r="M233" s="435" t="s">
        <v>850</v>
      </c>
      <c r="N233" s="436" t="s">
        <v>2870</v>
      </c>
      <c r="O233" s="435" t="s">
        <v>830</v>
      </c>
      <c r="R233" s="435" t="s">
        <v>684</v>
      </c>
      <c r="S233" s="435" t="s">
        <v>685</v>
      </c>
      <c r="AC233" s="435" t="s">
        <v>2</v>
      </c>
      <c r="AE233" s="438"/>
      <c r="AF233" s="438"/>
      <c r="AG233" s="438"/>
      <c r="AH233" s="438"/>
      <c r="AI233" s="438"/>
    </row>
    <row r="234" spans="4:35">
      <c r="D234" s="435" t="s">
        <v>79</v>
      </c>
      <c r="E234" s="435" t="s">
        <v>68</v>
      </c>
      <c r="F234" s="435" t="s">
        <v>274</v>
      </c>
      <c r="G234" s="435" t="s">
        <v>12</v>
      </c>
      <c r="H234" s="435" t="s">
        <v>264</v>
      </c>
      <c r="I234" s="435" t="s">
        <v>7</v>
      </c>
      <c r="J234" s="435" t="s">
        <v>299</v>
      </c>
      <c r="K234" s="437" t="s">
        <v>313</v>
      </c>
      <c r="L234" s="437" t="s">
        <v>316</v>
      </c>
      <c r="M234" s="435" t="s">
        <v>851</v>
      </c>
      <c r="N234" s="435" t="s">
        <v>829</v>
      </c>
      <c r="O234" s="435" t="s">
        <v>214</v>
      </c>
      <c r="R234" s="435" t="s">
        <v>686</v>
      </c>
      <c r="S234" s="435" t="s">
        <v>687</v>
      </c>
      <c r="AC234" s="435" t="s">
        <v>2</v>
      </c>
      <c r="AE234" s="438"/>
      <c r="AF234" s="438"/>
      <c r="AG234" s="438"/>
      <c r="AH234" s="438"/>
      <c r="AI234" s="438"/>
    </row>
    <row r="235" spans="4:35">
      <c r="D235" s="435" t="s">
        <v>79</v>
      </c>
      <c r="E235" s="435" t="s">
        <v>68</v>
      </c>
      <c r="F235" s="435" t="s">
        <v>274</v>
      </c>
      <c r="G235" s="435" t="s">
        <v>12</v>
      </c>
      <c r="H235" s="435" t="s">
        <v>264</v>
      </c>
      <c r="I235" s="435" t="s">
        <v>7</v>
      </c>
      <c r="J235" s="435" t="s">
        <v>299</v>
      </c>
      <c r="K235" s="437" t="s">
        <v>313</v>
      </c>
      <c r="L235" s="437" t="s">
        <v>316</v>
      </c>
      <c r="M235" s="435" t="s">
        <v>851</v>
      </c>
      <c r="N235" s="435" t="s">
        <v>829</v>
      </c>
      <c r="O235" s="435" t="s">
        <v>214</v>
      </c>
      <c r="R235" s="435" t="s">
        <v>688</v>
      </c>
      <c r="S235" s="435" t="s">
        <v>689</v>
      </c>
      <c r="AC235" s="435" t="s">
        <v>2</v>
      </c>
      <c r="AE235" s="438"/>
      <c r="AF235" s="438"/>
      <c r="AG235" s="438"/>
      <c r="AH235" s="438"/>
      <c r="AI235" s="438"/>
    </row>
    <row r="236" spans="4:35">
      <c r="D236" s="435" t="s">
        <v>79</v>
      </c>
      <c r="E236" s="435" t="s">
        <v>68</v>
      </c>
      <c r="F236" s="435" t="s">
        <v>274</v>
      </c>
      <c r="G236" s="435" t="s">
        <v>12</v>
      </c>
      <c r="H236" s="435" t="s">
        <v>264</v>
      </c>
      <c r="I236" s="435" t="s">
        <v>7</v>
      </c>
      <c r="J236" s="435" t="s">
        <v>299</v>
      </c>
      <c r="K236" s="437" t="s">
        <v>313</v>
      </c>
      <c r="L236" s="437" t="s">
        <v>316</v>
      </c>
      <c r="M236" s="435" t="s">
        <v>851</v>
      </c>
      <c r="N236" s="435" t="s">
        <v>829</v>
      </c>
      <c r="O236" s="435" t="s">
        <v>214</v>
      </c>
      <c r="R236" s="435" t="s">
        <v>690</v>
      </c>
      <c r="S236" s="435" t="s">
        <v>691</v>
      </c>
      <c r="AC236" s="435" t="s">
        <v>2</v>
      </c>
      <c r="AE236" s="438"/>
      <c r="AF236" s="438"/>
      <c r="AG236" s="438"/>
      <c r="AH236" s="438"/>
      <c r="AI236" s="438"/>
    </row>
    <row r="237" spans="4:35">
      <c r="D237" s="435" t="s">
        <v>79</v>
      </c>
      <c r="E237" s="435" t="s">
        <v>68</v>
      </c>
      <c r="F237" s="435" t="s">
        <v>274</v>
      </c>
      <c r="G237" s="435" t="s">
        <v>12</v>
      </c>
      <c r="H237" s="435" t="s">
        <v>264</v>
      </c>
      <c r="I237" s="435" t="s">
        <v>7</v>
      </c>
      <c r="J237" s="435" t="s">
        <v>299</v>
      </c>
      <c r="K237" s="437" t="s">
        <v>313</v>
      </c>
      <c r="L237" s="437" t="s">
        <v>317</v>
      </c>
      <c r="M237" s="435" t="s">
        <v>852</v>
      </c>
      <c r="N237" s="435" t="s">
        <v>829</v>
      </c>
      <c r="O237" s="435" t="s">
        <v>214</v>
      </c>
      <c r="R237" s="435" t="s">
        <v>692</v>
      </c>
      <c r="S237" s="435" t="s">
        <v>693</v>
      </c>
      <c r="AC237" s="435" t="s">
        <v>2</v>
      </c>
      <c r="AE237" s="438"/>
      <c r="AF237" s="438"/>
      <c r="AG237" s="438"/>
      <c r="AH237" s="438"/>
      <c r="AI237" s="438"/>
    </row>
    <row r="238" spans="4:35">
      <c r="D238" s="435" t="s">
        <v>79</v>
      </c>
      <c r="E238" s="435" t="s">
        <v>68</v>
      </c>
      <c r="F238" s="435" t="s">
        <v>274</v>
      </c>
      <c r="G238" s="435" t="s">
        <v>12</v>
      </c>
      <c r="H238" s="435" t="s">
        <v>264</v>
      </c>
      <c r="I238" s="435" t="s">
        <v>7</v>
      </c>
      <c r="J238" s="435" t="s">
        <v>299</v>
      </c>
      <c r="K238" s="437" t="s">
        <v>313</v>
      </c>
      <c r="L238" s="437" t="s">
        <v>317</v>
      </c>
      <c r="M238" s="435" t="s">
        <v>852</v>
      </c>
      <c r="N238" s="435" t="s">
        <v>829</v>
      </c>
      <c r="O238" s="435" t="s">
        <v>214</v>
      </c>
      <c r="R238" s="435" t="s">
        <v>694</v>
      </c>
      <c r="S238" s="435" t="s">
        <v>695</v>
      </c>
      <c r="AC238" s="435" t="s">
        <v>2</v>
      </c>
      <c r="AE238" s="438"/>
      <c r="AF238" s="438"/>
      <c r="AG238" s="438"/>
      <c r="AH238" s="438"/>
      <c r="AI238" s="438"/>
    </row>
    <row r="239" spans="4:35">
      <c r="D239" s="435" t="s">
        <v>79</v>
      </c>
      <c r="E239" s="435" t="s">
        <v>68</v>
      </c>
      <c r="F239" s="435" t="s">
        <v>274</v>
      </c>
      <c r="G239" s="435" t="s">
        <v>12</v>
      </c>
      <c r="H239" s="435" t="s">
        <v>264</v>
      </c>
      <c r="I239" s="435" t="s">
        <v>7</v>
      </c>
      <c r="J239" s="435" t="s">
        <v>299</v>
      </c>
      <c r="K239" s="437" t="s">
        <v>313</v>
      </c>
      <c r="L239" s="437" t="s">
        <v>317</v>
      </c>
      <c r="M239" s="435" t="s">
        <v>852</v>
      </c>
      <c r="N239" s="435" t="s">
        <v>829</v>
      </c>
      <c r="O239" s="435" t="s">
        <v>214</v>
      </c>
      <c r="R239" s="435" t="s">
        <v>696</v>
      </c>
      <c r="S239" s="435" t="s">
        <v>697</v>
      </c>
      <c r="AC239" s="435" t="s">
        <v>2</v>
      </c>
      <c r="AE239" s="438"/>
      <c r="AF239" s="438"/>
      <c r="AG239" s="438"/>
      <c r="AH239" s="438"/>
      <c r="AI239" s="438"/>
    </row>
    <row r="240" spans="4:35">
      <c r="D240" s="435" t="s">
        <v>79</v>
      </c>
      <c r="E240" s="435" t="s">
        <v>68</v>
      </c>
      <c r="F240" s="435" t="s">
        <v>274</v>
      </c>
      <c r="G240" s="435" t="s">
        <v>12</v>
      </c>
      <c r="H240" s="435" t="s">
        <v>264</v>
      </c>
      <c r="I240" s="435" t="s">
        <v>7</v>
      </c>
      <c r="J240" s="435" t="s">
        <v>299</v>
      </c>
      <c r="K240" s="437" t="s">
        <v>313</v>
      </c>
      <c r="L240" s="437" t="s">
        <v>317</v>
      </c>
      <c r="M240" s="435" t="s">
        <v>852</v>
      </c>
      <c r="N240" s="435" t="s">
        <v>829</v>
      </c>
      <c r="O240" s="435" t="s">
        <v>214</v>
      </c>
      <c r="R240" s="435" t="s">
        <v>698</v>
      </c>
      <c r="S240" s="435" t="s">
        <v>699</v>
      </c>
      <c r="AC240" s="435" t="s">
        <v>2</v>
      </c>
      <c r="AE240" s="438"/>
      <c r="AF240" s="438"/>
      <c r="AG240" s="438"/>
      <c r="AH240" s="438"/>
      <c r="AI240" s="438"/>
    </row>
    <row r="241" spans="4:35">
      <c r="D241" s="435" t="s">
        <v>79</v>
      </c>
      <c r="E241" s="435" t="s">
        <v>68</v>
      </c>
      <c r="F241" s="435" t="s">
        <v>274</v>
      </c>
      <c r="G241" s="435" t="s">
        <v>12</v>
      </c>
      <c r="H241" s="435" t="s">
        <v>264</v>
      </c>
      <c r="I241" s="435" t="s">
        <v>7</v>
      </c>
      <c r="J241" s="435" t="s">
        <v>299</v>
      </c>
      <c r="K241" s="437" t="s">
        <v>313</v>
      </c>
      <c r="L241" s="437" t="s">
        <v>317</v>
      </c>
      <c r="M241" s="435" t="s">
        <v>852</v>
      </c>
      <c r="N241" s="435" t="s">
        <v>829</v>
      </c>
      <c r="O241" s="435" t="s">
        <v>214</v>
      </c>
      <c r="R241" s="435" t="s">
        <v>700</v>
      </c>
      <c r="S241" s="435" t="s">
        <v>701</v>
      </c>
      <c r="AC241" s="435" t="s">
        <v>2</v>
      </c>
      <c r="AE241" s="438"/>
      <c r="AF241" s="438"/>
      <c r="AG241" s="438"/>
      <c r="AH241" s="438"/>
      <c r="AI241" s="438"/>
    </row>
    <row r="242" spans="4:35">
      <c r="D242" s="435" t="s">
        <v>79</v>
      </c>
      <c r="E242" s="435" t="s">
        <v>68</v>
      </c>
      <c r="F242" s="435" t="s">
        <v>274</v>
      </c>
      <c r="G242" s="435" t="s">
        <v>12</v>
      </c>
      <c r="H242" s="435" t="s">
        <v>264</v>
      </c>
      <c r="I242" s="435" t="s">
        <v>7</v>
      </c>
      <c r="J242" s="435" t="s">
        <v>299</v>
      </c>
      <c r="K242" s="437" t="s">
        <v>313</v>
      </c>
      <c r="L242" s="437" t="s">
        <v>317</v>
      </c>
      <c r="M242" s="435" t="s">
        <v>852</v>
      </c>
      <c r="N242" s="435" t="s">
        <v>829</v>
      </c>
      <c r="O242" s="435" t="s">
        <v>214</v>
      </c>
      <c r="R242" s="435" t="s">
        <v>702</v>
      </c>
      <c r="S242" s="435" t="s">
        <v>703</v>
      </c>
      <c r="AC242" s="435" t="s">
        <v>2</v>
      </c>
      <c r="AE242" s="438"/>
      <c r="AF242" s="438"/>
      <c r="AG242" s="438"/>
      <c r="AH242" s="438"/>
      <c r="AI242" s="438"/>
    </row>
    <row r="243" spans="4:35">
      <c r="D243" s="435" t="s">
        <v>79</v>
      </c>
      <c r="E243" s="435" t="s">
        <v>68</v>
      </c>
      <c r="F243" s="435" t="s">
        <v>274</v>
      </c>
      <c r="G243" s="435" t="s">
        <v>12</v>
      </c>
      <c r="H243" s="435" t="s">
        <v>264</v>
      </c>
      <c r="I243" s="435" t="s">
        <v>7</v>
      </c>
      <c r="J243" s="435" t="s">
        <v>299</v>
      </c>
      <c r="K243" s="437" t="s">
        <v>313</v>
      </c>
      <c r="L243" s="437" t="s">
        <v>317</v>
      </c>
      <c r="M243" s="435" t="s">
        <v>852</v>
      </c>
      <c r="N243" s="435" t="s">
        <v>829</v>
      </c>
      <c r="O243" s="435" t="s">
        <v>214</v>
      </c>
      <c r="R243" s="435" t="s">
        <v>704</v>
      </c>
      <c r="S243" s="435" t="s">
        <v>705</v>
      </c>
      <c r="AC243" s="435" t="s">
        <v>2</v>
      </c>
      <c r="AE243" s="438"/>
      <c r="AF243" s="438"/>
      <c r="AG243" s="438"/>
      <c r="AH243" s="438"/>
      <c r="AI243" s="438"/>
    </row>
    <row r="244" spans="4:35">
      <c r="D244" s="435" t="s">
        <v>79</v>
      </c>
      <c r="E244" s="435" t="s">
        <v>68</v>
      </c>
      <c r="F244" s="435" t="s">
        <v>274</v>
      </c>
      <c r="G244" s="435" t="s">
        <v>12</v>
      </c>
      <c r="H244" s="435" t="s">
        <v>264</v>
      </c>
      <c r="I244" s="435" t="s">
        <v>7</v>
      </c>
      <c r="J244" s="435" t="s">
        <v>299</v>
      </c>
      <c r="K244" s="437" t="s">
        <v>313</v>
      </c>
      <c r="L244" s="437" t="s">
        <v>317</v>
      </c>
      <c r="M244" s="435" t="s">
        <v>853</v>
      </c>
      <c r="N244" s="435" t="s">
        <v>829</v>
      </c>
      <c r="O244" s="435" t="s">
        <v>214</v>
      </c>
      <c r="R244" s="435" t="s">
        <v>706</v>
      </c>
      <c r="S244" s="435" t="s">
        <v>707</v>
      </c>
      <c r="AC244" s="435" t="s">
        <v>2</v>
      </c>
      <c r="AE244" s="438"/>
      <c r="AF244" s="438"/>
      <c r="AG244" s="438"/>
      <c r="AH244" s="438"/>
      <c r="AI244" s="438"/>
    </row>
    <row r="245" spans="4:35">
      <c r="D245" s="435" t="s">
        <v>79</v>
      </c>
      <c r="E245" s="435" t="s">
        <v>68</v>
      </c>
      <c r="F245" s="435" t="s">
        <v>274</v>
      </c>
      <c r="G245" s="435" t="s">
        <v>12</v>
      </c>
      <c r="H245" s="435" t="s">
        <v>264</v>
      </c>
      <c r="I245" s="435" t="s">
        <v>7</v>
      </c>
      <c r="J245" s="435" t="s">
        <v>299</v>
      </c>
      <c r="K245" s="437" t="s">
        <v>313</v>
      </c>
      <c r="L245" s="437" t="s">
        <v>317</v>
      </c>
      <c r="M245" s="435" t="s">
        <v>853</v>
      </c>
      <c r="N245" s="435" t="s">
        <v>829</v>
      </c>
      <c r="O245" s="435" t="s">
        <v>214</v>
      </c>
      <c r="R245" s="435" t="s">
        <v>708</v>
      </c>
      <c r="S245" s="435" t="s">
        <v>709</v>
      </c>
      <c r="AC245" s="435" t="s">
        <v>2</v>
      </c>
      <c r="AE245" s="438"/>
      <c r="AF245" s="438"/>
      <c r="AG245" s="438"/>
      <c r="AH245" s="438"/>
      <c r="AI245" s="438"/>
    </row>
    <row r="246" spans="4:35">
      <c r="D246" s="435" t="s">
        <v>79</v>
      </c>
      <c r="E246" s="435" t="s">
        <v>68</v>
      </c>
      <c r="F246" s="435" t="s">
        <v>274</v>
      </c>
      <c r="G246" s="435" t="s">
        <v>12</v>
      </c>
      <c r="H246" s="435" t="s">
        <v>264</v>
      </c>
      <c r="I246" s="435" t="s">
        <v>7</v>
      </c>
      <c r="J246" s="435" t="s">
        <v>299</v>
      </c>
      <c r="K246" s="437" t="s">
        <v>313</v>
      </c>
      <c r="L246" s="437" t="s">
        <v>317</v>
      </c>
      <c r="M246" s="435" t="s">
        <v>853</v>
      </c>
      <c r="N246" s="435" t="s">
        <v>829</v>
      </c>
      <c r="O246" s="435" t="s">
        <v>214</v>
      </c>
      <c r="R246" s="435" t="s">
        <v>710</v>
      </c>
      <c r="S246" s="435" t="s">
        <v>711</v>
      </c>
      <c r="AC246" s="435" t="s">
        <v>2</v>
      </c>
      <c r="AE246" s="438"/>
      <c r="AF246" s="438"/>
      <c r="AG246" s="438"/>
      <c r="AH246" s="438"/>
      <c r="AI246" s="438"/>
    </row>
    <row r="247" spans="4:35">
      <c r="D247" s="435" t="s">
        <v>79</v>
      </c>
      <c r="E247" s="435" t="s">
        <v>68</v>
      </c>
      <c r="F247" s="435" t="s">
        <v>274</v>
      </c>
      <c r="G247" s="435" t="s">
        <v>12</v>
      </c>
      <c r="H247" s="435" t="s">
        <v>264</v>
      </c>
      <c r="I247" s="435" t="s">
        <v>7</v>
      </c>
      <c r="J247" s="435" t="s">
        <v>299</v>
      </c>
      <c r="K247" s="437" t="s">
        <v>313</v>
      </c>
      <c r="L247" s="437" t="s">
        <v>317</v>
      </c>
      <c r="M247" s="435" t="s">
        <v>853</v>
      </c>
      <c r="N247" s="435" t="s">
        <v>829</v>
      </c>
      <c r="O247" s="435" t="s">
        <v>214</v>
      </c>
      <c r="P247" s="99"/>
      <c r="R247" s="435" t="s">
        <v>712</v>
      </c>
      <c r="S247" s="435" t="s">
        <v>713</v>
      </c>
      <c r="X247" s="99"/>
      <c r="AC247" s="435" t="s">
        <v>2</v>
      </c>
      <c r="AE247" s="438"/>
      <c r="AF247" s="438"/>
      <c r="AG247" s="438"/>
      <c r="AH247" s="438"/>
      <c r="AI247" s="438"/>
    </row>
    <row r="248" spans="4:35">
      <c r="D248" s="435" t="s">
        <v>79</v>
      </c>
      <c r="E248" s="435" t="s">
        <v>68</v>
      </c>
      <c r="F248" s="435" t="s">
        <v>274</v>
      </c>
      <c r="G248" s="435" t="s">
        <v>12</v>
      </c>
      <c r="H248" s="435" t="s">
        <v>264</v>
      </c>
      <c r="I248" s="435" t="s">
        <v>7</v>
      </c>
      <c r="J248" s="435" t="s">
        <v>299</v>
      </c>
      <c r="K248" s="437" t="s">
        <v>313</v>
      </c>
      <c r="L248" s="439" t="s">
        <v>318</v>
      </c>
      <c r="M248" s="435" t="s">
        <v>854</v>
      </c>
      <c r="N248" s="436" t="s">
        <v>2870</v>
      </c>
      <c r="O248" s="435" t="s">
        <v>830</v>
      </c>
      <c r="R248" s="435" t="s">
        <v>714</v>
      </c>
      <c r="S248" s="435" t="s">
        <v>715</v>
      </c>
      <c r="X248" s="99"/>
      <c r="AC248" s="435" t="s">
        <v>2</v>
      </c>
      <c r="AE248" s="438"/>
      <c r="AF248" s="438"/>
      <c r="AG248" s="438"/>
      <c r="AH248" s="438"/>
      <c r="AI248" s="438"/>
    </row>
    <row r="249" spans="4:35">
      <c r="D249" s="435" t="s">
        <v>79</v>
      </c>
      <c r="E249" s="435" t="s">
        <v>68</v>
      </c>
      <c r="F249" s="435" t="s">
        <v>274</v>
      </c>
      <c r="G249" s="435" t="s">
        <v>12</v>
      </c>
      <c r="H249" s="435" t="s">
        <v>264</v>
      </c>
      <c r="I249" s="435" t="s">
        <v>7</v>
      </c>
      <c r="J249" s="435" t="s">
        <v>299</v>
      </c>
      <c r="K249" s="437" t="s">
        <v>313</v>
      </c>
      <c r="L249" s="439" t="s">
        <v>318</v>
      </c>
      <c r="M249" s="435" t="s">
        <v>854</v>
      </c>
      <c r="N249" s="436" t="s">
        <v>2870</v>
      </c>
      <c r="O249" s="435" t="s">
        <v>830</v>
      </c>
      <c r="R249" s="435" t="s">
        <v>716</v>
      </c>
      <c r="S249" s="435" t="s">
        <v>717</v>
      </c>
      <c r="X249" s="99"/>
      <c r="AC249" s="435" t="s">
        <v>2</v>
      </c>
      <c r="AE249" s="438"/>
      <c r="AF249" s="438"/>
      <c r="AG249" s="438"/>
      <c r="AH249" s="438"/>
      <c r="AI249" s="438"/>
    </row>
    <row r="250" spans="4:35">
      <c r="D250" s="435" t="s">
        <v>79</v>
      </c>
      <c r="E250" s="435" t="s">
        <v>68</v>
      </c>
      <c r="F250" s="435" t="s">
        <v>274</v>
      </c>
      <c r="G250" s="435" t="s">
        <v>12</v>
      </c>
      <c r="H250" s="435" t="s">
        <v>264</v>
      </c>
      <c r="I250" s="435" t="s">
        <v>7</v>
      </c>
      <c r="J250" s="435" t="s">
        <v>299</v>
      </c>
      <c r="K250" s="439" t="s">
        <v>319</v>
      </c>
      <c r="L250" s="439" t="s">
        <v>320</v>
      </c>
      <c r="M250" s="435" t="s">
        <v>855</v>
      </c>
      <c r="N250" s="435" t="s">
        <v>829</v>
      </c>
      <c r="O250" s="435" t="s">
        <v>214</v>
      </c>
      <c r="R250" s="435" t="s">
        <v>718</v>
      </c>
      <c r="S250" s="435" t="s">
        <v>719</v>
      </c>
      <c r="AC250" s="435" t="s">
        <v>2</v>
      </c>
      <c r="AE250" s="438"/>
      <c r="AF250" s="438"/>
      <c r="AG250" s="438"/>
      <c r="AH250" s="438"/>
      <c r="AI250" s="438"/>
    </row>
    <row r="251" spans="4:35">
      <c r="D251" s="435" t="s">
        <v>79</v>
      </c>
      <c r="E251" s="435" t="s">
        <v>68</v>
      </c>
      <c r="F251" s="435" t="s">
        <v>274</v>
      </c>
      <c r="G251" s="435" t="s">
        <v>12</v>
      </c>
      <c r="H251" s="435" t="s">
        <v>264</v>
      </c>
      <c r="I251" s="435" t="s">
        <v>7</v>
      </c>
      <c r="J251" s="435" t="s">
        <v>299</v>
      </c>
      <c r="K251" s="439" t="s">
        <v>319</v>
      </c>
      <c r="L251" s="439" t="s">
        <v>320</v>
      </c>
      <c r="M251" s="435" t="s">
        <v>852</v>
      </c>
      <c r="N251" s="435" t="s">
        <v>829</v>
      </c>
      <c r="O251" s="435" t="s">
        <v>214</v>
      </c>
      <c r="R251" s="435" t="s">
        <v>720</v>
      </c>
      <c r="S251" s="435" t="s">
        <v>721</v>
      </c>
      <c r="AC251" s="435" t="s">
        <v>2</v>
      </c>
      <c r="AE251" s="438"/>
      <c r="AF251" s="438"/>
      <c r="AG251" s="438"/>
      <c r="AH251" s="438"/>
      <c r="AI251" s="438"/>
    </row>
    <row r="252" spans="4:35">
      <c r="D252" s="435" t="s">
        <v>79</v>
      </c>
      <c r="E252" s="435" t="s">
        <v>68</v>
      </c>
      <c r="F252" s="435" t="s">
        <v>274</v>
      </c>
      <c r="G252" s="435" t="s">
        <v>12</v>
      </c>
      <c r="H252" s="435" t="s">
        <v>264</v>
      </c>
      <c r="I252" s="435" t="s">
        <v>7</v>
      </c>
      <c r="J252" s="435" t="s">
        <v>299</v>
      </c>
      <c r="K252" s="439" t="s">
        <v>319</v>
      </c>
      <c r="L252" s="439" t="s">
        <v>320</v>
      </c>
      <c r="M252" s="435" t="s">
        <v>852</v>
      </c>
      <c r="N252" s="435" t="s">
        <v>829</v>
      </c>
      <c r="O252" s="435" t="s">
        <v>214</v>
      </c>
      <c r="R252" s="435" t="s">
        <v>722</v>
      </c>
      <c r="S252" s="435" t="s">
        <v>723</v>
      </c>
      <c r="U252" s="440"/>
      <c r="AC252" s="435" t="s">
        <v>2</v>
      </c>
      <c r="AE252" s="438"/>
      <c r="AF252" s="438"/>
      <c r="AG252" s="438"/>
      <c r="AH252" s="438"/>
      <c r="AI252" s="438"/>
    </row>
    <row r="253" spans="4:35">
      <c r="D253" s="435" t="s">
        <v>79</v>
      </c>
      <c r="E253" s="435" t="s">
        <v>68</v>
      </c>
      <c r="F253" s="435" t="s">
        <v>274</v>
      </c>
      <c r="G253" s="435" t="s">
        <v>12</v>
      </c>
      <c r="H253" s="435" t="s">
        <v>264</v>
      </c>
      <c r="I253" s="435" t="s">
        <v>7</v>
      </c>
      <c r="J253" s="435" t="s">
        <v>299</v>
      </c>
      <c r="K253" s="439" t="s">
        <v>319</v>
      </c>
      <c r="L253" s="439" t="s">
        <v>320</v>
      </c>
      <c r="M253" s="435" t="s">
        <v>852</v>
      </c>
      <c r="N253" s="435" t="s">
        <v>829</v>
      </c>
      <c r="O253" s="435" t="s">
        <v>214</v>
      </c>
      <c r="R253" s="435" t="s">
        <v>724</v>
      </c>
      <c r="S253" s="435" t="s">
        <v>725</v>
      </c>
      <c r="AC253" s="435" t="s">
        <v>2</v>
      </c>
      <c r="AE253" s="438"/>
      <c r="AF253" s="438"/>
      <c r="AG253" s="438"/>
      <c r="AH253" s="438"/>
      <c r="AI253" s="438"/>
    </row>
    <row r="254" spans="4:35">
      <c r="D254" s="435" t="s">
        <v>79</v>
      </c>
      <c r="E254" s="435" t="s">
        <v>68</v>
      </c>
      <c r="F254" s="435" t="s">
        <v>274</v>
      </c>
      <c r="G254" s="435" t="s">
        <v>12</v>
      </c>
      <c r="H254" s="435" t="s">
        <v>264</v>
      </c>
      <c r="I254" s="435" t="s">
        <v>7</v>
      </c>
      <c r="J254" s="435" t="s">
        <v>299</v>
      </c>
      <c r="K254" s="439" t="s">
        <v>319</v>
      </c>
      <c r="L254" s="439" t="s">
        <v>320</v>
      </c>
      <c r="M254" s="435" t="s">
        <v>852</v>
      </c>
      <c r="N254" s="435" t="s">
        <v>829</v>
      </c>
      <c r="O254" s="435" t="s">
        <v>214</v>
      </c>
      <c r="R254" s="435" t="s">
        <v>726</v>
      </c>
      <c r="S254" s="435" t="s">
        <v>727</v>
      </c>
      <c r="AC254" s="435" t="s">
        <v>2</v>
      </c>
      <c r="AE254" s="438"/>
      <c r="AF254" s="438"/>
      <c r="AG254" s="438"/>
      <c r="AH254" s="438"/>
      <c r="AI254" s="438"/>
    </row>
    <row r="255" spans="4:35">
      <c r="D255" s="435" t="s">
        <v>79</v>
      </c>
      <c r="E255" s="435" t="s">
        <v>68</v>
      </c>
      <c r="F255" s="435" t="s">
        <v>274</v>
      </c>
      <c r="G255" s="435" t="s">
        <v>12</v>
      </c>
      <c r="H255" s="435" t="s">
        <v>264</v>
      </c>
      <c r="I255" s="435" t="s">
        <v>7</v>
      </c>
      <c r="J255" s="435" t="s">
        <v>299</v>
      </c>
      <c r="K255" s="439" t="s">
        <v>319</v>
      </c>
      <c r="L255" s="439" t="s">
        <v>320</v>
      </c>
      <c r="M255" s="435" t="s">
        <v>856</v>
      </c>
      <c r="N255" s="435" t="s">
        <v>829</v>
      </c>
      <c r="O255" s="435" t="s">
        <v>214</v>
      </c>
      <c r="R255" s="435" t="s">
        <v>728</v>
      </c>
      <c r="S255" s="435" t="s">
        <v>729</v>
      </c>
      <c r="AC255" s="435" t="s">
        <v>2</v>
      </c>
      <c r="AE255" s="438"/>
      <c r="AF255" s="438"/>
      <c r="AG255" s="438"/>
      <c r="AH255" s="438"/>
      <c r="AI255" s="438"/>
    </row>
    <row r="256" spans="4:35">
      <c r="D256" s="435" t="s">
        <v>79</v>
      </c>
      <c r="E256" s="435" t="s">
        <v>68</v>
      </c>
      <c r="F256" s="435" t="s">
        <v>274</v>
      </c>
      <c r="G256" s="435" t="s">
        <v>12</v>
      </c>
      <c r="H256" s="435" t="s">
        <v>264</v>
      </c>
      <c r="I256" s="435" t="s">
        <v>7</v>
      </c>
      <c r="J256" s="435" t="s">
        <v>299</v>
      </c>
      <c r="K256" s="439" t="s">
        <v>319</v>
      </c>
      <c r="L256" s="439" t="s">
        <v>320</v>
      </c>
      <c r="M256" s="435" t="s">
        <v>856</v>
      </c>
      <c r="N256" s="435" t="s">
        <v>829</v>
      </c>
      <c r="O256" s="435" t="s">
        <v>214</v>
      </c>
      <c r="R256" s="435" t="s">
        <v>730</v>
      </c>
      <c r="S256" s="435" t="s">
        <v>731</v>
      </c>
      <c r="AC256" s="435" t="s">
        <v>2</v>
      </c>
      <c r="AE256" s="438"/>
      <c r="AF256" s="438"/>
      <c r="AG256" s="438"/>
      <c r="AH256" s="438"/>
      <c r="AI256" s="438"/>
    </row>
    <row r="257" spans="4:35">
      <c r="D257" s="435" t="s">
        <v>79</v>
      </c>
      <c r="E257" s="435" t="s">
        <v>68</v>
      </c>
      <c r="F257" s="435" t="s">
        <v>274</v>
      </c>
      <c r="G257" s="435" t="s">
        <v>12</v>
      </c>
      <c r="H257" s="435" t="s">
        <v>264</v>
      </c>
      <c r="I257" s="435" t="s">
        <v>7</v>
      </c>
      <c r="J257" s="435" t="s">
        <v>299</v>
      </c>
      <c r="K257" s="439" t="s">
        <v>319</v>
      </c>
      <c r="L257" s="439" t="s">
        <v>320</v>
      </c>
      <c r="M257" s="435" t="s">
        <v>856</v>
      </c>
      <c r="N257" s="435" t="s">
        <v>829</v>
      </c>
      <c r="O257" s="435" t="s">
        <v>214</v>
      </c>
      <c r="R257" s="435" t="s">
        <v>732</v>
      </c>
      <c r="S257" s="435" t="s">
        <v>731</v>
      </c>
      <c r="AC257" s="435" t="s">
        <v>2</v>
      </c>
      <c r="AE257" s="438"/>
      <c r="AF257" s="438"/>
      <c r="AG257" s="438"/>
      <c r="AH257" s="438"/>
      <c r="AI257" s="438"/>
    </row>
    <row r="258" spans="4:35">
      <c r="D258" s="435" t="s">
        <v>79</v>
      </c>
      <c r="E258" s="435" t="s">
        <v>68</v>
      </c>
      <c r="F258" s="435" t="s">
        <v>274</v>
      </c>
      <c r="G258" s="435" t="s">
        <v>12</v>
      </c>
      <c r="H258" s="435" t="s">
        <v>264</v>
      </c>
      <c r="I258" s="435" t="s">
        <v>7</v>
      </c>
      <c r="J258" s="435" t="s">
        <v>299</v>
      </c>
      <c r="K258" s="439" t="s">
        <v>319</v>
      </c>
      <c r="L258" s="439" t="s">
        <v>320</v>
      </c>
      <c r="M258" s="435" t="s">
        <v>856</v>
      </c>
      <c r="N258" s="435" t="s">
        <v>829</v>
      </c>
      <c r="O258" s="435" t="s">
        <v>214</v>
      </c>
      <c r="R258" s="435" t="s">
        <v>733</v>
      </c>
      <c r="S258" s="435" t="s">
        <v>734</v>
      </c>
      <c r="AC258" s="435" t="s">
        <v>2</v>
      </c>
      <c r="AE258" s="438"/>
      <c r="AF258" s="438"/>
      <c r="AG258" s="438"/>
      <c r="AH258" s="438"/>
      <c r="AI258" s="438"/>
    </row>
    <row r="259" spans="4:35">
      <c r="D259" s="435" t="s">
        <v>79</v>
      </c>
      <c r="E259" s="435" t="s">
        <v>68</v>
      </c>
      <c r="F259" s="435" t="s">
        <v>274</v>
      </c>
      <c r="G259" s="435" t="s">
        <v>12</v>
      </c>
      <c r="H259" s="435" t="s">
        <v>264</v>
      </c>
      <c r="I259" s="435" t="s">
        <v>7</v>
      </c>
      <c r="J259" s="435" t="s">
        <v>299</v>
      </c>
      <c r="K259" s="439" t="s">
        <v>319</v>
      </c>
      <c r="L259" s="439" t="s">
        <v>320</v>
      </c>
      <c r="M259" s="435" t="s">
        <v>856</v>
      </c>
      <c r="N259" s="435" t="s">
        <v>829</v>
      </c>
      <c r="O259" s="435" t="s">
        <v>214</v>
      </c>
      <c r="R259" s="435" t="s">
        <v>735</v>
      </c>
      <c r="S259" s="435" t="s">
        <v>729</v>
      </c>
      <c r="AC259" s="435" t="s">
        <v>2</v>
      </c>
      <c r="AE259" s="438"/>
      <c r="AF259" s="438"/>
      <c r="AG259" s="438"/>
      <c r="AH259" s="438"/>
      <c r="AI259" s="438"/>
    </row>
    <row r="260" spans="4:35">
      <c r="D260" s="435" t="s">
        <v>79</v>
      </c>
      <c r="E260" s="435" t="s">
        <v>68</v>
      </c>
      <c r="F260" s="435" t="s">
        <v>274</v>
      </c>
      <c r="G260" s="435" t="s">
        <v>12</v>
      </c>
      <c r="H260" s="435" t="s">
        <v>264</v>
      </c>
      <c r="I260" s="435" t="s">
        <v>7</v>
      </c>
      <c r="J260" s="435" t="s">
        <v>299</v>
      </c>
      <c r="K260" s="439" t="s">
        <v>319</v>
      </c>
      <c r="L260" s="439" t="s">
        <v>320</v>
      </c>
      <c r="M260" s="435" t="s">
        <v>856</v>
      </c>
      <c r="N260" s="435" t="s">
        <v>829</v>
      </c>
      <c r="O260" s="435" t="s">
        <v>214</v>
      </c>
      <c r="R260" s="435" t="s">
        <v>736</v>
      </c>
      <c r="S260" s="435" t="s">
        <v>737</v>
      </c>
      <c r="AC260" s="435" t="s">
        <v>2</v>
      </c>
      <c r="AE260" s="438"/>
      <c r="AF260" s="438"/>
      <c r="AG260" s="438"/>
      <c r="AH260" s="438"/>
      <c r="AI260" s="438"/>
    </row>
    <row r="261" spans="4:35">
      <c r="D261" s="435" t="s">
        <v>79</v>
      </c>
      <c r="E261" s="435" t="s">
        <v>68</v>
      </c>
      <c r="F261" s="435" t="s">
        <v>274</v>
      </c>
      <c r="G261" s="435" t="s">
        <v>12</v>
      </c>
      <c r="H261" s="435" t="s">
        <v>264</v>
      </c>
      <c r="I261" s="435" t="s">
        <v>7</v>
      </c>
      <c r="J261" s="435" t="s">
        <v>299</v>
      </c>
      <c r="K261" s="439" t="s">
        <v>319</v>
      </c>
      <c r="L261" s="439" t="s">
        <v>320</v>
      </c>
      <c r="M261" s="435" t="s">
        <v>856</v>
      </c>
      <c r="N261" s="436" t="s">
        <v>2870</v>
      </c>
      <c r="O261" s="435" t="s">
        <v>830</v>
      </c>
      <c r="R261" s="435" t="s">
        <v>738</v>
      </c>
      <c r="S261" s="435" t="s">
        <v>739</v>
      </c>
      <c r="AC261" s="435" t="s">
        <v>2</v>
      </c>
      <c r="AE261" s="438"/>
      <c r="AF261" s="438"/>
      <c r="AG261" s="438"/>
      <c r="AH261" s="438"/>
      <c r="AI261" s="438"/>
    </row>
    <row r="262" spans="4:35">
      <c r="D262" s="435" t="s">
        <v>79</v>
      </c>
      <c r="E262" s="435" t="s">
        <v>68</v>
      </c>
      <c r="F262" s="435" t="s">
        <v>274</v>
      </c>
      <c r="G262" s="435" t="s">
        <v>12</v>
      </c>
      <c r="H262" s="435" t="s">
        <v>264</v>
      </c>
      <c r="I262" s="435" t="s">
        <v>7</v>
      </c>
      <c r="J262" s="435" t="s">
        <v>299</v>
      </c>
      <c r="K262" s="439" t="s">
        <v>319</v>
      </c>
      <c r="L262" s="439" t="s">
        <v>320</v>
      </c>
      <c r="M262" s="435" t="s">
        <v>856</v>
      </c>
      <c r="N262" s="435" t="s">
        <v>829</v>
      </c>
      <c r="O262" s="435" t="s">
        <v>214</v>
      </c>
      <c r="R262" s="435" t="s">
        <v>740</v>
      </c>
      <c r="S262" s="435" t="s">
        <v>741</v>
      </c>
      <c r="AC262" s="435" t="s">
        <v>2</v>
      </c>
      <c r="AE262" s="438"/>
      <c r="AF262" s="438"/>
      <c r="AG262" s="438"/>
      <c r="AH262" s="438"/>
      <c r="AI262" s="438"/>
    </row>
    <row r="263" spans="4:35">
      <c r="D263" s="435" t="s">
        <v>79</v>
      </c>
      <c r="E263" s="435" t="s">
        <v>68</v>
      </c>
      <c r="F263" s="435" t="s">
        <v>274</v>
      </c>
      <c r="G263" s="435" t="s">
        <v>12</v>
      </c>
      <c r="H263" s="435" t="s">
        <v>264</v>
      </c>
      <c r="I263" s="435" t="s">
        <v>7</v>
      </c>
      <c r="J263" s="435" t="s">
        <v>299</v>
      </c>
      <c r="K263" s="439" t="s">
        <v>319</v>
      </c>
      <c r="L263" s="439" t="s">
        <v>320</v>
      </c>
      <c r="M263" s="435" t="s">
        <v>856</v>
      </c>
      <c r="N263" s="436" t="s">
        <v>2870</v>
      </c>
      <c r="O263" s="435" t="s">
        <v>830</v>
      </c>
      <c r="R263" s="435" t="s">
        <v>742</v>
      </c>
      <c r="S263" s="435" t="s">
        <v>743</v>
      </c>
      <c r="AC263" s="435" t="s">
        <v>2</v>
      </c>
      <c r="AE263" s="438"/>
      <c r="AF263" s="438"/>
      <c r="AG263" s="438"/>
      <c r="AH263" s="438"/>
      <c r="AI263" s="438"/>
    </row>
    <row r="264" spans="4:35">
      <c r="D264" s="435" t="s">
        <v>79</v>
      </c>
      <c r="E264" s="435" t="s">
        <v>68</v>
      </c>
      <c r="F264" s="435" t="s">
        <v>274</v>
      </c>
      <c r="G264" s="435" t="s">
        <v>12</v>
      </c>
      <c r="H264" s="435" t="s">
        <v>264</v>
      </c>
      <c r="I264" s="435" t="s">
        <v>7</v>
      </c>
      <c r="J264" s="435" t="s">
        <v>299</v>
      </c>
      <c r="K264" s="439" t="s">
        <v>319</v>
      </c>
      <c r="L264" s="439" t="s">
        <v>321</v>
      </c>
      <c r="M264" s="435" t="s">
        <v>857</v>
      </c>
      <c r="N264" s="435" t="s">
        <v>829</v>
      </c>
      <c r="O264" s="435" t="s">
        <v>214</v>
      </c>
      <c r="R264" s="435" t="s">
        <v>744</v>
      </c>
      <c r="S264" s="435" t="s">
        <v>745</v>
      </c>
      <c r="AC264" s="435" t="s">
        <v>2</v>
      </c>
      <c r="AE264" s="438"/>
      <c r="AF264" s="438"/>
      <c r="AG264" s="438"/>
      <c r="AH264" s="438"/>
      <c r="AI264" s="438"/>
    </row>
    <row r="265" spans="4:35">
      <c r="D265" s="435" t="s">
        <v>79</v>
      </c>
      <c r="E265" s="435" t="s">
        <v>68</v>
      </c>
      <c r="F265" s="435" t="s">
        <v>274</v>
      </c>
      <c r="G265" s="435" t="s">
        <v>12</v>
      </c>
      <c r="H265" s="435" t="s">
        <v>264</v>
      </c>
      <c r="I265" s="435" t="s">
        <v>7</v>
      </c>
      <c r="J265" s="435" t="s">
        <v>299</v>
      </c>
      <c r="K265" s="439" t="s">
        <v>319</v>
      </c>
      <c r="L265" s="439" t="s">
        <v>321</v>
      </c>
      <c r="M265" s="435" t="s">
        <v>857</v>
      </c>
      <c r="N265" s="435" t="s">
        <v>829</v>
      </c>
      <c r="O265" s="435" t="s">
        <v>214</v>
      </c>
      <c r="R265" s="435" t="s">
        <v>746</v>
      </c>
      <c r="S265" s="435" t="s">
        <v>745</v>
      </c>
      <c r="AC265" s="435" t="s">
        <v>2</v>
      </c>
      <c r="AE265" s="438"/>
      <c r="AF265" s="438"/>
      <c r="AG265" s="438"/>
      <c r="AH265" s="438"/>
      <c r="AI265" s="438"/>
    </row>
    <row r="266" spans="4:35">
      <c r="D266" s="435" t="s">
        <v>79</v>
      </c>
      <c r="E266" s="435" t="s">
        <v>68</v>
      </c>
      <c r="F266" s="435" t="s">
        <v>274</v>
      </c>
      <c r="G266" s="435" t="s">
        <v>12</v>
      </c>
      <c r="H266" s="435" t="s">
        <v>264</v>
      </c>
      <c r="I266" s="435" t="s">
        <v>7</v>
      </c>
      <c r="J266" s="435" t="s">
        <v>299</v>
      </c>
      <c r="K266" s="439" t="s">
        <v>319</v>
      </c>
      <c r="L266" s="439" t="s">
        <v>321</v>
      </c>
      <c r="M266" s="435" t="s">
        <v>857</v>
      </c>
      <c r="N266" s="435" t="s">
        <v>829</v>
      </c>
      <c r="O266" s="435" t="s">
        <v>214</v>
      </c>
      <c r="R266" s="435" t="s">
        <v>747</v>
      </c>
      <c r="S266" s="435" t="s">
        <v>748</v>
      </c>
      <c r="AC266" s="435" t="s">
        <v>2</v>
      </c>
      <c r="AE266" s="438"/>
      <c r="AF266" s="438"/>
      <c r="AG266" s="438"/>
      <c r="AH266" s="438"/>
      <c r="AI266" s="438"/>
    </row>
    <row r="267" spans="4:35">
      <c r="D267" s="435" t="s">
        <v>79</v>
      </c>
      <c r="E267" s="435" t="s">
        <v>68</v>
      </c>
      <c r="F267" s="435" t="s">
        <v>274</v>
      </c>
      <c r="G267" s="435" t="s">
        <v>12</v>
      </c>
      <c r="H267" s="435" t="s">
        <v>264</v>
      </c>
      <c r="I267" s="435" t="s">
        <v>7</v>
      </c>
      <c r="J267" s="435" t="s">
        <v>299</v>
      </c>
      <c r="K267" s="439" t="s">
        <v>319</v>
      </c>
      <c r="L267" s="439" t="s">
        <v>321</v>
      </c>
      <c r="M267" s="435" t="s">
        <v>857</v>
      </c>
      <c r="N267" s="435" t="s">
        <v>829</v>
      </c>
      <c r="O267" s="435" t="s">
        <v>214</v>
      </c>
      <c r="R267" s="435" t="s">
        <v>749</v>
      </c>
      <c r="S267" s="435" t="s">
        <v>750</v>
      </c>
      <c r="AC267" s="435" t="s">
        <v>2</v>
      </c>
      <c r="AE267" s="438"/>
      <c r="AF267" s="438"/>
      <c r="AG267" s="438"/>
      <c r="AH267" s="438"/>
      <c r="AI267" s="438"/>
    </row>
    <row r="268" spans="4:35">
      <c r="D268" s="435" t="s">
        <v>79</v>
      </c>
      <c r="E268" s="435" t="s">
        <v>68</v>
      </c>
      <c r="F268" s="435" t="s">
        <v>274</v>
      </c>
      <c r="G268" s="435" t="s">
        <v>12</v>
      </c>
      <c r="H268" s="435" t="s">
        <v>264</v>
      </c>
      <c r="I268" s="435" t="s">
        <v>7</v>
      </c>
      <c r="J268" s="435" t="s">
        <v>299</v>
      </c>
      <c r="K268" s="439" t="s">
        <v>319</v>
      </c>
      <c r="L268" s="439" t="s">
        <v>321</v>
      </c>
      <c r="M268" s="435" t="s">
        <v>858</v>
      </c>
      <c r="N268" s="435" t="s">
        <v>829</v>
      </c>
      <c r="O268" s="435" t="s">
        <v>214</v>
      </c>
      <c r="R268" s="435" t="s">
        <v>751</v>
      </c>
      <c r="S268" s="435" t="s">
        <v>752</v>
      </c>
      <c r="AC268" s="435" t="s">
        <v>2</v>
      </c>
      <c r="AE268" s="438"/>
      <c r="AF268" s="438"/>
      <c r="AG268" s="438"/>
      <c r="AH268" s="438"/>
      <c r="AI268" s="438"/>
    </row>
    <row r="269" spans="4:35">
      <c r="D269" s="435" t="s">
        <v>79</v>
      </c>
      <c r="E269" s="435" t="s">
        <v>68</v>
      </c>
      <c r="F269" s="435" t="s">
        <v>274</v>
      </c>
      <c r="G269" s="435" t="s">
        <v>12</v>
      </c>
      <c r="H269" s="435" t="s">
        <v>264</v>
      </c>
      <c r="I269" s="435" t="s">
        <v>7</v>
      </c>
      <c r="J269" s="435" t="s">
        <v>299</v>
      </c>
      <c r="K269" s="439" t="s">
        <v>319</v>
      </c>
      <c r="L269" s="439" t="s">
        <v>321</v>
      </c>
      <c r="M269" s="435" t="s">
        <v>858</v>
      </c>
      <c r="N269" s="435" t="s">
        <v>829</v>
      </c>
      <c r="O269" s="435" t="s">
        <v>214</v>
      </c>
      <c r="R269" s="435" t="s">
        <v>753</v>
      </c>
      <c r="S269" s="435" t="s">
        <v>754</v>
      </c>
      <c r="AC269" s="435" t="s">
        <v>2</v>
      </c>
      <c r="AE269" s="438"/>
      <c r="AF269" s="438"/>
      <c r="AG269" s="438"/>
      <c r="AH269" s="438"/>
      <c r="AI269" s="438"/>
    </row>
    <row r="270" spans="4:35">
      <c r="D270" s="435" t="s">
        <v>79</v>
      </c>
      <c r="E270" s="435" t="s">
        <v>68</v>
      </c>
      <c r="F270" s="435" t="s">
        <v>274</v>
      </c>
      <c r="G270" s="435" t="s">
        <v>12</v>
      </c>
      <c r="H270" s="435" t="s">
        <v>264</v>
      </c>
      <c r="I270" s="435" t="s">
        <v>7</v>
      </c>
      <c r="J270" s="435" t="s">
        <v>299</v>
      </c>
      <c r="K270" s="439" t="s">
        <v>319</v>
      </c>
      <c r="L270" s="439" t="s">
        <v>321</v>
      </c>
      <c r="M270" s="435" t="s">
        <v>858</v>
      </c>
      <c r="N270" s="435" t="s">
        <v>829</v>
      </c>
      <c r="O270" s="435" t="s">
        <v>214</v>
      </c>
      <c r="R270" s="435" t="s">
        <v>755</v>
      </c>
      <c r="S270" s="435" t="s">
        <v>756</v>
      </c>
      <c r="AC270" s="435" t="s">
        <v>2</v>
      </c>
      <c r="AE270" s="438"/>
      <c r="AF270" s="438"/>
      <c r="AG270" s="438"/>
      <c r="AH270" s="438"/>
      <c r="AI270" s="438"/>
    </row>
    <row r="271" spans="4:35">
      <c r="D271" s="435" t="s">
        <v>79</v>
      </c>
      <c r="E271" s="435" t="s">
        <v>68</v>
      </c>
      <c r="F271" s="435" t="s">
        <v>274</v>
      </c>
      <c r="G271" s="435" t="s">
        <v>12</v>
      </c>
      <c r="H271" s="435" t="s">
        <v>264</v>
      </c>
      <c r="I271" s="435" t="s">
        <v>7</v>
      </c>
      <c r="J271" s="435" t="s">
        <v>299</v>
      </c>
      <c r="K271" s="439" t="s">
        <v>319</v>
      </c>
      <c r="L271" s="439" t="s">
        <v>321</v>
      </c>
      <c r="M271" s="435" t="s">
        <v>858</v>
      </c>
      <c r="N271" s="435" t="s">
        <v>829</v>
      </c>
      <c r="O271" s="435" t="s">
        <v>214</v>
      </c>
      <c r="R271" s="435" t="s">
        <v>757</v>
      </c>
      <c r="S271" s="435" t="s">
        <v>752</v>
      </c>
      <c r="AC271" s="435" t="s">
        <v>2</v>
      </c>
      <c r="AE271" s="438"/>
      <c r="AF271" s="438"/>
      <c r="AG271" s="438"/>
      <c r="AH271" s="438"/>
      <c r="AI271" s="438"/>
    </row>
    <row r="272" spans="4:35">
      <c r="D272" s="435" t="s">
        <v>79</v>
      </c>
      <c r="E272" s="435" t="s">
        <v>68</v>
      </c>
      <c r="F272" s="435" t="s">
        <v>274</v>
      </c>
      <c r="G272" s="435" t="s">
        <v>12</v>
      </c>
      <c r="H272" s="435" t="s">
        <v>264</v>
      </c>
      <c r="I272" s="435" t="s">
        <v>7</v>
      </c>
      <c r="J272" s="435" t="s">
        <v>299</v>
      </c>
      <c r="K272" s="439" t="s">
        <v>319</v>
      </c>
      <c r="L272" s="439" t="s">
        <v>321</v>
      </c>
      <c r="M272" s="435" t="s">
        <v>858</v>
      </c>
      <c r="N272" s="435" t="s">
        <v>829</v>
      </c>
      <c r="O272" s="435" t="s">
        <v>214</v>
      </c>
      <c r="R272" s="435" t="s">
        <v>758</v>
      </c>
      <c r="S272" s="435" t="s">
        <v>759</v>
      </c>
      <c r="AC272" s="435" t="s">
        <v>2</v>
      </c>
      <c r="AE272" s="438"/>
      <c r="AF272" s="438"/>
      <c r="AG272" s="438"/>
      <c r="AH272" s="438"/>
      <c r="AI272" s="438"/>
    </row>
    <row r="273" spans="4:35">
      <c r="D273" s="435" t="s">
        <v>79</v>
      </c>
      <c r="E273" s="435" t="s">
        <v>68</v>
      </c>
      <c r="F273" s="435" t="s">
        <v>274</v>
      </c>
      <c r="G273" s="435" t="s">
        <v>12</v>
      </c>
      <c r="H273" s="435" t="s">
        <v>264</v>
      </c>
      <c r="I273" s="435" t="s">
        <v>7</v>
      </c>
      <c r="J273" s="435" t="s">
        <v>299</v>
      </c>
      <c r="K273" s="439" t="s">
        <v>319</v>
      </c>
      <c r="L273" s="439" t="s">
        <v>322</v>
      </c>
      <c r="M273" s="435" t="s">
        <v>859</v>
      </c>
      <c r="N273" s="435" t="s">
        <v>829</v>
      </c>
      <c r="O273" s="435" t="s">
        <v>214</v>
      </c>
      <c r="R273" s="435" t="s">
        <v>760</v>
      </c>
      <c r="S273" s="435" t="s">
        <v>761</v>
      </c>
      <c r="AC273" s="435" t="s">
        <v>2</v>
      </c>
      <c r="AE273" s="438"/>
      <c r="AF273" s="438"/>
      <c r="AG273" s="438"/>
      <c r="AH273" s="438"/>
      <c r="AI273" s="438"/>
    </row>
    <row r="274" spans="4:35">
      <c r="D274" s="435" t="s">
        <v>79</v>
      </c>
      <c r="E274" s="435" t="s">
        <v>68</v>
      </c>
      <c r="F274" s="435" t="s">
        <v>274</v>
      </c>
      <c r="G274" s="435" t="s">
        <v>12</v>
      </c>
      <c r="H274" s="435" t="s">
        <v>264</v>
      </c>
      <c r="I274" s="435" t="s">
        <v>7</v>
      </c>
      <c r="J274" s="435" t="s">
        <v>299</v>
      </c>
      <c r="K274" s="439" t="s">
        <v>319</v>
      </c>
      <c r="L274" s="439" t="s">
        <v>322</v>
      </c>
      <c r="M274" s="435" t="s">
        <v>859</v>
      </c>
      <c r="N274" s="435" t="s">
        <v>829</v>
      </c>
      <c r="O274" s="435" t="s">
        <v>214</v>
      </c>
      <c r="R274" s="435" t="s">
        <v>762</v>
      </c>
      <c r="S274" s="435" t="s">
        <v>763</v>
      </c>
      <c r="AC274" s="435" t="s">
        <v>2</v>
      </c>
      <c r="AE274" s="438"/>
      <c r="AF274" s="438"/>
      <c r="AG274" s="438"/>
      <c r="AH274" s="438"/>
      <c r="AI274" s="438"/>
    </row>
    <row r="275" spans="4:35">
      <c r="D275" s="435" t="s">
        <v>79</v>
      </c>
      <c r="E275" s="435" t="s">
        <v>68</v>
      </c>
      <c r="F275" s="435" t="s">
        <v>274</v>
      </c>
      <c r="G275" s="435" t="s">
        <v>12</v>
      </c>
      <c r="H275" s="435" t="s">
        <v>264</v>
      </c>
      <c r="I275" s="435" t="s">
        <v>7</v>
      </c>
      <c r="J275" s="435" t="s">
        <v>299</v>
      </c>
      <c r="K275" s="439" t="s">
        <v>319</v>
      </c>
      <c r="L275" s="439" t="s">
        <v>322</v>
      </c>
      <c r="M275" s="435" t="s">
        <v>859</v>
      </c>
      <c r="N275" s="435" t="s">
        <v>829</v>
      </c>
      <c r="O275" s="435" t="s">
        <v>214</v>
      </c>
      <c r="R275" s="435" t="s">
        <v>764</v>
      </c>
      <c r="S275" s="435" t="s">
        <v>765</v>
      </c>
      <c r="AC275" s="435" t="s">
        <v>2</v>
      </c>
      <c r="AE275" s="438"/>
      <c r="AF275" s="438"/>
      <c r="AG275" s="438"/>
      <c r="AH275" s="438"/>
      <c r="AI275" s="438"/>
    </row>
    <row r="276" spans="4:35">
      <c r="D276" s="435" t="s">
        <v>79</v>
      </c>
      <c r="E276" s="435" t="s">
        <v>68</v>
      </c>
      <c r="F276" s="435" t="s">
        <v>274</v>
      </c>
      <c r="G276" s="435" t="s">
        <v>12</v>
      </c>
      <c r="H276" s="435" t="s">
        <v>264</v>
      </c>
      <c r="I276" s="435" t="s">
        <v>7</v>
      </c>
      <c r="J276" s="435" t="s">
        <v>299</v>
      </c>
      <c r="K276" s="439" t="s">
        <v>319</v>
      </c>
      <c r="L276" s="439" t="s">
        <v>322</v>
      </c>
      <c r="M276" s="435" t="s">
        <v>859</v>
      </c>
      <c r="N276" s="435" t="s">
        <v>829</v>
      </c>
      <c r="O276" s="435" t="s">
        <v>214</v>
      </c>
      <c r="R276" s="435" t="s">
        <v>766</v>
      </c>
      <c r="S276" s="435" t="s">
        <v>767</v>
      </c>
      <c r="AC276" s="435" t="s">
        <v>2</v>
      </c>
      <c r="AE276" s="438"/>
      <c r="AF276" s="438"/>
      <c r="AG276" s="438"/>
      <c r="AH276" s="438"/>
      <c r="AI276" s="438"/>
    </row>
    <row r="277" spans="4:35">
      <c r="D277" s="435" t="s">
        <v>79</v>
      </c>
      <c r="E277" s="435" t="s">
        <v>68</v>
      </c>
      <c r="F277" s="435" t="s">
        <v>274</v>
      </c>
      <c r="G277" s="435" t="s">
        <v>12</v>
      </c>
      <c r="H277" s="435" t="s">
        <v>264</v>
      </c>
      <c r="I277" s="435" t="s">
        <v>7</v>
      </c>
      <c r="J277" s="435" t="s">
        <v>299</v>
      </c>
      <c r="K277" s="439" t="s">
        <v>319</v>
      </c>
      <c r="L277" s="439" t="s">
        <v>322</v>
      </c>
      <c r="M277" s="435" t="s">
        <v>860</v>
      </c>
      <c r="N277" s="435" t="s">
        <v>829</v>
      </c>
      <c r="O277" s="435" t="s">
        <v>214</v>
      </c>
      <c r="R277" s="435" t="s">
        <v>768</v>
      </c>
      <c r="S277" s="435" t="s">
        <v>761</v>
      </c>
      <c r="AC277" s="435" t="s">
        <v>2</v>
      </c>
      <c r="AE277" s="438"/>
      <c r="AF277" s="438"/>
      <c r="AG277" s="438"/>
      <c r="AH277" s="438"/>
      <c r="AI277" s="438"/>
    </row>
    <row r="278" spans="4:35">
      <c r="D278" s="435" t="s">
        <v>79</v>
      </c>
      <c r="E278" s="435" t="s">
        <v>68</v>
      </c>
      <c r="F278" s="435" t="s">
        <v>274</v>
      </c>
      <c r="G278" s="435" t="s">
        <v>12</v>
      </c>
      <c r="H278" s="435" t="s">
        <v>264</v>
      </c>
      <c r="I278" s="435" t="s">
        <v>7</v>
      </c>
      <c r="J278" s="435" t="s">
        <v>299</v>
      </c>
      <c r="K278" s="439" t="s">
        <v>319</v>
      </c>
      <c r="L278" s="439" t="s">
        <v>322</v>
      </c>
      <c r="M278" s="435" t="s">
        <v>860</v>
      </c>
      <c r="N278" s="436" t="s">
        <v>2870</v>
      </c>
      <c r="O278" s="435" t="s">
        <v>830</v>
      </c>
      <c r="R278" s="435" t="s">
        <v>769</v>
      </c>
      <c r="S278" s="435" t="s">
        <v>763</v>
      </c>
      <c r="AC278" s="435" t="s">
        <v>2</v>
      </c>
      <c r="AE278" s="438"/>
      <c r="AF278" s="438"/>
      <c r="AG278" s="438"/>
      <c r="AH278" s="438"/>
      <c r="AI278" s="438"/>
    </row>
    <row r="279" spans="4:35">
      <c r="D279" s="435" t="s">
        <v>79</v>
      </c>
      <c r="E279" s="435" t="s">
        <v>68</v>
      </c>
      <c r="F279" s="435" t="s">
        <v>274</v>
      </c>
      <c r="G279" s="435" t="s">
        <v>12</v>
      </c>
      <c r="H279" s="435" t="s">
        <v>264</v>
      </c>
      <c r="I279" s="435" t="s">
        <v>7</v>
      </c>
      <c r="J279" s="435" t="s">
        <v>299</v>
      </c>
      <c r="K279" s="439" t="s">
        <v>319</v>
      </c>
      <c r="L279" s="439" t="s">
        <v>322</v>
      </c>
      <c r="M279" s="435" t="s">
        <v>860</v>
      </c>
      <c r="N279" s="435" t="s">
        <v>829</v>
      </c>
      <c r="O279" s="435" t="s">
        <v>214</v>
      </c>
      <c r="R279" s="435" t="s">
        <v>770</v>
      </c>
      <c r="S279" s="435" t="s">
        <v>765</v>
      </c>
      <c r="AC279" s="435" t="s">
        <v>2</v>
      </c>
      <c r="AE279" s="438"/>
      <c r="AF279" s="438"/>
      <c r="AG279" s="438"/>
      <c r="AH279" s="438"/>
      <c r="AI279" s="438"/>
    </row>
    <row r="280" spans="4:35">
      <c r="D280" s="435" t="s">
        <v>79</v>
      </c>
      <c r="E280" s="435" t="s">
        <v>68</v>
      </c>
      <c r="F280" s="435" t="s">
        <v>274</v>
      </c>
      <c r="G280" s="435" t="s">
        <v>12</v>
      </c>
      <c r="H280" s="435" t="s">
        <v>264</v>
      </c>
      <c r="I280" s="435" t="s">
        <v>7</v>
      </c>
      <c r="J280" s="435" t="s">
        <v>299</v>
      </c>
      <c r="K280" s="439" t="s">
        <v>319</v>
      </c>
      <c r="L280" s="439" t="s">
        <v>322</v>
      </c>
      <c r="M280" s="435" t="s">
        <v>860</v>
      </c>
      <c r="N280" s="435" t="s">
        <v>829</v>
      </c>
      <c r="O280" s="435" t="s">
        <v>214</v>
      </c>
      <c r="R280" s="435" t="s">
        <v>771</v>
      </c>
      <c r="S280" s="435" t="s">
        <v>772</v>
      </c>
      <c r="AC280" s="435" t="s">
        <v>2</v>
      </c>
      <c r="AE280" s="438"/>
      <c r="AF280" s="438"/>
      <c r="AG280" s="438"/>
      <c r="AH280" s="438"/>
      <c r="AI280" s="438"/>
    </row>
    <row r="281" spans="4:35">
      <c r="D281" s="435" t="s">
        <v>79</v>
      </c>
      <c r="E281" s="435" t="s">
        <v>68</v>
      </c>
      <c r="F281" s="435" t="s">
        <v>274</v>
      </c>
      <c r="G281" s="435" t="s">
        <v>12</v>
      </c>
      <c r="H281" s="435" t="s">
        <v>264</v>
      </c>
      <c r="I281" s="435" t="s">
        <v>7</v>
      </c>
      <c r="J281" s="435" t="s">
        <v>299</v>
      </c>
      <c r="K281" s="437" t="s">
        <v>323</v>
      </c>
      <c r="L281" s="437" t="s">
        <v>323</v>
      </c>
      <c r="M281" s="435" t="s">
        <v>861</v>
      </c>
      <c r="N281" s="435" t="s">
        <v>829</v>
      </c>
      <c r="O281" s="435" t="s">
        <v>214</v>
      </c>
      <c r="R281" s="435" t="s">
        <v>773</v>
      </c>
      <c r="S281" s="435" t="s">
        <v>774</v>
      </c>
      <c r="AC281" s="435" t="s">
        <v>2</v>
      </c>
      <c r="AE281" s="438"/>
      <c r="AF281" s="438"/>
      <c r="AG281" s="438"/>
      <c r="AH281" s="438"/>
      <c r="AI281" s="438"/>
    </row>
    <row r="282" spans="4:35">
      <c r="D282" s="435" t="s">
        <v>79</v>
      </c>
      <c r="E282" s="435" t="s">
        <v>68</v>
      </c>
      <c r="F282" s="435" t="s">
        <v>274</v>
      </c>
      <c r="G282" s="435" t="s">
        <v>12</v>
      </c>
      <c r="H282" s="435" t="s">
        <v>264</v>
      </c>
      <c r="I282" s="435" t="s">
        <v>7</v>
      </c>
      <c r="J282" s="435" t="s">
        <v>299</v>
      </c>
      <c r="K282" s="437" t="s">
        <v>323</v>
      </c>
      <c r="L282" s="437" t="s">
        <v>323</v>
      </c>
      <c r="M282" s="435" t="s">
        <v>861</v>
      </c>
      <c r="N282" s="435" t="s">
        <v>829</v>
      </c>
      <c r="O282" s="435" t="s">
        <v>214</v>
      </c>
      <c r="R282" s="435" t="s">
        <v>775</v>
      </c>
      <c r="S282" s="435" t="s">
        <v>776</v>
      </c>
      <c r="AC282" s="435" t="s">
        <v>2</v>
      </c>
      <c r="AE282" s="438"/>
      <c r="AF282" s="438"/>
      <c r="AG282" s="438"/>
      <c r="AH282" s="438"/>
      <c r="AI282" s="438"/>
    </row>
    <row r="283" spans="4:35">
      <c r="D283" s="435" t="s">
        <v>79</v>
      </c>
      <c r="E283" s="435" t="s">
        <v>68</v>
      </c>
      <c r="F283" s="435" t="s">
        <v>274</v>
      </c>
      <c r="G283" s="435" t="s">
        <v>12</v>
      </c>
      <c r="H283" s="435" t="s">
        <v>264</v>
      </c>
      <c r="I283" s="435" t="s">
        <v>7</v>
      </c>
      <c r="J283" s="435" t="s">
        <v>299</v>
      </c>
      <c r="K283" s="437" t="s">
        <v>323</v>
      </c>
      <c r="L283" s="437" t="s">
        <v>323</v>
      </c>
      <c r="M283" s="435" t="s">
        <v>861</v>
      </c>
      <c r="N283" s="435" t="s">
        <v>829</v>
      </c>
      <c r="O283" s="435" t="s">
        <v>214</v>
      </c>
      <c r="R283" s="435" t="s">
        <v>777</v>
      </c>
      <c r="S283" s="435" t="s">
        <v>778</v>
      </c>
      <c r="AC283" s="435" t="s">
        <v>2</v>
      </c>
      <c r="AE283" s="438"/>
      <c r="AF283" s="438"/>
      <c r="AG283" s="438"/>
      <c r="AH283" s="438"/>
      <c r="AI283" s="438"/>
    </row>
    <row r="284" spans="4:35">
      <c r="D284" s="435" t="s">
        <v>79</v>
      </c>
      <c r="E284" s="435" t="s">
        <v>68</v>
      </c>
      <c r="F284" s="435" t="s">
        <v>274</v>
      </c>
      <c r="G284" s="435" t="s">
        <v>12</v>
      </c>
      <c r="H284" s="435" t="s">
        <v>264</v>
      </c>
      <c r="I284" s="435" t="s">
        <v>7</v>
      </c>
      <c r="J284" s="435" t="s">
        <v>299</v>
      </c>
      <c r="K284" s="437" t="s">
        <v>323</v>
      </c>
      <c r="L284" s="437" t="s">
        <v>323</v>
      </c>
      <c r="M284" s="435" t="s">
        <v>861</v>
      </c>
      <c r="N284" s="435" t="s">
        <v>829</v>
      </c>
      <c r="O284" s="435" t="s">
        <v>214</v>
      </c>
      <c r="R284" s="435" t="s">
        <v>779</v>
      </c>
      <c r="S284" s="435" t="s">
        <v>780</v>
      </c>
      <c r="AC284" s="435" t="s">
        <v>2</v>
      </c>
      <c r="AE284" s="438"/>
      <c r="AF284" s="438"/>
      <c r="AG284" s="438"/>
      <c r="AH284" s="438"/>
      <c r="AI284" s="438"/>
    </row>
    <row r="285" spans="4:35">
      <c r="D285" s="435" t="s">
        <v>79</v>
      </c>
      <c r="E285" s="435" t="s">
        <v>68</v>
      </c>
      <c r="F285" s="435" t="s">
        <v>274</v>
      </c>
      <c r="G285" s="435" t="s">
        <v>12</v>
      </c>
      <c r="H285" s="435" t="s">
        <v>264</v>
      </c>
      <c r="I285" s="435" t="s">
        <v>7</v>
      </c>
      <c r="J285" s="435" t="s">
        <v>299</v>
      </c>
      <c r="K285" s="437" t="s">
        <v>323</v>
      </c>
      <c r="L285" s="437" t="s">
        <v>323</v>
      </c>
      <c r="M285" s="435" t="s">
        <v>861</v>
      </c>
      <c r="N285" s="435" t="s">
        <v>829</v>
      </c>
      <c r="O285" s="435" t="s">
        <v>214</v>
      </c>
      <c r="R285" s="435" t="s">
        <v>781</v>
      </c>
      <c r="S285" s="435" t="s">
        <v>782</v>
      </c>
      <c r="AC285" s="435" t="s">
        <v>2</v>
      </c>
      <c r="AE285" s="438"/>
      <c r="AF285" s="438"/>
      <c r="AG285" s="438"/>
      <c r="AH285" s="438"/>
      <c r="AI285" s="438"/>
    </row>
    <row r="286" spans="4:35">
      <c r="D286" s="435" t="s">
        <v>79</v>
      </c>
      <c r="E286" s="435" t="s">
        <v>68</v>
      </c>
      <c r="F286" s="435" t="s">
        <v>274</v>
      </c>
      <c r="G286" s="435" t="s">
        <v>12</v>
      </c>
      <c r="H286" s="435" t="s">
        <v>264</v>
      </c>
      <c r="I286" s="435" t="s">
        <v>7</v>
      </c>
      <c r="J286" s="435" t="s">
        <v>299</v>
      </c>
      <c r="K286" s="437" t="s">
        <v>323</v>
      </c>
      <c r="L286" s="437" t="s">
        <v>323</v>
      </c>
      <c r="M286" s="435" t="s">
        <v>861</v>
      </c>
      <c r="N286" s="435" t="s">
        <v>829</v>
      </c>
      <c r="O286" s="435" t="s">
        <v>214</v>
      </c>
      <c r="R286" s="435" t="s">
        <v>783</v>
      </c>
      <c r="S286" s="435" t="s">
        <v>784</v>
      </c>
      <c r="AC286" s="435" t="s">
        <v>2</v>
      </c>
      <c r="AE286" s="438"/>
      <c r="AF286" s="438"/>
      <c r="AG286" s="438"/>
      <c r="AH286" s="438"/>
      <c r="AI286" s="438"/>
    </row>
    <row r="287" spans="4:35">
      <c r="D287" s="435" t="s">
        <v>79</v>
      </c>
      <c r="E287" s="435" t="s">
        <v>68</v>
      </c>
      <c r="F287" s="435" t="s">
        <v>274</v>
      </c>
      <c r="G287" s="435" t="s">
        <v>12</v>
      </c>
      <c r="H287" s="435" t="s">
        <v>264</v>
      </c>
      <c r="I287" s="435" t="s">
        <v>7</v>
      </c>
      <c r="J287" s="435" t="s">
        <v>299</v>
      </c>
      <c r="K287" s="437" t="s">
        <v>323</v>
      </c>
      <c r="L287" s="437" t="s">
        <v>323</v>
      </c>
      <c r="M287" s="435" t="s">
        <v>861</v>
      </c>
      <c r="N287" s="435" t="s">
        <v>829</v>
      </c>
      <c r="O287" s="435" t="s">
        <v>214</v>
      </c>
      <c r="R287" s="435" t="s">
        <v>785</v>
      </c>
      <c r="S287" s="435" t="s">
        <v>786</v>
      </c>
      <c r="AC287" s="435" t="s">
        <v>2</v>
      </c>
      <c r="AE287" s="438"/>
      <c r="AF287" s="438"/>
      <c r="AG287" s="438"/>
      <c r="AH287" s="438"/>
      <c r="AI287" s="438"/>
    </row>
    <row r="288" spans="4:35">
      <c r="D288" s="435" t="s">
        <v>79</v>
      </c>
      <c r="E288" s="435" t="s">
        <v>68</v>
      </c>
      <c r="F288" s="435" t="s">
        <v>274</v>
      </c>
      <c r="G288" s="435" t="s">
        <v>12</v>
      </c>
      <c r="H288" s="435" t="s">
        <v>264</v>
      </c>
      <c r="I288" s="435" t="s">
        <v>7</v>
      </c>
      <c r="J288" s="435" t="s">
        <v>299</v>
      </c>
      <c r="K288" s="437" t="s">
        <v>323</v>
      </c>
      <c r="L288" s="437" t="s">
        <v>323</v>
      </c>
      <c r="M288" s="435" t="s">
        <v>861</v>
      </c>
      <c r="N288" s="436" t="s">
        <v>2870</v>
      </c>
      <c r="O288" s="435" t="s">
        <v>830</v>
      </c>
      <c r="R288" s="435" t="s">
        <v>787</v>
      </c>
      <c r="S288" s="435" t="s">
        <v>778</v>
      </c>
      <c r="AC288" s="435" t="s">
        <v>2</v>
      </c>
      <c r="AE288" s="438"/>
      <c r="AF288" s="438"/>
      <c r="AG288" s="438"/>
      <c r="AH288" s="438"/>
      <c r="AI288" s="438"/>
    </row>
    <row r="289" spans="4:35">
      <c r="D289" s="435" t="s">
        <v>79</v>
      </c>
      <c r="E289" s="435" t="s">
        <v>68</v>
      </c>
      <c r="F289" s="435" t="s">
        <v>274</v>
      </c>
      <c r="G289" s="435" t="s">
        <v>12</v>
      </c>
      <c r="H289" s="435" t="s">
        <v>264</v>
      </c>
      <c r="I289" s="435" t="s">
        <v>7</v>
      </c>
      <c r="J289" s="435" t="s">
        <v>299</v>
      </c>
      <c r="K289" s="437" t="s">
        <v>323</v>
      </c>
      <c r="L289" s="437" t="s">
        <v>323</v>
      </c>
      <c r="M289" s="435" t="s">
        <v>861</v>
      </c>
      <c r="N289" s="435" t="s">
        <v>829</v>
      </c>
      <c r="O289" s="435" t="s">
        <v>214</v>
      </c>
      <c r="R289" s="435" t="s">
        <v>788</v>
      </c>
      <c r="S289" s="435" t="s">
        <v>784</v>
      </c>
      <c r="AC289" s="435" t="s">
        <v>2</v>
      </c>
      <c r="AE289" s="438"/>
      <c r="AF289" s="438"/>
      <c r="AG289" s="438"/>
      <c r="AH289" s="438"/>
      <c r="AI289" s="438"/>
    </row>
    <row r="290" spans="4:35">
      <c r="D290" s="435" t="s">
        <v>79</v>
      </c>
      <c r="E290" s="435" t="s">
        <v>68</v>
      </c>
      <c r="F290" s="435" t="s">
        <v>274</v>
      </c>
      <c r="G290" s="435" t="s">
        <v>12</v>
      </c>
      <c r="H290" s="435" t="s">
        <v>264</v>
      </c>
      <c r="I290" s="435" t="s">
        <v>7</v>
      </c>
      <c r="J290" s="435" t="s">
        <v>299</v>
      </c>
      <c r="K290" s="437" t="s">
        <v>323</v>
      </c>
      <c r="L290" s="437" t="s">
        <v>323</v>
      </c>
      <c r="M290" s="435" t="s">
        <v>861</v>
      </c>
      <c r="N290" s="435" t="s">
        <v>829</v>
      </c>
      <c r="O290" s="435" t="s">
        <v>214</v>
      </c>
      <c r="R290" s="435" t="s">
        <v>789</v>
      </c>
      <c r="S290" s="435" t="s">
        <v>790</v>
      </c>
      <c r="AC290" s="435" t="s">
        <v>2</v>
      </c>
      <c r="AE290" s="438"/>
      <c r="AF290" s="438"/>
      <c r="AG290" s="438"/>
      <c r="AH290" s="438"/>
      <c r="AI290" s="438"/>
    </row>
    <row r="291" spans="4:35">
      <c r="D291" s="435" t="s">
        <v>79</v>
      </c>
      <c r="E291" s="435" t="s">
        <v>68</v>
      </c>
      <c r="F291" s="435" t="s">
        <v>274</v>
      </c>
      <c r="G291" s="435" t="s">
        <v>12</v>
      </c>
      <c r="H291" s="435" t="s">
        <v>264</v>
      </c>
      <c r="I291" s="435" t="s">
        <v>7</v>
      </c>
      <c r="J291" s="435" t="s">
        <v>299</v>
      </c>
      <c r="K291" s="437" t="s">
        <v>323</v>
      </c>
      <c r="L291" s="437" t="s">
        <v>323</v>
      </c>
      <c r="M291" s="435" t="s">
        <v>861</v>
      </c>
      <c r="N291" s="435" t="s">
        <v>829</v>
      </c>
      <c r="O291" s="435" t="s">
        <v>214</v>
      </c>
      <c r="R291" s="435" t="s">
        <v>791</v>
      </c>
      <c r="S291" s="435" t="s">
        <v>790</v>
      </c>
      <c r="AC291" s="435" t="s">
        <v>2</v>
      </c>
      <c r="AE291" s="438"/>
      <c r="AF291" s="438"/>
      <c r="AG291" s="438"/>
      <c r="AH291" s="438"/>
      <c r="AI291" s="438"/>
    </row>
    <row r="292" spans="4:35">
      <c r="D292" s="435" t="s">
        <v>79</v>
      </c>
      <c r="E292" s="435" t="s">
        <v>68</v>
      </c>
      <c r="F292" s="435" t="s">
        <v>274</v>
      </c>
      <c r="G292" s="435" t="s">
        <v>12</v>
      </c>
      <c r="H292" s="435" t="s">
        <v>264</v>
      </c>
      <c r="I292" s="435" t="s">
        <v>7</v>
      </c>
      <c r="J292" s="435" t="s">
        <v>299</v>
      </c>
      <c r="K292" s="437" t="s">
        <v>323</v>
      </c>
      <c r="L292" s="437" t="s">
        <v>323</v>
      </c>
      <c r="M292" s="435" t="s">
        <v>862</v>
      </c>
      <c r="N292" s="435" t="s">
        <v>829</v>
      </c>
      <c r="O292" s="435" t="s">
        <v>214</v>
      </c>
      <c r="R292" s="435" t="s">
        <v>792</v>
      </c>
      <c r="S292" s="435" t="s">
        <v>793</v>
      </c>
      <c r="AC292" s="435" t="s">
        <v>2</v>
      </c>
      <c r="AE292" s="438"/>
      <c r="AF292" s="438"/>
      <c r="AG292" s="438"/>
      <c r="AH292" s="438"/>
      <c r="AI292" s="438"/>
    </row>
    <row r="293" spans="4:35">
      <c r="D293" s="435" t="s">
        <v>79</v>
      </c>
      <c r="E293" s="435" t="s">
        <v>68</v>
      </c>
      <c r="F293" s="435" t="s">
        <v>274</v>
      </c>
      <c r="G293" s="435" t="s">
        <v>12</v>
      </c>
      <c r="H293" s="435" t="s">
        <v>264</v>
      </c>
      <c r="I293" s="435" t="s">
        <v>7</v>
      </c>
      <c r="J293" s="435" t="s">
        <v>299</v>
      </c>
      <c r="K293" s="437" t="s">
        <v>323</v>
      </c>
      <c r="L293" s="437" t="s">
        <v>323</v>
      </c>
      <c r="M293" s="435" t="s">
        <v>862</v>
      </c>
      <c r="N293" s="435" t="s">
        <v>829</v>
      </c>
      <c r="O293" s="435" t="s">
        <v>214</v>
      </c>
      <c r="R293" s="435" t="s">
        <v>794</v>
      </c>
      <c r="S293" s="435" t="s">
        <v>795</v>
      </c>
      <c r="AC293" s="435" t="s">
        <v>2</v>
      </c>
      <c r="AE293" s="438"/>
      <c r="AF293" s="438"/>
      <c r="AG293" s="438"/>
      <c r="AH293" s="438"/>
      <c r="AI293" s="438"/>
    </row>
    <row r="294" spans="4:35">
      <c r="D294" s="435" t="s">
        <v>79</v>
      </c>
      <c r="E294" s="435" t="s">
        <v>68</v>
      </c>
      <c r="F294" s="435" t="s">
        <v>274</v>
      </c>
      <c r="G294" s="435" t="s">
        <v>12</v>
      </c>
      <c r="H294" s="435" t="s">
        <v>264</v>
      </c>
      <c r="I294" s="435" t="s">
        <v>7</v>
      </c>
      <c r="J294" s="435" t="s">
        <v>299</v>
      </c>
      <c r="K294" s="437" t="s">
        <v>323</v>
      </c>
      <c r="L294" s="437" t="s">
        <v>323</v>
      </c>
      <c r="M294" s="435" t="s">
        <v>862</v>
      </c>
      <c r="N294" s="436" t="s">
        <v>2870</v>
      </c>
      <c r="O294" s="435" t="s">
        <v>830</v>
      </c>
      <c r="R294" s="435" t="s">
        <v>796</v>
      </c>
      <c r="S294" s="435" t="s">
        <v>795</v>
      </c>
      <c r="AC294" s="435" t="s">
        <v>2</v>
      </c>
      <c r="AE294" s="438"/>
      <c r="AF294" s="438"/>
      <c r="AG294" s="438"/>
      <c r="AH294" s="438"/>
      <c r="AI294" s="438"/>
    </row>
    <row r="295" spans="4:35">
      <c r="D295" s="435" t="s">
        <v>79</v>
      </c>
      <c r="E295" s="435" t="s">
        <v>68</v>
      </c>
      <c r="F295" s="435" t="s">
        <v>274</v>
      </c>
      <c r="G295" s="435" t="s">
        <v>12</v>
      </c>
      <c r="H295" s="435" t="s">
        <v>264</v>
      </c>
      <c r="I295" s="435" t="s">
        <v>7</v>
      </c>
      <c r="J295" s="435" t="s">
        <v>299</v>
      </c>
      <c r="K295" s="437" t="s">
        <v>323</v>
      </c>
      <c r="L295" s="437" t="s">
        <v>323</v>
      </c>
      <c r="M295" s="435" t="s">
        <v>862</v>
      </c>
      <c r="N295" s="435" t="s">
        <v>829</v>
      </c>
      <c r="O295" s="435" t="s">
        <v>214</v>
      </c>
      <c r="R295" s="435" t="s">
        <v>797</v>
      </c>
      <c r="S295" s="435" t="s">
        <v>793</v>
      </c>
      <c r="AC295" s="435" t="s">
        <v>2</v>
      </c>
      <c r="AE295" s="438"/>
      <c r="AF295" s="438"/>
      <c r="AG295" s="438"/>
      <c r="AH295" s="438"/>
      <c r="AI295" s="438"/>
    </row>
    <row r="296" spans="4:35">
      <c r="D296" s="435" t="s">
        <v>79</v>
      </c>
      <c r="E296" s="435" t="s">
        <v>68</v>
      </c>
      <c r="F296" s="435" t="s">
        <v>274</v>
      </c>
      <c r="G296" s="435" t="s">
        <v>12</v>
      </c>
      <c r="H296" s="435" t="s">
        <v>264</v>
      </c>
      <c r="I296" s="435" t="s">
        <v>7</v>
      </c>
      <c r="J296" s="435" t="s">
        <v>299</v>
      </c>
      <c r="K296" s="437" t="s">
        <v>323</v>
      </c>
      <c r="L296" s="437" t="s">
        <v>323</v>
      </c>
      <c r="M296" s="435" t="s">
        <v>863</v>
      </c>
      <c r="N296" s="435" t="s">
        <v>829</v>
      </c>
      <c r="O296" s="435" t="s">
        <v>214</v>
      </c>
      <c r="R296" s="435" t="s">
        <v>798</v>
      </c>
      <c r="S296" s="435" t="s">
        <v>799</v>
      </c>
      <c r="AC296" s="435" t="s">
        <v>2</v>
      </c>
      <c r="AE296" s="438"/>
      <c r="AF296" s="438"/>
      <c r="AG296" s="438"/>
      <c r="AH296" s="438"/>
      <c r="AI296" s="438"/>
    </row>
    <row r="297" spans="4:35">
      <c r="D297" s="435" t="s">
        <v>79</v>
      </c>
      <c r="E297" s="435" t="s">
        <v>68</v>
      </c>
      <c r="F297" s="435" t="s">
        <v>274</v>
      </c>
      <c r="G297" s="435" t="s">
        <v>12</v>
      </c>
      <c r="H297" s="435" t="s">
        <v>264</v>
      </c>
      <c r="I297" s="435" t="s">
        <v>7</v>
      </c>
      <c r="J297" s="435" t="s">
        <v>299</v>
      </c>
      <c r="K297" s="437" t="s">
        <v>323</v>
      </c>
      <c r="L297" s="437" t="s">
        <v>323</v>
      </c>
      <c r="M297" s="435" t="s">
        <v>863</v>
      </c>
      <c r="N297" s="435" t="s">
        <v>829</v>
      </c>
      <c r="O297" s="435" t="s">
        <v>214</v>
      </c>
      <c r="R297" s="435" t="s">
        <v>800</v>
      </c>
      <c r="S297" s="435" t="s">
        <v>801</v>
      </c>
      <c r="AC297" s="435" t="s">
        <v>2</v>
      </c>
      <c r="AE297" s="438"/>
      <c r="AF297" s="438"/>
      <c r="AG297" s="438"/>
      <c r="AH297" s="438"/>
      <c r="AI297" s="438"/>
    </row>
    <row r="298" spans="4:35">
      <c r="D298" s="435" t="s">
        <v>79</v>
      </c>
      <c r="E298" s="435" t="s">
        <v>68</v>
      </c>
      <c r="F298" s="435" t="s">
        <v>274</v>
      </c>
      <c r="G298" s="435" t="s">
        <v>12</v>
      </c>
      <c r="H298" s="435" t="s">
        <v>264</v>
      </c>
      <c r="I298" s="435" t="s">
        <v>7</v>
      </c>
      <c r="J298" s="435" t="s">
        <v>299</v>
      </c>
      <c r="K298" s="437" t="s">
        <v>323</v>
      </c>
      <c r="L298" s="437" t="s">
        <v>323</v>
      </c>
      <c r="M298" s="435" t="s">
        <v>863</v>
      </c>
      <c r="N298" s="436" t="s">
        <v>2870</v>
      </c>
      <c r="O298" s="435" t="s">
        <v>830</v>
      </c>
      <c r="R298" s="435" t="s">
        <v>802</v>
      </c>
      <c r="S298" s="435" t="s">
        <v>803</v>
      </c>
      <c r="AC298" s="435" t="s">
        <v>2</v>
      </c>
      <c r="AE298" s="438"/>
      <c r="AF298" s="438"/>
      <c r="AG298" s="438"/>
      <c r="AH298" s="438"/>
      <c r="AI298" s="438"/>
    </row>
    <row r="299" spans="4:35">
      <c r="D299" s="435" t="s">
        <v>79</v>
      </c>
      <c r="E299" s="435" t="s">
        <v>68</v>
      </c>
      <c r="F299" s="435" t="s">
        <v>274</v>
      </c>
      <c r="G299" s="435" t="s">
        <v>12</v>
      </c>
      <c r="H299" s="435" t="s">
        <v>264</v>
      </c>
      <c r="I299" s="435" t="s">
        <v>7</v>
      </c>
      <c r="J299" s="435" t="s">
        <v>299</v>
      </c>
      <c r="K299" s="437" t="s">
        <v>323</v>
      </c>
      <c r="L299" s="437" t="s">
        <v>323</v>
      </c>
      <c r="M299" s="435" t="s">
        <v>863</v>
      </c>
      <c r="N299" s="435" t="s">
        <v>829</v>
      </c>
      <c r="O299" s="435" t="s">
        <v>214</v>
      </c>
      <c r="R299" s="435" t="s">
        <v>804</v>
      </c>
      <c r="S299" s="435" t="s">
        <v>805</v>
      </c>
      <c r="AC299" s="435" t="s">
        <v>2</v>
      </c>
      <c r="AE299" s="438"/>
      <c r="AF299" s="438"/>
      <c r="AG299" s="438"/>
      <c r="AH299" s="438"/>
      <c r="AI299" s="438"/>
    </row>
    <row r="300" spans="4:35">
      <c r="D300" s="435" t="s">
        <v>79</v>
      </c>
      <c r="E300" s="435" t="s">
        <v>68</v>
      </c>
      <c r="F300" s="435" t="s">
        <v>274</v>
      </c>
      <c r="G300" s="435" t="s">
        <v>12</v>
      </c>
      <c r="H300" s="435" t="s">
        <v>264</v>
      </c>
      <c r="I300" s="435" t="s">
        <v>7</v>
      </c>
      <c r="J300" s="435" t="s">
        <v>299</v>
      </c>
      <c r="K300" s="437" t="s">
        <v>323</v>
      </c>
      <c r="L300" s="437" t="s">
        <v>323</v>
      </c>
      <c r="M300" s="435" t="s">
        <v>863</v>
      </c>
      <c r="N300" s="435" t="s">
        <v>829</v>
      </c>
      <c r="O300" s="435" t="s">
        <v>214</v>
      </c>
      <c r="R300" s="435" t="s">
        <v>806</v>
      </c>
      <c r="S300" s="435" t="s">
        <v>807</v>
      </c>
      <c r="AC300" s="435" t="s">
        <v>2</v>
      </c>
      <c r="AE300" s="438"/>
      <c r="AF300" s="438"/>
      <c r="AG300" s="438"/>
      <c r="AH300" s="438"/>
      <c r="AI300" s="438"/>
    </row>
    <row r="301" spans="4:35">
      <c r="D301" s="435" t="s">
        <v>79</v>
      </c>
      <c r="E301" s="435" t="s">
        <v>68</v>
      </c>
      <c r="F301" s="435" t="s">
        <v>274</v>
      </c>
      <c r="G301" s="435" t="s">
        <v>12</v>
      </c>
      <c r="H301" s="435" t="s">
        <v>264</v>
      </c>
      <c r="I301" s="435" t="s">
        <v>7</v>
      </c>
      <c r="J301" s="435" t="s">
        <v>299</v>
      </c>
      <c r="K301" s="437" t="s">
        <v>323</v>
      </c>
      <c r="L301" s="437" t="s">
        <v>323</v>
      </c>
      <c r="M301" s="435" t="s">
        <v>863</v>
      </c>
      <c r="N301" s="435" t="s">
        <v>829</v>
      </c>
      <c r="O301" s="435" t="s">
        <v>214</v>
      </c>
      <c r="R301" s="435" t="s">
        <v>808</v>
      </c>
      <c r="S301" s="435" t="s">
        <v>809</v>
      </c>
      <c r="AC301" s="435" t="s">
        <v>2</v>
      </c>
      <c r="AE301" s="438"/>
      <c r="AF301" s="438"/>
      <c r="AG301" s="438"/>
      <c r="AH301" s="438"/>
      <c r="AI301" s="438"/>
    </row>
    <row r="302" spans="4:35">
      <c r="D302" s="435" t="s">
        <v>79</v>
      </c>
      <c r="E302" s="435" t="s">
        <v>68</v>
      </c>
      <c r="F302" s="435" t="s">
        <v>274</v>
      </c>
      <c r="G302" s="435" t="s">
        <v>12</v>
      </c>
      <c r="H302" s="435" t="s">
        <v>264</v>
      </c>
      <c r="I302" s="435" t="s">
        <v>7</v>
      </c>
      <c r="J302" s="435" t="s">
        <v>299</v>
      </c>
      <c r="K302" s="437" t="s">
        <v>323</v>
      </c>
      <c r="L302" s="437" t="s">
        <v>323</v>
      </c>
      <c r="M302" s="435" t="s">
        <v>863</v>
      </c>
      <c r="N302" s="436" t="s">
        <v>2870</v>
      </c>
      <c r="O302" s="435" t="s">
        <v>830</v>
      </c>
      <c r="R302" s="435" t="s">
        <v>810</v>
      </c>
      <c r="S302" s="435" t="s">
        <v>807</v>
      </c>
      <c r="AC302" s="435" t="s">
        <v>2</v>
      </c>
      <c r="AE302" s="438"/>
      <c r="AF302" s="438"/>
      <c r="AG302" s="438"/>
      <c r="AH302" s="438"/>
      <c r="AI302" s="438"/>
    </row>
    <row r="303" spans="4:35">
      <c r="D303" s="435" t="s">
        <v>79</v>
      </c>
      <c r="E303" s="435" t="s">
        <v>68</v>
      </c>
      <c r="F303" s="435" t="s">
        <v>274</v>
      </c>
      <c r="G303" s="435" t="s">
        <v>12</v>
      </c>
      <c r="H303" s="435" t="s">
        <v>264</v>
      </c>
      <c r="I303" s="435" t="s">
        <v>7</v>
      </c>
      <c r="J303" s="435" t="s">
        <v>299</v>
      </c>
      <c r="K303" s="437" t="s">
        <v>323</v>
      </c>
      <c r="L303" s="437" t="s">
        <v>323</v>
      </c>
      <c r="M303" s="435" t="s">
        <v>863</v>
      </c>
      <c r="N303" s="436" t="s">
        <v>2870</v>
      </c>
      <c r="O303" s="435" t="s">
        <v>830</v>
      </c>
      <c r="R303" s="435" t="s">
        <v>811</v>
      </c>
      <c r="S303" s="435" t="s">
        <v>809</v>
      </c>
      <c r="AC303" s="435" t="s">
        <v>2</v>
      </c>
      <c r="AE303" s="438"/>
      <c r="AF303" s="438"/>
      <c r="AG303" s="438"/>
      <c r="AH303" s="438"/>
      <c r="AI303" s="438"/>
    </row>
    <row r="304" spans="4:35">
      <c r="D304" s="435" t="s">
        <v>79</v>
      </c>
      <c r="E304" s="435" t="s">
        <v>68</v>
      </c>
      <c r="F304" s="435" t="s">
        <v>274</v>
      </c>
      <c r="G304" s="435" t="s">
        <v>12</v>
      </c>
      <c r="H304" s="435" t="s">
        <v>264</v>
      </c>
      <c r="I304" s="435" t="s">
        <v>7</v>
      </c>
      <c r="J304" s="435" t="s">
        <v>299</v>
      </c>
      <c r="K304" s="437" t="s">
        <v>323</v>
      </c>
      <c r="L304" s="437" t="s">
        <v>323</v>
      </c>
      <c r="M304" s="435" t="s">
        <v>863</v>
      </c>
      <c r="N304" s="435" t="s">
        <v>829</v>
      </c>
      <c r="O304" s="435" t="s">
        <v>214</v>
      </c>
      <c r="R304" s="435" t="s">
        <v>812</v>
      </c>
      <c r="S304" s="435" t="s">
        <v>801</v>
      </c>
      <c r="AC304" s="435" t="s">
        <v>2</v>
      </c>
      <c r="AE304" s="438"/>
      <c r="AF304" s="438"/>
      <c r="AG304" s="438"/>
      <c r="AH304" s="438"/>
      <c r="AI304" s="438"/>
    </row>
    <row r="305" spans="4:35">
      <c r="D305" s="435" t="s">
        <v>79</v>
      </c>
      <c r="E305" s="435" t="s">
        <v>68</v>
      </c>
      <c r="F305" s="435" t="s">
        <v>274</v>
      </c>
      <c r="G305" s="435" t="s">
        <v>12</v>
      </c>
      <c r="H305" s="435" t="s">
        <v>264</v>
      </c>
      <c r="I305" s="435" t="s">
        <v>7</v>
      </c>
      <c r="J305" s="435" t="s">
        <v>299</v>
      </c>
      <c r="K305" s="437" t="s">
        <v>323</v>
      </c>
      <c r="L305" s="437" t="s">
        <v>323</v>
      </c>
      <c r="M305" s="435" t="s">
        <v>863</v>
      </c>
      <c r="N305" s="435" t="s">
        <v>829</v>
      </c>
      <c r="O305" s="435" t="s">
        <v>214</v>
      </c>
      <c r="R305" s="435" t="s">
        <v>813</v>
      </c>
      <c r="S305" s="435" t="s">
        <v>805</v>
      </c>
      <c r="AC305" s="435" t="s">
        <v>2</v>
      </c>
      <c r="AE305" s="438"/>
      <c r="AF305" s="438"/>
      <c r="AG305" s="438"/>
      <c r="AH305" s="438"/>
      <c r="AI305" s="438"/>
    </row>
    <row r="306" spans="4:35">
      <c r="D306" s="435" t="s">
        <v>79</v>
      </c>
      <c r="E306" s="435" t="s">
        <v>68</v>
      </c>
      <c r="F306" s="435" t="s">
        <v>274</v>
      </c>
      <c r="G306" s="435" t="s">
        <v>12</v>
      </c>
      <c r="H306" s="435" t="s">
        <v>264</v>
      </c>
      <c r="I306" s="435" t="s">
        <v>7</v>
      </c>
      <c r="J306" s="435" t="s">
        <v>299</v>
      </c>
      <c r="K306" s="437" t="s">
        <v>323</v>
      </c>
      <c r="L306" s="437" t="s">
        <v>323</v>
      </c>
      <c r="M306" s="435" t="s">
        <v>864</v>
      </c>
      <c r="N306" s="435" t="s">
        <v>829</v>
      </c>
      <c r="O306" s="435" t="s">
        <v>214</v>
      </c>
      <c r="R306" s="435" t="s">
        <v>814</v>
      </c>
      <c r="S306" s="435" t="s">
        <v>815</v>
      </c>
      <c r="AC306" s="435" t="s">
        <v>2</v>
      </c>
      <c r="AE306" s="438"/>
      <c r="AF306" s="438"/>
      <c r="AG306" s="438"/>
      <c r="AH306" s="438"/>
      <c r="AI306" s="438"/>
    </row>
    <row r="307" spans="4:35">
      <c r="D307" s="435" t="s">
        <v>79</v>
      </c>
      <c r="E307" s="435" t="s">
        <v>68</v>
      </c>
      <c r="F307" s="435" t="s">
        <v>274</v>
      </c>
      <c r="G307" s="435" t="s">
        <v>12</v>
      </c>
      <c r="H307" s="435" t="s">
        <v>264</v>
      </c>
      <c r="I307" s="435" t="s">
        <v>7</v>
      </c>
      <c r="J307" s="435" t="s">
        <v>299</v>
      </c>
      <c r="K307" s="437" t="s">
        <v>323</v>
      </c>
      <c r="L307" s="437" t="s">
        <v>323</v>
      </c>
      <c r="M307" s="435" t="s">
        <v>864</v>
      </c>
      <c r="N307" s="435" t="s">
        <v>829</v>
      </c>
      <c r="O307" s="435" t="s">
        <v>214</v>
      </c>
      <c r="R307" s="435" t="s">
        <v>816</v>
      </c>
      <c r="S307" s="435" t="s">
        <v>817</v>
      </c>
      <c r="AC307" s="435" t="s">
        <v>2</v>
      </c>
      <c r="AE307" s="438"/>
      <c r="AF307" s="438"/>
      <c r="AG307" s="438"/>
      <c r="AH307" s="438"/>
      <c r="AI307" s="438"/>
    </row>
    <row r="308" spans="4:35">
      <c r="D308" s="435" t="s">
        <v>79</v>
      </c>
      <c r="E308" s="435" t="s">
        <v>68</v>
      </c>
      <c r="F308" s="435" t="s">
        <v>274</v>
      </c>
      <c r="G308" s="435" t="s">
        <v>12</v>
      </c>
      <c r="H308" s="435" t="s">
        <v>264</v>
      </c>
      <c r="I308" s="435" t="s">
        <v>7</v>
      </c>
      <c r="J308" s="435" t="s">
        <v>299</v>
      </c>
      <c r="K308" s="437" t="s">
        <v>323</v>
      </c>
      <c r="L308" s="437" t="s">
        <v>323</v>
      </c>
      <c r="M308" s="435" t="s">
        <v>864</v>
      </c>
      <c r="N308" s="436" t="s">
        <v>2870</v>
      </c>
      <c r="O308" s="435" t="s">
        <v>830</v>
      </c>
      <c r="R308" s="435" t="s">
        <v>818</v>
      </c>
      <c r="S308" s="435" t="s">
        <v>819</v>
      </c>
      <c r="AC308" s="435" t="s">
        <v>2</v>
      </c>
      <c r="AE308" s="438"/>
      <c r="AF308" s="438"/>
      <c r="AG308" s="438"/>
      <c r="AH308" s="438"/>
      <c r="AI308" s="438"/>
    </row>
    <row r="309" spans="4:35">
      <c r="D309" s="435" t="s">
        <v>79</v>
      </c>
      <c r="E309" s="435" t="s">
        <v>68</v>
      </c>
      <c r="F309" s="435" t="s">
        <v>274</v>
      </c>
      <c r="G309" s="435" t="s">
        <v>12</v>
      </c>
      <c r="H309" s="435" t="s">
        <v>264</v>
      </c>
      <c r="I309" s="435" t="s">
        <v>7</v>
      </c>
      <c r="J309" s="435" t="s">
        <v>299</v>
      </c>
      <c r="K309" s="437" t="s">
        <v>323</v>
      </c>
      <c r="L309" s="437" t="s">
        <v>323</v>
      </c>
      <c r="M309" s="435" t="s">
        <v>864</v>
      </c>
      <c r="N309" s="435" t="s">
        <v>829</v>
      </c>
      <c r="O309" s="435" t="s">
        <v>214</v>
      </c>
      <c r="R309" s="435" t="s">
        <v>820</v>
      </c>
      <c r="S309" s="435" t="s">
        <v>821</v>
      </c>
      <c r="AC309" s="435" t="s">
        <v>2</v>
      </c>
      <c r="AE309" s="438"/>
      <c r="AF309" s="438"/>
      <c r="AG309" s="438"/>
      <c r="AH309" s="438"/>
      <c r="AI309" s="438"/>
    </row>
    <row r="310" spans="4:35">
      <c r="D310" s="435" t="s">
        <v>79</v>
      </c>
      <c r="E310" s="435" t="s">
        <v>68</v>
      </c>
      <c r="F310" s="435" t="s">
        <v>274</v>
      </c>
      <c r="G310" s="435" t="s">
        <v>12</v>
      </c>
      <c r="H310" s="435" t="s">
        <v>264</v>
      </c>
      <c r="I310" s="435" t="s">
        <v>7</v>
      </c>
      <c r="J310" s="435" t="s">
        <v>299</v>
      </c>
      <c r="K310" s="437" t="s">
        <v>323</v>
      </c>
      <c r="L310" s="437" t="s">
        <v>323</v>
      </c>
      <c r="M310" s="435" t="s">
        <v>864</v>
      </c>
      <c r="N310" s="435" t="s">
        <v>829</v>
      </c>
      <c r="O310" s="435" t="s">
        <v>214</v>
      </c>
      <c r="R310" s="435" t="s">
        <v>822</v>
      </c>
      <c r="S310" s="435" t="s">
        <v>823</v>
      </c>
      <c r="AC310" s="435" t="s">
        <v>2</v>
      </c>
      <c r="AE310" s="438"/>
      <c r="AF310" s="438"/>
      <c r="AG310" s="438"/>
      <c r="AH310" s="438"/>
      <c r="AI310" s="438"/>
    </row>
    <row r="311" spans="4:35">
      <c r="D311" s="435" t="s">
        <v>79</v>
      </c>
      <c r="E311" s="435" t="s">
        <v>68</v>
      </c>
      <c r="F311" s="435" t="s">
        <v>274</v>
      </c>
      <c r="G311" s="435" t="s">
        <v>12</v>
      </c>
      <c r="H311" s="435" t="s">
        <v>264</v>
      </c>
      <c r="I311" s="435" t="s">
        <v>7</v>
      </c>
      <c r="J311" s="435" t="s">
        <v>299</v>
      </c>
      <c r="K311" s="437" t="s">
        <v>323</v>
      </c>
      <c r="L311" s="437" t="s">
        <v>323</v>
      </c>
      <c r="M311" s="435" t="s">
        <v>864</v>
      </c>
      <c r="N311" s="435" t="s">
        <v>829</v>
      </c>
      <c r="O311" s="435" t="s">
        <v>214</v>
      </c>
      <c r="R311" s="435" t="s">
        <v>824</v>
      </c>
      <c r="S311" s="435" t="s">
        <v>817</v>
      </c>
      <c r="AC311" s="435" t="s">
        <v>2</v>
      </c>
      <c r="AE311" s="438"/>
      <c r="AF311" s="438"/>
      <c r="AG311" s="438"/>
      <c r="AH311" s="438"/>
      <c r="AI311" s="438"/>
    </row>
    <row r="312" spans="4:35">
      <c r="D312" s="435" t="s">
        <v>79</v>
      </c>
      <c r="E312" s="435" t="s">
        <v>68</v>
      </c>
      <c r="F312" s="435" t="s">
        <v>274</v>
      </c>
      <c r="G312" s="435" t="s">
        <v>12</v>
      </c>
      <c r="H312" s="435" t="s">
        <v>264</v>
      </c>
      <c r="I312" s="435" t="s">
        <v>7</v>
      </c>
      <c r="J312" s="435" t="s">
        <v>299</v>
      </c>
      <c r="K312" s="437" t="s">
        <v>323</v>
      </c>
      <c r="L312" s="437" t="s">
        <v>323</v>
      </c>
      <c r="M312" s="435" t="s">
        <v>864</v>
      </c>
      <c r="N312" s="435" t="s">
        <v>829</v>
      </c>
      <c r="O312" s="435" t="s">
        <v>214</v>
      </c>
      <c r="R312" s="435" t="s">
        <v>825</v>
      </c>
      <c r="S312" s="435" t="s">
        <v>819</v>
      </c>
      <c r="AC312" s="435" t="s">
        <v>2</v>
      </c>
      <c r="AE312" s="438"/>
      <c r="AF312" s="438"/>
      <c r="AG312" s="438"/>
      <c r="AH312" s="438"/>
      <c r="AI312" s="438"/>
    </row>
    <row r="313" spans="4:35">
      <c r="D313" s="435" t="s">
        <v>79</v>
      </c>
      <c r="E313" s="435" t="s">
        <v>68</v>
      </c>
      <c r="F313" s="435" t="s">
        <v>274</v>
      </c>
      <c r="G313" s="435" t="s">
        <v>12</v>
      </c>
      <c r="H313" s="435" t="s">
        <v>264</v>
      </c>
      <c r="I313" s="435" t="s">
        <v>7</v>
      </c>
      <c r="J313" s="435" t="s">
        <v>299</v>
      </c>
      <c r="K313" s="437" t="s">
        <v>323</v>
      </c>
      <c r="L313" s="437" t="s">
        <v>323</v>
      </c>
      <c r="M313" s="435" t="s">
        <v>864</v>
      </c>
      <c r="N313" s="435" t="s">
        <v>829</v>
      </c>
      <c r="O313" s="435" t="s">
        <v>214</v>
      </c>
      <c r="R313" s="435" t="s">
        <v>826</v>
      </c>
      <c r="S313" s="435" t="s">
        <v>823</v>
      </c>
      <c r="AC313" s="435" t="s">
        <v>2</v>
      </c>
      <c r="AE313" s="438"/>
      <c r="AF313" s="438"/>
      <c r="AG313" s="438"/>
      <c r="AH313" s="438"/>
      <c r="AI313" s="438"/>
    </row>
    <row r="314" spans="4:35">
      <c r="D314" s="435" t="s">
        <v>79</v>
      </c>
      <c r="E314" s="435" t="s">
        <v>68</v>
      </c>
      <c r="F314" s="435" t="s">
        <v>274</v>
      </c>
      <c r="G314" s="435" t="s">
        <v>12</v>
      </c>
      <c r="H314" s="435" t="s">
        <v>264</v>
      </c>
      <c r="I314" s="435" t="s">
        <v>7</v>
      </c>
      <c r="J314" s="435" t="s">
        <v>299</v>
      </c>
      <c r="K314" s="437" t="s">
        <v>323</v>
      </c>
      <c r="L314" s="437" t="s">
        <v>323</v>
      </c>
      <c r="M314" s="435" t="s">
        <v>864</v>
      </c>
      <c r="N314" s="435" t="s">
        <v>829</v>
      </c>
      <c r="O314" s="435" t="s">
        <v>214</v>
      </c>
      <c r="R314" s="435" t="s">
        <v>827</v>
      </c>
      <c r="S314" s="435" t="s">
        <v>815</v>
      </c>
      <c r="AC314" s="435" t="s">
        <v>2</v>
      </c>
      <c r="AE314" s="438"/>
      <c r="AF314" s="438"/>
      <c r="AG314" s="438"/>
      <c r="AH314" s="438"/>
      <c r="AI314" s="438"/>
    </row>
    <row r="315" spans="4:35">
      <c r="D315" s="435" t="s">
        <v>79</v>
      </c>
      <c r="E315" s="435" t="s">
        <v>68</v>
      </c>
      <c r="F315" s="435" t="s">
        <v>274</v>
      </c>
      <c r="G315" s="435" t="s">
        <v>12</v>
      </c>
      <c r="H315" s="435" t="s">
        <v>264</v>
      </c>
      <c r="I315" s="435" t="s">
        <v>7</v>
      </c>
      <c r="J315" s="435" t="s">
        <v>299</v>
      </c>
      <c r="K315" s="438"/>
      <c r="L315" s="438"/>
      <c r="M315" s="438"/>
      <c r="N315" s="438"/>
      <c r="O315" s="438" t="s">
        <v>830</v>
      </c>
      <c r="R315" s="438"/>
      <c r="S315" s="438"/>
      <c r="AC315" s="435" t="s">
        <v>2</v>
      </c>
      <c r="AE315" s="438"/>
      <c r="AF315" s="438"/>
      <c r="AG315" s="438"/>
      <c r="AH315" s="438"/>
      <c r="AI315" s="438"/>
    </row>
    <row r="316" spans="4:35">
      <c r="D316" s="435" t="s">
        <v>79</v>
      </c>
      <c r="E316" s="435" t="s">
        <v>68</v>
      </c>
      <c r="F316" s="435" t="s">
        <v>274</v>
      </c>
      <c r="G316" s="435" t="s">
        <v>12</v>
      </c>
      <c r="H316" s="435" t="s">
        <v>264</v>
      </c>
      <c r="I316" s="435" t="s">
        <v>7</v>
      </c>
      <c r="J316" s="435" t="s">
        <v>299</v>
      </c>
      <c r="K316" s="438"/>
      <c r="L316" s="438"/>
      <c r="M316" s="438"/>
      <c r="N316" s="438"/>
      <c r="O316" s="438" t="s">
        <v>830</v>
      </c>
      <c r="R316" s="438"/>
      <c r="S316" s="438"/>
      <c r="AC316" s="435" t="s">
        <v>2</v>
      </c>
      <c r="AE316" s="438"/>
      <c r="AF316" s="438"/>
      <c r="AG316" s="438"/>
      <c r="AH316" s="438"/>
      <c r="AI316" s="438"/>
    </row>
    <row r="317" spans="4:35">
      <c r="D317" s="435" t="s">
        <v>79</v>
      </c>
      <c r="E317" s="435" t="s">
        <v>68</v>
      </c>
      <c r="F317" s="435" t="s">
        <v>274</v>
      </c>
      <c r="G317" s="435" t="s">
        <v>12</v>
      </c>
      <c r="H317" s="435" t="s">
        <v>264</v>
      </c>
      <c r="I317" s="435" t="s">
        <v>7</v>
      </c>
      <c r="J317" s="435" t="s">
        <v>299</v>
      </c>
      <c r="K317" s="438"/>
      <c r="L317" s="438"/>
      <c r="M317" s="438"/>
      <c r="N317" s="438"/>
      <c r="O317" s="438" t="s">
        <v>830</v>
      </c>
      <c r="R317" s="438"/>
      <c r="S317" s="438"/>
      <c r="AC317" s="435" t="s">
        <v>2</v>
      </c>
      <c r="AE317" s="438"/>
      <c r="AF317" s="438"/>
      <c r="AG317" s="438"/>
      <c r="AH317" s="438"/>
      <c r="AI317" s="438"/>
    </row>
    <row r="318" spans="4:35">
      <c r="D318" s="435" t="s">
        <v>79</v>
      </c>
      <c r="E318" s="435" t="s">
        <v>68</v>
      </c>
      <c r="F318" s="435" t="s">
        <v>274</v>
      </c>
      <c r="G318" s="435" t="s">
        <v>12</v>
      </c>
      <c r="H318" s="435" t="s">
        <v>264</v>
      </c>
      <c r="I318" s="435" t="s">
        <v>7</v>
      </c>
      <c r="J318" s="435" t="s">
        <v>299</v>
      </c>
      <c r="K318" s="438"/>
      <c r="L318" s="438"/>
      <c r="M318" s="438"/>
      <c r="N318" s="438"/>
      <c r="O318" s="438" t="s">
        <v>830</v>
      </c>
      <c r="R318" s="438"/>
      <c r="S318" s="438"/>
      <c r="AC318" s="435" t="s">
        <v>2</v>
      </c>
      <c r="AE318" s="438"/>
      <c r="AF318" s="438"/>
      <c r="AG318" s="438"/>
      <c r="AH318" s="438"/>
      <c r="AI318" s="438"/>
    </row>
    <row r="319" spans="4:35">
      <c r="D319" s="435" t="s">
        <v>79</v>
      </c>
      <c r="E319" s="435" t="s">
        <v>68</v>
      </c>
      <c r="F319" s="435" t="s">
        <v>274</v>
      </c>
      <c r="G319" s="435" t="s">
        <v>12</v>
      </c>
      <c r="H319" s="435" t="s">
        <v>264</v>
      </c>
      <c r="I319" s="435" t="s">
        <v>7</v>
      </c>
      <c r="J319" s="435" t="s">
        <v>299</v>
      </c>
      <c r="K319" s="438"/>
      <c r="L319" s="438"/>
      <c r="M319" s="438"/>
      <c r="N319" s="438"/>
      <c r="O319" s="438" t="s">
        <v>830</v>
      </c>
      <c r="R319" s="438"/>
      <c r="S319" s="438"/>
      <c r="AC319" s="435" t="s">
        <v>2</v>
      </c>
      <c r="AE319" s="438"/>
      <c r="AF319" s="438"/>
      <c r="AG319" s="438"/>
      <c r="AH319" s="438"/>
      <c r="AI319" s="438"/>
    </row>
    <row r="320" spans="4:35">
      <c r="D320" s="435" t="s">
        <v>79</v>
      </c>
      <c r="E320" s="435" t="s">
        <v>68</v>
      </c>
      <c r="F320" s="435" t="s">
        <v>274</v>
      </c>
      <c r="G320" s="435" t="s">
        <v>12</v>
      </c>
      <c r="H320" s="435" t="s">
        <v>264</v>
      </c>
      <c r="I320" s="435" t="s">
        <v>7</v>
      </c>
      <c r="J320" s="435" t="s">
        <v>299</v>
      </c>
      <c r="K320" s="438"/>
      <c r="L320" s="438"/>
      <c r="M320" s="438"/>
      <c r="N320" s="438"/>
      <c r="O320" s="438" t="s">
        <v>830</v>
      </c>
      <c r="P320" s="441"/>
      <c r="Q320" s="441"/>
      <c r="R320" s="438"/>
      <c r="S320" s="438"/>
      <c r="T320" s="441"/>
      <c r="U320" s="441"/>
      <c r="AC320" s="435" t="s">
        <v>2</v>
      </c>
      <c r="AE320" s="438"/>
      <c r="AF320" s="438"/>
      <c r="AG320" s="438"/>
      <c r="AH320" s="438"/>
      <c r="AI320" s="438"/>
    </row>
    <row r="321" spans="1:35">
      <c r="D321" s="435" t="s">
        <v>79</v>
      </c>
      <c r="E321" s="435" t="s">
        <v>68</v>
      </c>
      <c r="F321" s="435" t="s">
        <v>274</v>
      </c>
      <c r="G321" s="435" t="s">
        <v>12</v>
      </c>
      <c r="H321" s="435" t="s">
        <v>264</v>
      </c>
      <c r="I321" s="435" t="s">
        <v>7</v>
      </c>
      <c r="J321" s="435" t="s">
        <v>299</v>
      </c>
      <c r="K321" s="438"/>
      <c r="L321" s="438"/>
      <c r="M321" s="438"/>
      <c r="N321" s="438"/>
      <c r="O321" s="438" t="s">
        <v>830</v>
      </c>
      <c r="P321" s="441"/>
      <c r="Q321" s="441"/>
      <c r="R321" s="438"/>
      <c r="S321" s="438"/>
      <c r="T321" s="441"/>
      <c r="U321" s="441"/>
      <c r="AC321" s="435" t="s">
        <v>2</v>
      </c>
      <c r="AE321" s="438"/>
      <c r="AF321" s="438"/>
      <c r="AG321" s="438"/>
      <c r="AH321" s="438"/>
      <c r="AI321" s="438"/>
    </row>
    <row r="322" spans="1:35">
      <c r="D322" s="435" t="s">
        <v>79</v>
      </c>
      <c r="E322" s="435" t="s">
        <v>68</v>
      </c>
      <c r="F322" s="435" t="s">
        <v>274</v>
      </c>
      <c r="G322" s="435" t="s">
        <v>12</v>
      </c>
      <c r="H322" s="435" t="s">
        <v>264</v>
      </c>
      <c r="I322" s="435" t="s">
        <v>7</v>
      </c>
      <c r="J322" s="435" t="s">
        <v>299</v>
      </c>
      <c r="K322" s="438"/>
      <c r="L322" s="438"/>
      <c r="M322" s="438"/>
      <c r="N322" s="438"/>
      <c r="O322" s="438" t="s">
        <v>830</v>
      </c>
      <c r="P322" s="441"/>
      <c r="Q322" s="441"/>
      <c r="R322" s="438"/>
      <c r="S322" s="438"/>
      <c r="T322" s="441"/>
      <c r="U322" s="441"/>
      <c r="AC322" s="435" t="s">
        <v>2</v>
      </c>
      <c r="AE322" s="438"/>
      <c r="AF322" s="438"/>
      <c r="AG322" s="438"/>
      <c r="AH322" s="438"/>
      <c r="AI322" s="438"/>
    </row>
    <row r="323" spans="1:35">
      <c r="D323" s="435" t="s">
        <v>79</v>
      </c>
      <c r="E323" s="435" t="s">
        <v>68</v>
      </c>
      <c r="F323" s="435" t="s">
        <v>274</v>
      </c>
      <c r="G323" s="435" t="s">
        <v>12</v>
      </c>
      <c r="H323" s="435" t="s">
        <v>264</v>
      </c>
      <c r="I323" s="435" t="s">
        <v>7</v>
      </c>
      <c r="J323" s="435" t="s">
        <v>299</v>
      </c>
      <c r="K323" s="438"/>
      <c r="L323" s="438"/>
      <c r="M323" s="438"/>
      <c r="N323" s="438"/>
      <c r="O323" s="438" t="s">
        <v>830</v>
      </c>
      <c r="P323" s="441"/>
      <c r="Q323" s="441"/>
      <c r="R323" s="438"/>
      <c r="S323" s="438"/>
      <c r="T323" s="441"/>
      <c r="U323" s="441"/>
      <c r="AC323" s="435" t="s">
        <v>2</v>
      </c>
      <c r="AE323" s="438"/>
      <c r="AF323" s="438"/>
      <c r="AG323" s="438"/>
      <c r="AH323" s="438"/>
      <c r="AI323" s="438"/>
    </row>
    <row r="324" spans="1:35">
      <c r="D324" s="435" t="s">
        <v>79</v>
      </c>
      <c r="E324" s="435" t="s">
        <v>68</v>
      </c>
      <c r="F324" s="435" t="s">
        <v>274</v>
      </c>
      <c r="G324" s="435" t="s">
        <v>12</v>
      </c>
      <c r="H324" s="435" t="s">
        <v>264</v>
      </c>
      <c r="I324" s="435" t="s">
        <v>7</v>
      </c>
      <c r="J324" s="435" t="s">
        <v>299</v>
      </c>
      <c r="K324" s="438"/>
      <c r="L324" s="438"/>
      <c r="M324" s="438"/>
      <c r="N324" s="438"/>
      <c r="O324" s="438" t="s">
        <v>830</v>
      </c>
      <c r="P324" s="441"/>
      <c r="Q324" s="441"/>
      <c r="R324" s="438"/>
      <c r="S324" s="438"/>
      <c r="T324" s="441"/>
      <c r="U324" s="441"/>
      <c r="AC324" s="435" t="s">
        <v>2</v>
      </c>
      <c r="AE324" s="438"/>
      <c r="AF324" s="438"/>
      <c r="AG324" s="438"/>
      <c r="AH324" s="438"/>
      <c r="AI324" s="438"/>
    </row>
    <row r="325" spans="1:35">
      <c r="D325" s="435" t="s">
        <v>79</v>
      </c>
      <c r="E325" s="435" t="s">
        <v>68</v>
      </c>
      <c r="F325" s="435" t="s">
        <v>274</v>
      </c>
      <c r="G325" s="435" t="s">
        <v>12</v>
      </c>
      <c r="H325" s="435" t="s">
        <v>264</v>
      </c>
      <c r="I325" s="435" t="s">
        <v>7</v>
      </c>
      <c r="J325" s="435" t="s">
        <v>299</v>
      </c>
      <c r="K325" s="438"/>
      <c r="L325" s="438"/>
      <c r="M325" s="438"/>
      <c r="N325" s="438"/>
      <c r="O325" s="438" t="s">
        <v>830</v>
      </c>
      <c r="P325" s="441"/>
      <c r="Q325" s="441"/>
      <c r="R325" s="438"/>
      <c r="S325" s="438"/>
      <c r="T325" s="441"/>
      <c r="U325" s="441"/>
      <c r="AC325" s="435" t="s">
        <v>2</v>
      </c>
      <c r="AE325" s="438"/>
      <c r="AF325" s="438"/>
      <c r="AG325" s="438"/>
      <c r="AH325" s="438"/>
      <c r="AI325" s="438"/>
    </row>
    <row r="326" spans="1:35">
      <c r="D326" s="435" t="s">
        <v>79</v>
      </c>
      <c r="E326" s="435" t="s">
        <v>68</v>
      </c>
      <c r="F326" s="435" t="s">
        <v>274</v>
      </c>
      <c r="G326" s="435" t="s">
        <v>12</v>
      </c>
      <c r="H326" s="435" t="s">
        <v>264</v>
      </c>
      <c r="I326" s="435" t="s">
        <v>7</v>
      </c>
      <c r="J326" s="435" t="s">
        <v>299</v>
      </c>
      <c r="K326" s="438"/>
      <c r="L326" s="438"/>
      <c r="M326" s="438"/>
      <c r="N326" s="438"/>
      <c r="O326" s="438" t="s">
        <v>830</v>
      </c>
      <c r="P326" s="441"/>
      <c r="Q326" s="441"/>
      <c r="R326" s="438"/>
      <c r="S326" s="438"/>
      <c r="T326" s="441"/>
      <c r="U326" s="441"/>
      <c r="AC326" s="435" t="s">
        <v>2</v>
      </c>
      <c r="AE326" s="438"/>
      <c r="AF326" s="438"/>
      <c r="AG326" s="438"/>
      <c r="AH326" s="438"/>
      <c r="AI326" s="438"/>
    </row>
    <row r="327" spans="1:35">
      <c r="D327" s="435" t="s">
        <v>79</v>
      </c>
      <c r="E327" s="435" t="s">
        <v>68</v>
      </c>
      <c r="F327" s="435" t="s">
        <v>274</v>
      </c>
      <c r="G327" s="435" t="s">
        <v>12</v>
      </c>
      <c r="H327" s="435" t="s">
        <v>264</v>
      </c>
      <c r="I327" s="435" t="s">
        <v>7</v>
      </c>
      <c r="J327" s="435" t="s">
        <v>299</v>
      </c>
      <c r="K327" s="438"/>
      <c r="L327" s="438"/>
      <c r="M327" s="438"/>
      <c r="N327" s="438"/>
      <c r="O327" s="438" t="s">
        <v>830</v>
      </c>
      <c r="P327" s="441"/>
      <c r="Q327" s="441"/>
      <c r="R327" s="438"/>
      <c r="S327" s="438"/>
      <c r="T327" s="441"/>
      <c r="U327" s="441"/>
      <c r="AC327" s="435" t="s">
        <v>2</v>
      </c>
      <c r="AE327" s="438"/>
      <c r="AF327" s="438"/>
      <c r="AG327" s="438"/>
      <c r="AH327" s="438"/>
      <c r="AI327" s="438"/>
    </row>
    <row r="328" spans="1:35" s="67" customFormat="1">
      <c r="D328" s="435" t="s">
        <v>79</v>
      </c>
      <c r="E328" s="435" t="s">
        <v>68</v>
      </c>
      <c r="F328" s="435" t="s">
        <v>274</v>
      </c>
      <c r="G328" s="435" t="s">
        <v>12</v>
      </c>
      <c r="H328" s="435" t="s">
        <v>264</v>
      </c>
      <c r="I328" s="435" t="s">
        <v>7</v>
      </c>
      <c r="J328" s="435" t="s">
        <v>299</v>
      </c>
      <c r="K328" s="438"/>
      <c r="L328" s="438"/>
      <c r="M328" s="438"/>
      <c r="N328" s="438"/>
      <c r="O328" s="438" t="s">
        <v>830</v>
      </c>
      <c r="P328" s="441"/>
      <c r="Q328" s="441"/>
      <c r="R328" s="438"/>
      <c r="S328" s="438"/>
      <c r="T328" s="441"/>
      <c r="U328" s="441"/>
      <c r="V328" s="435"/>
      <c r="W328" s="435"/>
      <c r="X328" s="435"/>
      <c r="Y328" s="435"/>
      <c r="Z328" s="435"/>
      <c r="AA328" s="435"/>
      <c r="AB328" s="435"/>
      <c r="AC328" s="435" t="s">
        <v>2</v>
      </c>
      <c r="AD328" s="435"/>
      <c r="AE328" s="438"/>
      <c r="AF328" s="438"/>
      <c r="AG328" s="438"/>
      <c r="AH328" s="438"/>
      <c r="AI328" s="438"/>
    </row>
    <row r="329" spans="1:35">
      <c r="T329" s="67"/>
      <c r="U329" s="67"/>
      <c r="V329" s="67"/>
      <c r="W329" s="67"/>
      <c r="X329" s="67"/>
    </row>
    <row r="330" spans="1:35" s="1" customFormat="1" ht="13.9">
      <c r="A330" s="66"/>
      <c r="B330" s="78" t="s">
        <v>1414</v>
      </c>
    </row>
    <row r="332" spans="1:35">
      <c r="D332" s="435" t="s">
        <v>79</v>
      </c>
      <c r="E332" s="435" t="s">
        <v>68</v>
      </c>
      <c r="F332" s="435" t="s">
        <v>274</v>
      </c>
      <c r="G332" s="435" t="s">
        <v>86</v>
      </c>
      <c r="H332" s="435" t="s">
        <v>264</v>
      </c>
      <c r="I332" s="435" t="s">
        <v>7</v>
      </c>
      <c r="J332" s="435" t="s">
        <v>299</v>
      </c>
      <c r="K332" s="437" t="s">
        <v>300</v>
      </c>
      <c r="L332" s="437" t="s">
        <v>301</v>
      </c>
      <c r="M332" s="435" t="s">
        <v>832</v>
      </c>
      <c r="N332" s="435" t="s">
        <v>828</v>
      </c>
      <c r="O332" s="435" t="s">
        <v>217</v>
      </c>
      <c r="R332" s="435" t="s">
        <v>324</v>
      </c>
      <c r="S332" s="435" t="s">
        <v>325</v>
      </c>
      <c r="AC332" s="435" t="s">
        <v>3</v>
      </c>
      <c r="AE332" s="438"/>
      <c r="AF332" s="438"/>
      <c r="AG332" s="438"/>
      <c r="AH332" s="438"/>
      <c r="AI332" s="438"/>
    </row>
    <row r="333" spans="1:35">
      <c r="D333" s="435" t="s">
        <v>79</v>
      </c>
      <c r="E333" s="435" t="s">
        <v>68</v>
      </c>
      <c r="F333" s="435" t="s">
        <v>274</v>
      </c>
      <c r="G333" s="435" t="s">
        <v>86</v>
      </c>
      <c r="H333" s="435" t="s">
        <v>264</v>
      </c>
      <c r="I333" s="435" t="s">
        <v>7</v>
      </c>
      <c r="J333" s="435" t="s">
        <v>299</v>
      </c>
      <c r="K333" s="437" t="s">
        <v>300</v>
      </c>
      <c r="L333" s="437" t="s">
        <v>301</v>
      </c>
      <c r="M333" s="435" t="s">
        <v>832</v>
      </c>
      <c r="N333" s="435" t="s">
        <v>828</v>
      </c>
      <c r="O333" s="435" t="s">
        <v>217</v>
      </c>
      <c r="R333" s="435" t="s">
        <v>326</v>
      </c>
      <c r="S333" s="435" t="s">
        <v>327</v>
      </c>
      <c r="AC333" s="435" t="s">
        <v>3</v>
      </c>
      <c r="AE333" s="438"/>
      <c r="AF333" s="438"/>
      <c r="AG333" s="438"/>
      <c r="AH333" s="438"/>
      <c r="AI333" s="438"/>
    </row>
    <row r="334" spans="1:35">
      <c r="D334" s="435" t="s">
        <v>79</v>
      </c>
      <c r="E334" s="435" t="s">
        <v>68</v>
      </c>
      <c r="F334" s="435" t="s">
        <v>274</v>
      </c>
      <c r="G334" s="435" t="s">
        <v>86</v>
      </c>
      <c r="H334" s="435" t="s">
        <v>264</v>
      </c>
      <c r="I334" s="435" t="s">
        <v>7</v>
      </c>
      <c r="J334" s="435" t="s">
        <v>299</v>
      </c>
      <c r="K334" s="437" t="s">
        <v>300</v>
      </c>
      <c r="L334" s="437" t="s">
        <v>301</v>
      </c>
      <c r="M334" s="435" t="s">
        <v>832</v>
      </c>
      <c r="N334" s="435" t="s">
        <v>828</v>
      </c>
      <c r="O334" s="435" t="s">
        <v>217</v>
      </c>
      <c r="R334" s="435" t="s">
        <v>328</v>
      </c>
      <c r="S334" s="435" t="s">
        <v>329</v>
      </c>
      <c r="AC334" s="435" t="s">
        <v>3</v>
      </c>
      <c r="AE334" s="438"/>
      <c r="AF334" s="438"/>
      <c r="AG334" s="438"/>
      <c r="AH334" s="438"/>
      <c r="AI334" s="438"/>
    </row>
    <row r="335" spans="1:35">
      <c r="D335" s="435" t="s">
        <v>79</v>
      </c>
      <c r="E335" s="435" t="s">
        <v>68</v>
      </c>
      <c r="F335" s="435" t="s">
        <v>274</v>
      </c>
      <c r="G335" s="435" t="s">
        <v>86</v>
      </c>
      <c r="H335" s="435" t="s">
        <v>264</v>
      </c>
      <c r="I335" s="435" t="s">
        <v>7</v>
      </c>
      <c r="J335" s="435" t="s">
        <v>299</v>
      </c>
      <c r="K335" s="437" t="s">
        <v>300</v>
      </c>
      <c r="L335" s="437" t="s">
        <v>301</v>
      </c>
      <c r="M335" s="435" t="s">
        <v>833</v>
      </c>
      <c r="N335" s="435" t="s">
        <v>828</v>
      </c>
      <c r="O335" s="435" t="s">
        <v>217</v>
      </c>
      <c r="R335" s="435" t="s">
        <v>330</v>
      </c>
      <c r="S335" s="435" t="s">
        <v>331</v>
      </c>
      <c r="AC335" s="435" t="s">
        <v>3</v>
      </c>
      <c r="AE335" s="438"/>
      <c r="AF335" s="438"/>
      <c r="AG335" s="438"/>
      <c r="AH335" s="438"/>
      <c r="AI335" s="438"/>
    </row>
    <row r="336" spans="1:35">
      <c r="D336" s="435" t="s">
        <v>79</v>
      </c>
      <c r="E336" s="435" t="s">
        <v>68</v>
      </c>
      <c r="F336" s="435" t="s">
        <v>274</v>
      </c>
      <c r="G336" s="435" t="s">
        <v>86</v>
      </c>
      <c r="H336" s="435" t="s">
        <v>264</v>
      </c>
      <c r="I336" s="435" t="s">
        <v>7</v>
      </c>
      <c r="J336" s="435" t="s">
        <v>299</v>
      </c>
      <c r="K336" s="437" t="s">
        <v>300</v>
      </c>
      <c r="L336" s="437" t="s">
        <v>301</v>
      </c>
      <c r="M336" s="435" t="s">
        <v>833</v>
      </c>
      <c r="N336" s="435" t="s">
        <v>828</v>
      </c>
      <c r="O336" s="435" t="s">
        <v>217</v>
      </c>
      <c r="R336" s="435" t="s">
        <v>332</v>
      </c>
      <c r="S336" s="435" t="s">
        <v>333</v>
      </c>
      <c r="AC336" s="435" t="s">
        <v>3</v>
      </c>
      <c r="AE336" s="438"/>
      <c r="AF336" s="438"/>
      <c r="AG336" s="438"/>
      <c r="AH336" s="438"/>
      <c r="AI336" s="438"/>
    </row>
    <row r="337" spans="4:35">
      <c r="D337" s="435" t="s">
        <v>79</v>
      </c>
      <c r="E337" s="435" t="s">
        <v>68</v>
      </c>
      <c r="F337" s="435" t="s">
        <v>274</v>
      </c>
      <c r="G337" s="435" t="s">
        <v>86</v>
      </c>
      <c r="H337" s="435" t="s">
        <v>264</v>
      </c>
      <c r="I337" s="435" t="s">
        <v>7</v>
      </c>
      <c r="J337" s="435" t="s">
        <v>299</v>
      </c>
      <c r="K337" s="437" t="s">
        <v>300</v>
      </c>
      <c r="L337" s="437" t="s">
        <v>301</v>
      </c>
      <c r="M337" s="435" t="s">
        <v>833</v>
      </c>
      <c r="N337" s="435" t="s">
        <v>828</v>
      </c>
      <c r="O337" s="435" t="s">
        <v>217</v>
      </c>
      <c r="R337" s="435" t="s">
        <v>334</v>
      </c>
      <c r="S337" s="435" t="s">
        <v>335</v>
      </c>
      <c r="AC337" s="435" t="s">
        <v>3</v>
      </c>
      <c r="AE337" s="438"/>
      <c r="AF337" s="438"/>
      <c r="AG337" s="438"/>
      <c r="AH337" s="438"/>
      <c r="AI337" s="438"/>
    </row>
    <row r="338" spans="4:35">
      <c r="D338" s="435" t="s">
        <v>79</v>
      </c>
      <c r="E338" s="435" t="s">
        <v>68</v>
      </c>
      <c r="F338" s="435" t="s">
        <v>274</v>
      </c>
      <c r="G338" s="435" t="s">
        <v>86</v>
      </c>
      <c r="H338" s="435" t="s">
        <v>264</v>
      </c>
      <c r="I338" s="435" t="s">
        <v>7</v>
      </c>
      <c r="J338" s="435" t="s">
        <v>299</v>
      </c>
      <c r="K338" s="437" t="s">
        <v>300</v>
      </c>
      <c r="L338" s="437" t="s">
        <v>301</v>
      </c>
      <c r="M338" s="435" t="s">
        <v>834</v>
      </c>
      <c r="N338" s="435" t="s">
        <v>828</v>
      </c>
      <c r="O338" s="435" t="s">
        <v>217</v>
      </c>
      <c r="R338" s="435" t="s">
        <v>336</v>
      </c>
      <c r="S338" s="435" t="s">
        <v>337</v>
      </c>
      <c r="AC338" s="435" t="s">
        <v>3</v>
      </c>
      <c r="AE338" s="438"/>
      <c r="AF338" s="438"/>
      <c r="AG338" s="438"/>
      <c r="AH338" s="438"/>
      <c r="AI338" s="438"/>
    </row>
    <row r="339" spans="4:35">
      <c r="D339" s="435" t="s">
        <v>79</v>
      </c>
      <c r="E339" s="435" t="s">
        <v>68</v>
      </c>
      <c r="F339" s="435" t="s">
        <v>274</v>
      </c>
      <c r="G339" s="435" t="s">
        <v>86</v>
      </c>
      <c r="H339" s="435" t="s">
        <v>264</v>
      </c>
      <c r="I339" s="435" t="s">
        <v>7</v>
      </c>
      <c r="J339" s="435" t="s">
        <v>299</v>
      </c>
      <c r="K339" s="437" t="s">
        <v>300</v>
      </c>
      <c r="L339" s="437" t="s">
        <v>301</v>
      </c>
      <c r="M339" s="435" t="s">
        <v>834</v>
      </c>
      <c r="N339" s="435" t="s">
        <v>828</v>
      </c>
      <c r="O339" s="435" t="s">
        <v>217</v>
      </c>
      <c r="R339" s="435" t="s">
        <v>338</v>
      </c>
      <c r="S339" s="435" t="s">
        <v>339</v>
      </c>
      <c r="AC339" s="435" t="s">
        <v>3</v>
      </c>
      <c r="AE339" s="438"/>
      <c r="AF339" s="438"/>
      <c r="AG339" s="438"/>
      <c r="AH339" s="438"/>
      <c r="AI339" s="438"/>
    </row>
    <row r="340" spans="4:35">
      <c r="D340" s="435" t="s">
        <v>79</v>
      </c>
      <c r="E340" s="435" t="s">
        <v>68</v>
      </c>
      <c r="F340" s="435" t="s">
        <v>274</v>
      </c>
      <c r="G340" s="435" t="s">
        <v>86</v>
      </c>
      <c r="H340" s="435" t="s">
        <v>264</v>
      </c>
      <c r="I340" s="435" t="s">
        <v>7</v>
      </c>
      <c r="J340" s="435" t="s">
        <v>299</v>
      </c>
      <c r="K340" s="437" t="s">
        <v>300</v>
      </c>
      <c r="L340" s="437" t="s">
        <v>301</v>
      </c>
      <c r="M340" s="435" t="s">
        <v>834</v>
      </c>
      <c r="N340" s="435" t="s">
        <v>828</v>
      </c>
      <c r="O340" s="435" t="s">
        <v>217</v>
      </c>
      <c r="R340" s="435" t="s">
        <v>340</v>
      </c>
      <c r="S340" s="435" t="s">
        <v>341</v>
      </c>
      <c r="AC340" s="435" t="s">
        <v>3</v>
      </c>
      <c r="AE340" s="438"/>
      <c r="AF340" s="438"/>
      <c r="AG340" s="438"/>
      <c r="AH340" s="438"/>
      <c r="AI340" s="438"/>
    </row>
    <row r="341" spans="4:35">
      <c r="D341" s="435" t="s">
        <v>79</v>
      </c>
      <c r="E341" s="435" t="s">
        <v>68</v>
      </c>
      <c r="F341" s="435" t="s">
        <v>274</v>
      </c>
      <c r="G341" s="435" t="s">
        <v>86</v>
      </c>
      <c r="H341" s="435" t="s">
        <v>264</v>
      </c>
      <c r="I341" s="435" t="s">
        <v>7</v>
      </c>
      <c r="J341" s="435" t="s">
        <v>299</v>
      </c>
      <c r="K341" s="437" t="s">
        <v>300</v>
      </c>
      <c r="L341" s="437" t="s">
        <v>301</v>
      </c>
      <c r="M341" s="435" t="s">
        <v>834</v>
      </c>
      <c r="N341" s="436" t="s">
        <v>2870</v>
      </c>
      <c r="O341" s="435" t="s">
        <v>830</v>
      </c>
      <c r="R341" s="435" t="s">
        <v>342</v>
      </c>
      <c r="S341" s="435" t="s">
        <v>339</v>
      </c>
      <c r="AC341" s="435" t="s">
        <v>3</v>
      </c>
      <c r="AE341" s="438"/>
      <c r="AF341" s="438"/>
      <c r="AG341" s="438"/>
      <c r="AH341" s="438"/>
      <c r="AI341" s="438"/>
    </row>
    <row r="342" spans="4:35">
      <c r="D342" s="435" t="s">
        <v>79</v>
      </c>
      <c r="E342" s="435" t="s">
        <v>68</v>
      </c>
      <c r="F342" s="435" t="s">
        <v>274</v>
      </c>
      <c r="G342" s="435" t="s">
        <v>86</v>
      </c>
      <c r="H342" s="435" t="s">
        <v>264</v>
      </c>
      <c r="I342" s="435" t="s">
        <v>7</v>
      </c>
      <c r="J342" s="435" t="s">
        <v>299</v>
      </c>
      <c r="K342" s="437" t="s">
        <v>300</v>
      </c>
      <c r="L342" s="437" t="s">
        <v>301</v>
      </c>
      <c r="M342" s="435" t="s">
        <v>835</v>
      </c>
      <c r="N342" s="435" t="s">
        <v>828</v>
      </c>
      <c r="O342" s="435" t="s">
        <v>217</v>
      </c>
      <c r="R342" s="435" t="s">
        <v>343</v>
      </c>
      <c r="S342" s="435" t="s">
        <v>344</v>
      </c>
      <c r="AC342" s="435" t="s">
        <v>3</v>
      </c>
      <c r="AE342" s="438"/>
      <c r="AF342" s="438"/>
      <c r="AG342" s="438"/>
      <c r="AH342" s="438"/>
      <c r="AI342" s="438"/>
    </row>
    <row r="343" spans="4:35">
      <c r="D343" s="435" t="s">
        <v>79</v>
      </c>
      <c r="E343" s="435" t="s">
        <v>68</v>
      </c>
      <c r="F343" s="435" t="s">
        <v>274</v>
      </c>
      <c r="G343" s="435" t="s">
        <v>86</v>
      </c>
      <c r="H343" s="435" t="s">
        <v>264</v>
      </c>
      <c r="I343" s="435" t="s">
        <v>7</v>
      </c>
      <c r="J343" s="435" t="s">
        <v>299</v>
      </c>
      <c r="K343" s="437" t="s">
        <v>300</v>
      </c>
      <c r="L343" s="437" t="s">
        <v>301</v>
      </c>
      <c r="M343" s="435" t="s">
        <v>835</v>
      </c>
      <c r="N343" s="435" t="s">
        <v>828</v>
      </c>
      <c r="O343" s="435" t="s">
        <v>217</v>
      </c>
      <c r="R343" s="435" t="s">
        <v>345</v>
      </c>
      <c r="S343" s="435" t="s">
        <v>346</v>
      </c>
      <c r="AC343" s="435" t="s">
        <v>3</v>
      </c>
      <c r="AE343" s="438"/>
      <c r="AF343" s="438"/>
      <c r="AG343" s="438"/>
      <c r="AH343" s="438"/>
      <c r="AI343" s="438"/>
    </row>
    <row r="344" spans="4:35">
      <c r="D344" s="435" t="s">
        <v>79</v>
      </c>
      <c r="E344" s="435" t="s">
        <v>68</v>
      </c>
      <c r="F344" s="435" t="s">
        <v>274</v>
      </c>
      <c r="G344" s="435" t="s">
        <v>86</v>
      </c>
      <c r="H344" s="435" t="s">
        <v>264</v>
      </c>
      <c r="I344" s="435" t="s">
        <v>7</v>
      </c>
      <c r="J344" s="435" t="s">
        <v>299</v>
      </c>
      <c r="K344" s="437" t="s">
        <v>300</v>
      </c>
      <c r="L344" s="437" t="s">
        <v>301</v>
      </c>
      <c r="M344" s="435" t="s">
        <v>835</v>
      </c>
      <c r="N344" s="435" t="s">
        <v>828</v>
      </c>
      <c r="O344" s="435" t="s">
        <v>217</v>
      </c>
      <c r="R344" s="435" t="s">
        <v>347</v>
      </c>
      <c r="S344" s="435" t="s">
        <v>348</v>
      </c>
      <c r="AC344" s="435" t="s">
        <v>3</v>
      </c>
      <c r="AE344" s="438"/>
      <c r="AF344" s="438"/>
      <c r="AG344" s="438"/>
      <c r="AH344" s="438"/>
      <c r="AI344" s="438"/>
    </row>
    <row r="345" spans="4:35">
      <c r="D345" s="435" t="s">
        <v>79</v>
      </c>
      <c r="E345" s="435" t="s">
        <v>68</v>
      </c>
      <c r="F345" s="435" t="s">
        <v>274</v>
      </c>
      <c r="G345" s="435" t="s">
        <v>86</v>
      </c>
      <c r="H345" s="435" t="s">
        <v>264</v>
      </c>
      <c r="I345" s="435" t="s">
        <v>7</v>
      </c>
      <c r="J345" s="435" t="s">
        <v>299</v>
      </c>
      <c r="K345" s="437" t="s">
        <v>300</v>
      </c>
      <c r="L345" s="437" t="s">
        <v>301</v>
      </c>
      <c r="M345" s="435" t="s">
        <v>835</v>
      </c>
      <c r="N345" s="436" t="s">
        <v>2870</v>
      </c>
      <c r="O345" s="435" t="s">
        <v>830</v>
      </c>
      <c r="R345" s="435" t="s">
        <v>349</v>
      </c>
      <c r="S345" s="435" t="s">
        <v>346</v>
      </c>
      <c r="AC345" s="435" t="s">
        <v>3</v>
      </c>
      <c r="AE345" s="438"/>
      <c r="AF345" s="438"/>
      <c r="AG345" s="438"/>
      <c r="AH345" s="438"/>
      <c r="AI345" s="438"/>
    </row>
    <row r="346" spans="4:35">
      <c r="D346" s="435" t="s">
        <v>79</v>
      </c>
      <c r="E346" s="435" t="s">
        <v>68</v>
      </c>
      <c r="F346" s="435" t="s">
        <v>274</v>
      </c>
      <c r="G346" s="435" t="s">
        <v>86</v>
      </c>
      <c r="H346" s="435" t="s">
        <v>264</v>
      </c>
      <c r="I346" s="435" t="s">
        <v>7</v>
      </c>
      <c r="J346" s="435" t="s">
        <v>299</v>
      </c>
      <c r="K346" s="437" t="s">
        <v>300</v>
      </c>
      <c r="L346" s="437" t="s">
        <v>301</v>
      </c>
      <c r="M346" s="435" t="s">
        <v>835</v>
      </c>
      <c r="N346" s="435" t="s">
        <v>828</v>
      </c>
      <c r="O346" s="435" t="s">
        <v>217</v>
      </c>
      <c r="R346" s="435" t="s">
        <v>350</v>
      </c>
      <c r="S346" s="435" t="s">
        <v>351</v>
      </c>
      <c r="AC346" s="435" t="s">
        <v>3</v>
      </c>
      <c r="AE346" s="438"/>
      <c r="AF346" s="438"/>
      <c r="AG346" s="438"/>
      <c r="AH346" s="438"/>
      <c r="AI346" s="438"/>
    </row>
    <row r="347" spans="4:35">
      <c r="D347" s="435" t="s">
        <v>79</v>
      </c>
      <c r="E347" s="435" t="s">
        <v>68</v>
      </c>
      <c r="F347" s="435" t="s">
        <v>274</v>
      </c>
      <c r="G347" s="435" t="s">
        <v>86</v>
      </c>
      <c r="H347" s="435" t="s">
        <v>264</v>
      </c>
      <c r="I347" s="435" t="s">
        <v>7</v>
      </c>
      <c r="J347" s="435" t="s">
        <v>299</v>
      </c>
      <c r="K347" s="437" t="s">
        <v>300</v>
      </c>
      <c r="L347" s="437" t="s">
        <v>302</v>
      </c>
      <c r="M347" s="435" t="s">
        <v>836</v>
      </c>
      <c r="N347" s="435" t="s">
        <v>829</v>
      </c>
      <c r="O347" s="435" t="s">
        <v>214</v>
      </c>
      <c r="R347" s="435" t="s">
        <v>352</v>
      </c>
      <c r="S347" s="435" t="s">
        <v>353</v>
      </c>
      <c r="AC347" s="435" t="s">
        <v>3</v>
      </c>
      <c r="AE347" s="438"/>
      <c r="AF347" s="438"/>
      <c r="AG347" s="438"/>
      <c r="AH347" s="438"/>
      <c r="AI347" s="438"/>
    </row>
    <row r="348" spans="4:35">
      <c r="D348" s="435" t="s">
        <v>79</v>
      </c>
      <c r="E348" s="435" t="s">
        <v>68</v>
      </c>
      <c r="F348" s="435" t="s">
        <v>274</v>
      </c>
      <c r="G348" s="435" t="s">
        <v>86</v>
      </c>
      <c r="H348" s="435" t="s">
        <v>264</v>
      </c>
      <c r="I348" s="435" t="s">
        <v>7</v>
      </c>
      <c r="J348" s="435" t="s">
        <v>299</v>
      </c>
      <c r="K348" s="437" t="s">
        <v>300</v>
      </c>
      <c r="L348" s="437" t="s">
        <v>302</v>
      </c>
      <c r="M348" s="435" t="s">
        <v>836</v>
      </c>
      <c r="N348" s="435" t="s">
        <v>828</v>
      </c>
      <c r="O348" s="435" t="s">
        <v>217</v>
      </c>
      <c r="R348" s="435" t="s">
        <v>354</v>
      </c>
      <c r="S348" s="435" t="s">
        <v>355</v>
      </c>
      <c r="AC348" s="435" t="s">
        <v>3</v>
      </c>
      <c r="AE348" s="438"/>
      <c r="AF348" s="438"/>
      <c r="AG348" s="438"/>
      <c r="AH348" s="438"/>
      <c r="AI348" s="438"/>
    </row>
    <row r="349" spans="4:35">
      <c r="D349" s="435" t="s">
        <v>79</v>
      </c>
      <c r="E349" s="435" t="s">
        <v>68</v>
      </c>
      <c r="F349" s="435" t="s">
        <v>274</v>
      </c>
      <c r="G349" s="435" t="s">
        <v>86</v>
      </c>
      <c r="H349" s="435" t="s">
        <v>264</v>
      </c>
      <c r="I349" s="435" t="s">
        <v>7</v>
      </c>
      <c r="J349" s="435" t="s">
        <v>299</v>
      </c>
      <c r="K349" s="437" t="s">
        <v>300</v>
      </c>
      <c r="L349" s="437" t="s">
        <v>302</v>
      </c>
      <c r="M349" s="435" t="s">
        <v>836</v>
      </c>
      <c r="N349" s="435" t="s">
        <v>828</v>
      </c>
      <c r="O349" s="435" t="s">
        <v>217</v>
      </c>
      <c r="R349" s="435" t="s">
        <v>356</v>
      </c>
      <c r="S349" s="435" t="s">
        <v>357</v>
      </c>
      <c r="AC349" s="435" t="s">
        <v>3</v>
      </c>
      <c r="AE349" s="438"/>
      <c r="AF349" s="438"/>
      <c r="AG349" s="438"/>
      <c r="AH349" s="438"/>
      <c r="AI349" s="438"/>
    </row>
    <row r="350" spans="4:35">
      <c r="D350" s="435" t="s">
        <v>79</v>
      </c>
      <c r="E350" s="435" t="s">
        <v>68</v>
      </c>
      <c r="F350" s="435" t="s">
        <v>274</v>
      </c>
      <c r="G350" s="435" t="s">
        <v>86</v>
      </c>
      <c r="H350" s="435" t="s">
        <v>264</v>
      </c>
      <c r="I350" s="435" t="s">
        <v>7</v>
      </c>
      <c r="J350" s="435" t="s">
        <v>299</v>
      </c>
      <c r="K350" s="437" t="s">
        <v>300</v>
      </c>
      <c r="L350" s="437" t="s">
        <v>302</v>
      </c>
      <c r="M350" s="435" t="s">
        <v>836</v>
      </c>
      <c r="N350" s="435" t="s">
        <v>828</v>
      </c>
      <c r="O350" s="435" t="s">
        <v>217</v>
      </c>
      <c r="R350" s="435" t="s">
        <v>358</v>
      </c>
      <c r="S350" s="435" t="s">
        <v>359</v>
      </c>
      <c r="AC350" s="435" t="s">
        <v>3</v>
      </c>
      <c r="AE350" s="438"/>
      <c r="AF350" s="438"/>
      <c r="AG350" s="438"/>
      <c r="AH350" s="438"/>
      <c r="AI350" s="438"/>
    </row>
    <row r="351" spans="4:35">
      <c r="D351" s="435" t="s">
        <v>79</v>
      </c>
      <c r="E351" s="435" t="s">
        <v>68</v>
      </c>
      <c r="F351" s="435" t="s">
        <v>274</v>
      </c>
      <c r="G351" s="435" t="s">
        <v>86</v>
      </c>
      <c r="H351" s="435" t="s">
        <v>264</v>
      </c>
      <c r="I351" s="435" t="s">
        <v>7</v>
      </c>
      <c r="J351" s="435" t="s">
        <v>299</v>
      </c>
      <c r="K351" s="437" t="s">
        <v>300</v>
      </c>
      <c r="L351" s="437" t="s">
        <v>302</v>
      </c>
      <c r="M351" s="435" t="s">
        <v>836</v>
      </c>
      <c r="N351" s="435" t="s">
        <v>828</v>
      </c>
      <c r="O351" s="435" t="s">
        <v>217</v>
      </c>
      <c r="R351" s="435" t="s">
        <v>360</v>
      </c>
      <c r="S351" s="435" t="s">
        <v>361</v>
      </c>
      <c r="AC351" s="435" t="s">
        <v>3</v>
      </c>
      <c r="AE351" s="438"/>
      <c r="AF351" s="438"/>
      <c r="AG351" s="438"/>
      <c r="AH351" s="438"/>
      <c r="AI351" s="438"/>
    </row>
    <row r="352" spans="4:35">
      <c r="D352" s="435" t="s">
        <v>79</v>
      </c>
      <c r="E352" s="435" t="s">
        <v>68</v>
      </c>
      <c r="F352" s="435" t="s">
        <v>274</v>
      </c>
      <c r="G352" s="435" t="s">
        <v>86</v>
      </c>
      <c r="H352" s="435" t="s">
        <v>264</v>
      </c>
      <c r="I352" s="435" t="s">
        <v>7</v>
      </c>
      <c r="J352" s="435" t="s">
        <v>299</v>
      </c>
      <c r="K352" s="437" t="s">
        <v>300</v>
      </c>
      <c r="L352" s="437" t="s">
        <v>302</v>
      </c>
      <c r="M352" s="435" t="s">
        <v>836</v>
      </c>
      <c r="N352" s="435" t="s">
        <v>828</v>
      </c>
      <c r="O352" s="435" t="s">
        <v>217</v>
      </c>
      <c r="R352" s="435" t="s">
        <v>362</v>
      </c>
      <c r="S352" s="435" t="s">
        <v>353</v>
      </c>
      <c r="AC352" s="435" t="s">
        <v>3</v>
      </c>
      <c r="AE352" s="438"/>
      <c r="AF352" s="438"/>
      <c r="AG352" s="438"/>
      <c r="AH352" s="438"/>
      <c r="AI352" s="438"/>
    </row>
    <row r="353" spans="4:35">
      <c r="D353" s="435" t="s">
        <v>79</v>
      </c>
      <c r="E353" s="435" t="s">
        <v>68</v>
      </c>
      <c r="F353" s="435" t="s">
        <v>274</v>
      </c>
      <c r="G353" s="435" t="s">
        <v>86</v>
      </c>
      <c r="H353" s="435" t="s">
        <v>264</v>
      </c>
      <c r="I353" s="435" t="s">
        <v>7</v>
      </c>
      <c r="J353" s="435" t="s">
        <v>299</v>
      </c>
      <c r="K353" s="437" t="s">
        <v>303</v>
      </c>
      <c r="L353" s="437" t="s">
        <v>304</v>
      </c>
      <c r="M353" s="435" t="s">
        <v>837</v>
      </c>
      <c r="N353" s="436" t="s">
        <v>2870</v>
      </c>
      <c r="O353" s="435" t="s">
        <v>830</v>
      </c>
      <c r="R353" s="435" t="s">
        <v>363</v>
      </c>
      <c r="S353" s="435" t="s">
        <v>351</v>
      </c>
      <c r="AC353" s="435" t="s">
        <v>3</v>
      </c>
      <c r="AE353" s="438"/>
      <c r="AF353" s="438"/>
      <c r="AG353" s="438"/>
      <c r="AH353" s="438"/>
      <c r="AI353" s="438"/>
    </row>
    <row r="354" spans="4:35">
      <c r="D354" s="435" t="s">
        <v>79</v>
      </c>
      <c r="E354" s="435" t="s">
        <v>68</v>
      </c>
      <c r="F354" s="435" t="s">
        <v>274</v>
      </c>
      <c r="G354" s="435" t="s">
        <v>86</v>
      </c>
      <c r="H354" s="435" t="s">
        <v>264</v>
      </c>
      <c r="I354" s="435" t="s">
        <v>7</v>
      </c>
      <c r="J354" s="435" t="s">
        <v>299</v>
      </c>
      <c r="K354" s="437" t="s">
        <v>303</v>
      </c>
      <c r="L354" s="437" t="s">
        <v>304</v>
      </c>
      <c r="M354" s="435" t="s">
        <v>837</v>
      </c>
      <c r="N354" s="436" t="s">
        <v>2870</v>
      </c>
      <c r="O354" s="435" t="s">
        <v>830</v>
      </c>
      <c r="R354" s="435" t="s">
        <v>364</v>
      </c>
      <c r="S354" s="435" t="s">
        <v>365</v>
      </c>
      <c r="AC354" s="435" t="s">
        <v>3</v>
      </c>
      <c r="AE354" s="438"/>
      <c r="AF354" s="438"/>
      <c r="AG354" s="438"/>
      <c r="AH354" s="438"/>
      <c r="AI354" s="438"/>
    </row>
    <row r="355" spans="4:35">
      <c r="D355" s="435" t="s">
        <v>79</v>
      </c>
      <c r="E355" s="435" t="s">
        <v>68</v>
      </c>
      <c r="F355" s="435" t="s">
        <v>274</v>
      </c>
      <c r="G355" s="435" t="s">
        <v>86</v>
      </c>
      <c r="H355" s="435" t="s">
        <v>264</v>
      </c>
      <c r="I355" s="435" t="s">
        <v>7</v>
      </c>
      <c r="J355" s="435" t="s">
        <v>299</v>
      </c>
      <c r="K355" s="437" t="s">
        <v>303</v>
      </c>
      <c r="L355" s="437" t="s">
        <v>304</v>
      </c>
      <c r="M355" s="435" t="s">
        <v>837</v>
      </c>
      <c r="N355" s="436" t="s">
        <v>2870</v>
      </c>
      <c r="O355" s="435" t="s">
        <v>830</v>
      </c>
      <c r="R355" s="435" t="s">
        <v>366</v>
      </c>
      <c r="S355" s="435" t="s">
        <v>367</v>
      </c>
      <c r="AC355" s="435" t="s">
        <v>3</v>
      </c>
      <c r="AE355" s="438"/>
      <c r="AF355" s="438"/>
      <c r="AG355" s="438"/>
      <c r="AH355" s="438"/>
      <c r="AI355" s="438"/>
    </row>
    <row r="356" spans="4:35">
      <c r="D356" s="435" t="s">
        <v>79</v>
      </c>
      <c r="E356" s="435" t="s">
        <v>68</v>
      </c>
      <c r="F356" s="435" t="s">
        <v>274</v>
      </c>
      <c r="G356" s="435" t="s">
        <v>86</v>
      </c>
      <c r="H356" s="435" t="s">
        <v>264</v>
      </c>
      <c r="I356" s="435" t="s">
        <v>7</v>
      </c>
      <c r="J356" s="435" t="s">
        <v>299</v>
      </c>
      <c r="K356" s="437" t="s">
        <v>303</v>
      </c>
      <c r="L356" s="437" t="s">
        <v>304</v>
      </c>
      <c r="M356" s="435" t="s">
        <v>837</v>
      </c>
      <c r="N356" s="436" t="s">
        <v>2870</v>
      </c>
      <c r="O356" s="435" t="s">
        <v>830</v>
      </c>
      <c r="R356" s="435" t="s">
        <v>368</v>
      </c>
      <c r="S356" s="435" t="s">
        <v>365</v>
      </c>
      <c r="AC356" s="435" t="s">
        <v>3</v>
      </c>
      <c r="AE356" s="438"/>
      <c r="AF356" s="438"/>
      <c r="AG356" s="438"/>
      <c r="AH356" s="438"/>
      <c r="AI356" s="438"/>
    </row>
    <row r="357" spans="4:35">
      <c r="D357" s="435" t="s">
        <v>79</v>
      </c>
      <c r="E357" s="435" t="s">
        <v>68</v>
      </c>
      <c r="F357" s="435" t="s">
        <v>274</v>
      </c>
      <c r="G357" s="435" t="s">
        <v>86</v>
      </c>
      <c r="H357" s="435" t="s">
        <v>264</v>
      </c>
      <c r="I357" s="435" t="s">
        <v>7</v>
      </c>
      <c r="J357" s="435" t="s">
        <v>299</v>
      </c>
      <c r="K357" s="437" t="s">
        <v>303</v>
      </c>
      <c r="L357" s="437" t="s">
        <v>304</v>
      </c>
      <c r="M357" s="435" t="s">
        <v>837</v>
      </c>
      <c r="N357" s="436" t="s">
        <v>2870</v>
      </c>
      <c r="O357" s="435" t="s">
        <v>830</v>
      </c>
      <c r="R357" s="435" t="s">
        <v>369</v>
      </c>
      <c r="S357" s="435" t="s">
        <v>351</v>
      </c>
      <c r="AC357" s="435" t="s">
        <v>3</v>
      </c>
      <c r="AE357" s="438"/>
      <c r="AF357" s="438"/>
      <c r="AG357" s="438"/>
      <c r="AH357" s="438"/>
      <c r="AI357" s="438"/>
    </row>
    <row r="358" spans="4:35">
      <c r="D358" s="435" t="s">
        <v>79</v>
      </c>
      <c r="E358" s="435" t="s">
        <v>68</v>
      </c>
      <c r="F358" s="435" t="s">
        <v>274</v>
      </c>
      <c r="G358" s="435" t="s">
        <v>86</v>
      </c>
      <c r="H358" s="435" t="s">
        <v>264</v>
      </c>
      <c r="I358" s="435" t="s">
        <v>7</v>
      </c>
      <c r="J358" s="435" t="s">
        <v>299</v>
      </c>
      <c r="K358" s="437" t="s">
        <v>303</v>
      </c>
      <c r="L358" s="437" t="s">
        <v>304</v>
      </c>
      <c r="M358" s="435" t="s">
        <v>837</v>
      </c>
      <c r="N358" s="436" t="s">
        <v>2870</v>
      </c>
      <c r="O358" s="435" t="s">
        <v>830</v>
      </c>
      <c r="R358" s="435" t="s">
        <v>370</v>
      </c>
      <c r="S358" s="435" t="s">
        <v>371</v>
      </c>
      <c r="AC358" s="435" t="s">
        <v>3</v>
      </c>
      <c r="AE358" s="438"/>
      <c r="AF358" s="438"/>
      <c r="AG358" s="438"/>
      <c r="AH358" s="438"/>
      <c r="AI358" s="438"/>
    </row>
    <row r="359" spans="4:35">
      <c r="D359" s="435" t="s">
        <v>79</v>
      </c>
      <c r="E359" s="435" t="s">
        <v>68</v>
      </c>
      <c r="F359" s="435" t="s">
        <v>274</v>
      </c>
      <c r="G359" s="435" t="s">
        <v>86</v>
      </c>
      <c r="H359" s="435" t="s">
        <v>264</v>
      </c>
      <c r="I359" s="435" t="s">
        <v>7</v>
      </c>
      <c r="J359" s="435" t="s">
        <v>299</v>
      </c>
      <c r="K359" s="437" t="s">
        <v>303</v>
      </c>
      <c r="L359" s="437" t="s">
        <v>304</v>
      </c>
      <c r="M359" s="435" t="s">
        <v>837</v>
      </c>
      <c r="N359" s="436" t="s">
        <v>2870</v>
      </c>
      <c r="O359" s="435" t="s">
        <v>830</v>
      </c>
      <c r="R359" s="435" t="s">
        <v>372</v>
      </c>
      <c r="S359" s="435" t="s">
        <v>373</v>
      </c>
      <c r="AC359" s="435" t="s">
        <v>3</v>
      </c>
      <c r="AE359" s="438"/>
      <c r="AF359" s="438"/>
      <c r="AG359" s="438"/>
      <c r="AH359" s="438"/>
      <c r="AI359" s="438"/>
    </row>
    <row r="360" spans="4:35">
      <c r="D360" s="435" t="s">
        <v>79</v>
      </c>
      <c r="E360" s="435" t="s">
        <v>68</v>
      </c>
      <c r="F360" s="435" t="s">
        <v>274</v>
      </c>
      <c r="G360" s="435" t="s">
        <v>86</v>
      </c>
      <c r="H360" s="435" t="s">
        <v>264</v>
      </c>
      <c r="I360" s="435" t="s">
        <v>7</v>
      </c>
      <c r="J360" s="435" t="s">
        <v>299</v>
      </c>
      <c r="K360" s="437" t="s">
        <v>303</v>
      </c>
      <c r="L360" s="437" t="s">
        <v>304</v>
      </c>
      <c r="M360" s="435" t="s">
        <v>838</v>
      </c>
      <c r="N360" s="436" t="s">
        <v>2870</v>
      </c>
      <c r="O360" s="435" t="s">
        <v>830</v>
      </c>
      <c r="R360" s="435" t="s">
        <v>374</v>
      </c>
      <c r="S360" s="435" t="s">
        <v>351</v>
      </c>
      <c r="AC360" s="435" t="s">
        <v>3</v>
      </c>
      <c r="AE360" s="438"/>
      <c r="AF360" s="438"/>
      <c r="AG360" s="438"/>
      <c r="AH360" s="438"/>
      <c r="AI360" s="438"/>
    </row>
    <row r="361" spans="4:35">
      <c r="D361" s="435" t="s">
        <v>79</v>
      </c>
      <c r="E361" s="435" t="s">
        <v>68</v>
      </c>
      <c r="F361" s="435" t="s">
        <v>274</v>
      </c>
      <c r="G361" s="435" t="s">
        <v>86</v>
      </c>
      <c r="H361" s="435" t="s">
        <v>264</v>
      </c>
      <c r="I361" s="435" t="s">
        <v>7</v>
      </c>
      <c r="J361" s="435" t="s">
        <v>299</v>
      </c>
      <c r="K361" s="437" t="s">
        <v>303</v>
      </c>
      <c r="L361" s="437" t="s">
        <v>304</v>
      </c>
      <c r="M361" s="435" t="s">
        <v>838</v>
      </c>
      <c r="N361" s="436" t="s">
        <v>2870</v>
      </c>
      <c r="O361" s="435" t="s">
        <v>830</v>
      </c>
      <c r="R361" s="435" t="s">
        <v>375</v>
      </c>
      <c r="S361" s="435" t="s">
        <v>365</v>
      </c>
      <c r="AC361" s="435" t="s">
        <v>3</v>
      </c>
      <c r="AE361" s="438"/>
      <c r="AF361" s="438"/>
      <c r="AG361" s="438"/>
      <c r="AH361" s="438"/>
      <c r="AI361" s="438"/>
    </row>
    <row r="362" spans="4:35">
      <c r="D362" s="435" t="s">
        <v>79</v>
      </c>
      <c r="E362" s="435" t="s">
        <v>68</v>
      </c>
      <c r="F362" s="435" t="s">
        <v>274</v>
      </c>
      <c r="G362" s="435" t="s">
        <v>86</v>
      </c>
      <c r="H362" s="435" t="s">
        <v>264</v>
      </c>
      <c r="I362" s="435" t="s">
        <v>7</v>
      </c>
      <c r="J362" s="435" t="s">
        <v>299</v>
      </c>
      <c r="K362" s="437" t="s">
        <v>303</v>
      </c>
      <c r="L362" s="437" t="s">
        <v>304</v>
      </c>
      <c r="M362" s="435" t="s">
        <v>838</v>
      </c>
      <c r="N362" s="435" t="s">
        <v>828</v>
      </c>
      <c r="O362" s="435" t="s">
        <v>217</v>
      </c>
      <c r="R362" s="435" t="s">
        <v>376</v>
      </c>
      <c r="S362" s="435" t="s">
        <v>367</v>
      </c>
      <c r="AC362" s="435" t="s">
        <v>3</v>
      </c>
      <c r="AE362" s="438"/>
      <c r="AF362" s="438"/>
      <c r="AG362" s="438"/>
      <c r="AH362" s="438"/>
      <c r="AI362" s="438"/>
    </row>
    <row r="363" spans="4:35">
      <c r="D363" s="435" t="s">
        <v>79</v>
      </c>
      <c r="E363" s="435" t="s">
        <v>68</v>
      </c>
      <c r="F363" s="435" t="s">
        <v>274</v>
      </c>
      <c r="G363" s="435" t="s">
        <v>86</v>
      </c>
      <c r="H363" s="435" t="s">
        <v>264</v>
      </c>
      <c r="I363" s="435" t="s">
        <v>7</v>
      </c>
      <c r="J363" s="435" t="s">
        <v>299</v>
      </c>
      <c r="K363" s="437" t="s">
        <v>303</v>
      </c>
      <c r="L363" s="437" t="s">
        <v>304</v>
      </c>
      <c r="M363" s="435" t="s">
        <v>838</v>
      </c>
      <c r="N363" s="435" t="s">
        <v>828</v>
      </c>
      <c r="O363" s="435" t="s">
        <v>217</v>
      </c>
      <c r="R363" s="435" t="s">
        <v>377</v>
      </c>
      <c r="S363" s="435" t="s">
        <v>378</v>
      </c>
      <c r="AC363" s="435" t="s">
        <v>3</v>
      </c>
      <c r="AE363" s="438"/>
      <c r="AF363" s="438"/>
      <c r="AG363" s="438"/>
      <c r="AH363" s="438"/>
      <c r="AI363" s="438"/>
    </row>
    <row r="364" spans="4:35">
      <c r="D364" s="435" t="s">
        <v>79</v>
      </c>
      <c r="E364" s="435" t="s">
        <v>68</v>
      </c>
      <c r="F364" s="435" t="s">
        <v>274</v>
      </c>
      <c r="G364" s="435" t="s">
        <v>86</v>
      </c>
      <c r="H364" s="435" t="s">
        <v>264</v>
      </c>
      <c r="I364" s="435" t="s">
        <v>7</v>
      </c>
      <c r="J364" s="435" t="s">
        <v>299</v>
      </c>
      <c r="K364" s="437" t="s">
        <v>303</v>
      </c>
      <c r="L364" s="437" t="s">
        <v>304</v>
      </c>
      <c r="M364" s="435" t="s">
        <v>838</v>
      </c>
      <c r="N364" s="435" t="s">
        <v>828</v>
      </c>
      <c r="O364" s="435" t="s">
        <v>217</v>
      </c>
      <c r="R364" s="435" t="s">
        <v>379</v>
      </c>
      <c r="S364" s="435" t="s">
        <v>380</v>
      </c>
      <c r="AC364" s="435" t="s">
        <v>3</v>
      </c>
      <c r="AE364" s="438"/>
      <c r="AF364" s="438"/>
      <c r="AG364" s="438"/>
      <c r="AH364" s="438"/>
      <c r="AI364" s="438"/>
    </row>
    <row r="365" spans="4:35">
      <c r="D365" s="435" t="s">
        <v>79</v>
      </c>
      <c r="E365" s="435" t="s">
        <v>68</v>
      </c>
      <c r="F365" s="435" t="s">
        <v>274</v>
      </c>
      <c r="G365" s="435" t="s">
        <v>86</v>
      </c>
      <c r="H365" s="435" t="s">
        <v>264</v>
      </c>
      <c r="I365" s="435" t="s">
        <v>7</v>
      </c>
      <c r="J365" s="435" t="s">
        <v>299</v>
      </c>
      <c r="K365" s="437" t="s">
        <v>303</v>
      </c>
      <c r="L365" s="437" t="s">
        <v>304</v>
      </c>
      <c r="M365" s="435" t="s">
        <v>838</v>
      </c>
      <c r="N365" s="435" t="s">
        <v>828</v>
      </c>
      <c r="O365" s="435" t="s">
        <v>217</v>
      </c>
      <c r="R365" s="435" t="s">
        <v>381</v>
      </c>
      <c r="S365" s="435" t="s">
        <v>382</v>
      </c>
      <c r="AC365" s="435" t="s">
        <v>3</v>
      </c>
      <c r="AE365" s="438"/>
      <c r="AF365" s="438"/>
      <c r="AG365" s="438"/>
      <c r="AH365" s="438"/>
      <c r="AI365" s="438"/>
    </row>
    <row r="366" spans="4:35">
      <c r="D366" s="435" t="s">
        <v>79</v>
      </c>
      <c r="E366" s="435" t="s">
        <v>68</v>
      </c>
      <c r="F366" s="435" t="s">
        <v>274</v>
      </c>
      <c r="G366" s="435" t="s">
        <v>86</v>
      </c>
      <c r="H366" s="435" t="s">
        <v>264</v>
      </c>
      <c r="I366" s="435" t="s">
        <v>7</v>
      </c>
      <c r="J366" s="435" t="s">
        <v>299</v>
      </c>
      <c r="K366" s="437" t="s">
        <v>303</v>
      </c>
      <c r="L366" s="437" t="s">
        <v>304</v>
      </c>
      <c r="M366" s="435" t="s">
        <v>838</v>
      </c>
      <c r="N366" s="435" t="s">
        <v>828</v>
      </c>
      <c r="O366" s="435" t="s">
        <v>217</v>
      </c>
      <c r="R366" s="435" t="s">
        <v>383</v>
      </c>
      <c r="S366" s="435" t="s">
        <v>384</v>
      </c>
      <c r="AC366" s="435" t="s">
        <v>3</v>
      </c>
      <c r="AE366" s="438"/>
      <c r="AF366" s="438"/>
      <c r="AG366" s="438"/>
      <c r="AH366" s="438"/>
      <c r="AI366" s="438"/>
    </row>
    <row r="367" spans="4:35">
      <c r="D367" s="435" t="s">
        <v>79</v>
      </c>
      <c r="E367" s="435" t="s">
        <v>68</v>
      </c>
      <c r="F367" s="435" t="s">
        <v>274</v>
      </c>
      <c r="G367" s="435" t="s">
        <v>86</v>
      </c>
      <c r="H367" s="435" t="s">
        <v>264</v>
      </c>
      <c r="I367" s="435" t="s">
        <v>7</v>
      </c>
      <c r="J367" s="435" t="s">
        <v>299</v>
      </c>
      <c r="K367" s="437" t="s">
        <v>303</v>
      </c>
      <c r="L367" s="437" t="s">
        <v>304</v>
      </c>
      <c r="M367" s="435" t="s">
        <v>838</v>
      </c>
      <c r="N367" s="435" t="s">
        <v>828</v>
      </c>
      <c r="O367" s="435" t="s">
        <v>217</v>
      </c>
      <c r="R367" s="435" t="s">
        <v>385</v>
      </c>
      <c r="S367" s="435" t="s">
        <v>386</v>
      </c>
      <c r="AC367" s="435" t="s">
        <v>3</v>
      </c>
      <c r="AE367" s="438"/>
      <c r="AF367" s="438"/>
      <c r="AG367" s="438"/>
      <c r="AH367" s="438"/>
      <c r="AI367" s="438"/>
    </row>
    <row r="368" spans="4:35">
      <c r="D368" s="435" t="s">
        <v>79</v>
      </c>
      <c r="E368" s="435" t="s">
        <v>68</v>
      </c>
      <c r="F368" s="435" t="s">
        <v>274</v>
      </c>
      <c r="G368" s="435" t="s">
        <v>86</v>
      </c>
      <c r="H368" s="435" t="s">
        <v>264</v>
      </c>
      <c r="I368" s="435" t="s">
        <v>7</v>
      </c>
      <c r="J368" s="435" t="s">
        <v>299</v>
      </c>
      <c r="K368" s="437" t="s">
        <v>303</v>
      </c>
      <c r="L368" s="437" t="s">
        <v>304</v>
      </c>
      <c r="M368" s="435" t="s">
        <v>838</v>
      </c>
      <c r="N368" s="436" t="s">
        <v>2870</v>
      </c>
      <c r="O368" s="435" t="s">
        <v>830</v>
      </c>
      <c r="R368" s="435" t="s">
        <v>387</v>
      </c>
      <c r="S368" s="435" t="s">
        <v>365</v>
      </c>
      <c r="AC368" s="435" t="s">
        <v>3</v>
      </c>
      <c r="AE368" s="438"/>
      <c r="AF368" s="438"/>
      <c r="AG368" s="438"/>
      <c r="AH368" s="438"/>
      <c r="AI368" s="438"/>
    </row>
    <row r="369" spans="4:35">
      <c r="D369" s="435" t="s">
        <v>79</v>
      </c>
      <c r="E369" s="435" t="s">
        <v>68</v>
      </c>
      <c r="F369" s="435" t="s">
        <v>274</v>
      </c>
      <c r="G369" s="435" t="s">
        <v>86</v>
      </c>
      <c r="H369" s="435" t="s">
        <v>264</v>
      </c>
      <c r="I369" s="435" t="s">
        <v>7</v>
      </c>
      <c r="J369" s="435" t="s">
        <v>299</v>
      </c>
      <c r="K369" s="437" t="s">
        <v>303</v>
      </c>
      <c r="L369" s="437" t="s">
        <v>304</v>
      </c>
      <c r="M369" s="435" t="s">
        <v>838</v>
      </c>
      <c r="N369" s="436" t="s">
        <v>2870</v>
      </c>
      <c r="O369" s="435" t="s">
        <v>830</v>
      </c>
      <c r="R369" s="435" t="s">
        <v>388</v>
      </c>
      <c r="S369" s="435" t="s">
        <v>351</v>
      </c>
      <c r="AC369" s="435" t="s">
        <v>3</v>
      </c>
      <c r="AE369" s="438"/>
      <c r="AF369" s="438"/>
      <c r="AG369" s="438"/>
      <c r="AH369" s="438"/>
      <c r="AI369" s="438"/>
    </row>
    <row r="370" spans="4:35">
      <c r="D370" s="435" t="s">
        <v>79</v>
      </c>
      <c r="E370" s="435" t="s">
        <v>68</v>
      </c>
      <c r="F370" s="435" t="s">
        <v>274</v>
      </c>
      <c r="G370" s="435" t="s">
        <v>86</v>
      </c>
      <c r="H370" s="435" t="s">
        <v>264</v>
      </c>
      <c r="I370" s="435" t="s">
        <v>7</v>
      </c>
      <c r="J370" s="435" t="s">
        <v>299</v>
      </c>
      <c r="K370" s="437" t="s">
        <v>303</v>
      </c>
      <c r="L370" s="437" t="s">
        <v>304</v>
      </c>
      <c r="M370" s="435" t="s">
        <v>838</v>
      </c>
      <c r="N370" s="435" t="s">
        <v>828</v>
      </c>
      <c r="O370" s="435" t="s">
        <v>217</v>
      </c>
      <c r="R370" s="435" t="s">
        <v>389</v>
      </c>
      <c r="S370" s="435" t="s">
        <v>390</v>
      </c>
      <c r="AC370" s="435" t="s">
        <v>3</v>
      </c>
      <c r="AE370" s="438"/>
      <c r="AF370" s="438"/>
      <c r="AG370" s="438"/>
      <c r="AH370" s="438"/>
      <c r="AI370" s="438"/>
    </row>
    <row r="371" spans="4:35">
      <c r="D371" s="435" t="s">
        <v>79</v>
      </c>
      <c r="E371" s="435" t="s">
        <v>68</v>
      </c>
      <c r="F371" s="435" t="s">
        <v>274</v>
      </c>
      <c r="G371" s="435" t="s">
        <v>86</v>
      </c>
      <c r="H371" s="435" t="s">
        <v>264</v>
      </c>
      <c r="I371" s="435" t="s">
        <v>7</v>
      </c>
      <c r="J371" s="435" t="s">
        <v>299</v>
      </c>
      <c r="K371" s="437" t="s">
        <v>303</v>
      </c>
      <c r="L371" s="437" t="s">
        <v>304</v>
      </c>
      <c r="M371" s="435" t="s">
        <v>838</v>
      </c>
      <c r="N371" s="435" t="s">
        <v>828</v>
      </c>
      <c r="O371" s="435" t="s">
        <v>217</v>
      </c>
      <c r="R371" s="435" t="s">
        <v>391</v>
      </c>
      <c r="S371" s="435" t="s">
        <v>392</v>
      </c>
      <c r="AC371" s="435" t="s">
        <v>3</v>
      </c>
      <c r="AE371" s="438"/>
      <c r="AF371" s="438"/>
      <c r="AG371" s="438"/>
      <c r="AH371" s="438"/>
      <c r="AI371" s="438"/>
    </row>
    <row r="372" spans="4:35">
      <c r="D372" s="435" t="s">
        <v>79</v>
      </c>
      <c r="E372" s="435" t="s">
        <v>68</v>
      </c>
      <c r="F372" s="435" t="s">
        <v>274</v>
      </c>
      <c r="G372" s="435" t="s">
        <v>86</v>
      </c>
      <c r="H372" s="435" t="s">
        <v>264</v>
      </c>
      <c r="I372" s="435" t="s">
        <v>7</v>
      </c>
      <c r="J372" s="435" t="s">
        <v>299</v>
      </c>
      <c r="K372" s="437" t="s">
        <v>303</v>
      </c>
      <c r="L372" s="437" t="s">
        <v>304</v>
      </c>
      <c r="M372" s="435" t="s">
        <v>838</v>
      </c>
      <c r="N372" s="436" t="s">
        <v>2870</v>
      </c>
      <c r="O372" s="435" t="s">
        <v>830</v>
      </c>
      <c r="R372" s="435" t="s">
        <v>393</v>
      </c>
      <c r="S372" s="435" t="s">
        <v>394</v>
      </c>
      <c r="AC372" s="435" t="s">
        <v>3</v>
      </c>
      <c r="AE372" s="438"/>
      <c r="AF372" s="438"/>
      <c r="AG372" s="438"/>
      <c r="AH372" s="438"/>
      <c r="AI372" s="438"/>
    </row>
    <row r="373" spans="4:35">
      <c r="D373" s="435" t="s">
        <v>79</v>
      </c>
      <c r="E373" s="435" t="s">
        <v>68</v>
      </c>
      <c r="F373" s="435" t="s">
        <v>274</v>
      </c>
      <c r="G373" s="435" t="s">
        <v>86</v>
      </c>
      <c r="H373" s="435" t="s">
        <v>264</v>
      </c>
      <c r="I373" s="435" t="s">
        <v>7</v>
      </c>
      <c r="J373" s="435" t="s">
        <v>299</v>
      </c>
      <c r="K373" s="437" t="s">
        <v>303</v>
      </c>
      <c r="L373" s="437" t="s">
        <v>304</v>
      </c>
      <c r="M373" s="435" t="s">
        <v>838</v>
      </c>
      <c r="N373" s="436" t="s">
        <v>2870</v>
      </c>
      <c r="O373" s="435" t="s">
        <v>830</v>
      </c>
      <c r="R373" s="435" t="s">
        <v>395</v>
      </c>
      <c r="S373" s="435" t="s">
        <v>396</v>
      </c>
      <c r="AC373" s="435" t="s">
        <v>3</v>
      </c>
      <c r="AE373" s="438"/>
      <c r="AF373" s="438"/>
      <c r="AG373" s="438"/>
      <c r="AH373" s="438"/>
      <c r="AI373" s="438"/>
    </row>
    <row r="374" spans="4:35">
      <c r="D374" s="435" t="s">
        <v>79</v>
      </c>
      <c r="E374" s="435" t="s">
        <v>68</v>
      </c>
      <c r="F374" s="435" t="s">
        <v>274</v>
      </c>
      <c r="G374" s="435" t="s">
        <v>86</v>
      </c>
      <c r="H374" s="435" t="s">
        <v>264</v>
      </c>
      <c r="I374" s="435" t="s">
        <v>7</v>
      </c>
      <c r="J374" s="435" t="s">
        <v>299</v>
      </c>
      <c r="K374" s="437" t="s">
        <v>303</v>
      </c>
      <c r="L374" s="437" t="s">
        <v>305</v>
      </c>
      <c r="M374" s="435" t="s">
        <v>839</v>
      </c>
      <c r="N374" s="436" t="s">
        <v>2870</v>
      </c>
      <c r="O374" s="435" t="s">
        <v>830</v>
      </c>
      <c r="R374" s="435" t="s">
        <v>397</v>
      </c>
      <c r="S374" s="435" t="s">
        <v>351</v>
      </c>
      <c r="AC374" s="435" t="s">
        <v>3</v>
      </c>
      <c r="AE374" s="438"/>
      <c r="AF374" s="438"/>
      <c r="AG374" s="438"/>
      <c r="AH374" s="438"/>
      <c r="AI374" s="438"/>
    </row>
    <row r="375" spans="4:35">
      <c r="D375" s="435" t="s">
        <v>79</v>
      </c>
      <c r="E375" s="435" t="s">
        <v>68</v>
      </c>
      <c r="F375" s="435" t="s">
        <v>274</v>
      </c>
      <c r="G375" s="435" t="s">
        <v>86</v>
      </c>
      <c r="H375" s="435" t="s">
        <v>264</v>
      </c>
      <c r="I375" s="435" t="s">
        <v>7</v>
      </c>
      <c r="J375" s="435" t="s">
        <v>299</v>
      </c>
      <c r="K375" s="437" t="s">
        <v>303</v>
      </c>
      <c r="L375" s="437" t="s">
        <v>305</v>
      </c>
      <c r="M375" s="435" t="s">
        <v>839</v>
      </c>
      <c r="N375" s="436" t="s">
        <v>2870</v>
      </c>
      <c r="O375" s="435" t="s">
        <v>830</v>
      </c>
      <c r="R375" s="435" t="s">
        <v>398</v>
      </c>
      <c r="S375" s="435" t="s">
        <v>365</v>
      </c>
      <c r="AC375" s="435" t="s">
        <v>3</v>
      </c>
      <c r="AE375" s="438"/>
      <c r="AF375" s="438"/>
      <c r="AG375" s="438"/>
      <c r="AH375" s="438"/>
      <c r="AI375" s="438"/>
    </row>
    <row r="376" spans="4:35">
      <c r="D376" s="435" t="s">
        <v>79</v>
      </c>
      <c r="E376" s="435" t="s">
        <v>68</v>
      </c>
      <c r="F376" s="435" t="s">
        <v>274</v>
      </c>
      <c r="G376" s="435" t="s">
        <v>86</v>
      </c>
      <c r="H376" s="435" t="s">
        <v>264</v>
      </c>
      <c r="I376" s="435" t="s">
        <v>7</v>
      </c>
      <c r="J376" s="435" t="s">
        <v>299</v>
      </c>
      <c r="K376" s="437" t="s">
        <v>303</v>
      </c>
      <c r="L376" s="437" t="s">
        <v>305</v>
      </c>
      <c r="M376" s="435" t="s">
        <v>839</v>
      </c>
      <c r="N376" s="436" t="s">
        <v>2870</v>
      </c>
      <c r="O376" s="435" t="s">
        <v>830</v>
      </c>
      <c r="R376" s="435" t="s">
        <v>399</v>
      </c>
      <c r="S376" s="435" t="s">
        <v>367</v>
      </c>
      <c r="AC376" s="435" t="s">
        <v>3</v>
      </c>
      <c r="AE376" s="438"/>
      <c r="AF376" s="438"/>
      <c r="AG376" s="438"/>
      <c r="AH376" s="438"/>
      <c r="AI376" s="438"/>
    </row>
    <row r="377" spans="4:35">
      <c r="D377" s="435" t="s">
        <v>79</v>
      </c>
      <c r="E377" s="435" t="s">
        <v>68</v>
      </c>
      <c r="F377" s="435" t="s">
        <v>274</v>
      </c>
      <c r="G377" s="435" t="s">
        <v>86</v>
      </c>
      <c r="H377" s="435" t="s">
        <v>264</v>
      </c>
      <c r="I377" s="435" t="s">
        <v>7</v>
      </c>
      <c r="J377" s="435" t="s">
        <v>299</v>
      </c>
      <c r="K377" s="437" t="s">
        <v>303</v>
      </c>
      <c r="L377" s="437" t="s">
        <v>305</v>
      </c>
      <c r="M377" s="435" t="s">
        <v>839</v>
      </c>
      <c r="N377" s="436" t="s">
        <v>2870</v>
      </c>
      <c r="O377" s="435" t="s">
        <v>830</v>
      </c>
      <c r="R377" s="435" t="s">
        <v>400</v>
      </c>
      <c r="S377" s="435" t="s">
        <v>365</v>
      </c>
      <c r="AC377" s="435" t="s">
        <v>3</v>
      </c>
      <c r="AE377" s="438"/>
      <c r="AF377" s="438"/>
      <c r="AG377" s="438"/>
      <c r="AH377" s="438"/>
      <c r="AI377" s="438"/>
    </row>
    <row r="378" spans="4:35">
      <c r="D378" s="435" t="s">
        <v>79</v>
      </c>
      <c r="E378" s="435" t="s">
        <v>68</v>
      </c>
      <c r="F378" s="435" t="s">
        <v>274</v>
      </c>
      <c r="G378" s="435" t="s">
        <v>86</v>
      </c>
      <c r="H378" s="435" t="s">
        <v>264</v>
      </c>
      <c r="I378" s="435" t="s">
        <v>7</v>
      </c>
      <c r="J378" s="435" t="s">
        <v>299</v>
      </c>
      <c r="K378" s="437" t="s">
        <v>303</v>
      </c>
      <c r="L378" s="437" t="s">
        <v>305</v>
      </c>
      <c r="M378" s="435" t="s">
        <v>839</v>
      </c>
      <c r="N378" s="436" t="s">
        <v>2870</v>
      </c>
      <c r="O378" s="435" t="s">
        <v>830</v>
      </c>
      <c r="R378" s="435" t="s">
        <v>401</v>
      </c>
      <c r="S378" s="435" t="s">
        <v>351</v>
      </c>
      <c r="AC378" s="435" t="s">
        <v>3</v>
      </c>
      <c r="AE378" s="438"/>
      <c r="AF378" s="438"/>
      <c r="AG378" s="438"/>
      <c r="AH378" s="438"/>
      <c r="AI378" s="438"/>
    </row>
    <row r="379" spans="4:35">
      <c r="D379" s="435" t="s">
        <v>79</v>
      </c>
      <c r="E379" s="435" t="s">
        <v>68</v>
      </c>
      <c r="F379" s="435" t="s">
        <v>274</v>
      </c>
      <c r="G379" s="435" t="s">
        <v>86</v>
      </c>
      <c r="H379" s="435" t="s">
        <v>264</v>
      </c>
      <c r="I379" s="435" t="s">
        <v>7</v>
      </c>
      <c r="J379" s="435" t="s">
        <v>299</v>
      </c>
      <c r="K379" s="437" t="s">
        <v>303</v>
      </c>
      <c r="L379" s="437" t="s">
        <v>305</v>
      </c>
      <c r="M379" s="435" t="s">
        <v>839</v>
      </c>
      <c r="N379" s="436" t="s">
        <v>2870</v>
      </c>
      <c r="O379" s="435" t="s">
        <v>830</v>
      </c>
      <c r="R379" s="435" t="s">
        <v>402</v>
      </c>
      <c r="S379" s="435" t="s">
        <v>403</v>
      </c>
      <c r="AC379" s="435" t="s">
        <v>3</v>
      </c>
      <c r="AE379" s="438"/>
      <c r="AF379" s="438"/>
      <c r="AG379" s="438"/>
      <c r="AH379" s="438"/>
      <c r="AI379" s="438"/>
    </row>
    <row r="380" spans="4:35">
      <c r="D380" s="435" t="s">
        <v>79</v>
      </c>
      <c r="E380" s="435" t="s">
        <v>68</v>
      </c>
      <c r="F380" s="435" t="s">
        <v>274</v>
      </c>
      <c r="G380" s="435" t="s">
        <v>86</v>
      </c>
      <c r="H380" s="435" t="s">
        <v>264</v>
      </c>
      <c r="I380" s="435" t="s">
        <v>7</v>
      </c>
      <c r="J380" s="435" t="s">
        <v>299</v>
      </c>
      <c r="K380" s="437" t="s">
        <v>303</v>
      </c>
      <c r="L380" s="437" t="s">
        <v>305</v>
      </c>
      <c r="M380" s="435" t="s">
        <v>839</v>
      </c>
      <c r="N380" s="435" t="s">
        <v>828</v>
      </c>
      <c r="O380" s="435" t="s">
        <v>217</v>
      </c>
      <c r="R380" s="435" t="s">
        <v>404</v>
      </c>
      <c r="S380" s="435" t="s">
        <v>405</v>
      </c>
      <c r="AC380" s="435" t="s">
        <v>3</v>
      </c>
      <c r="AE380" s="438"/>
      <c r="AF380" s="438"/>
      <c r="AG380" s="438"/>
      <c r="AH380" s="438"/>
      <c r="AI380" s="438"/>
    </row>
    <row r="381" spans="4:35">
      <c r="D381" s="435" t="s">
        <v>79</v>
      </c>
      <c r="E381" s="435" t="s">
        <v>68</v>
      </c>
      <c r="F381" s="435" t="s">
        <v>274</v>
      </c>
      <c r="G381" s="435" t="s">
        <v>86</v>
      </c>
      <c r="H381" s="435" t="s">
        <v>264</v>
      </c>
      <c r="I381" s="435" t="s">
        <v>7</v>
      </c>
      <c r="J381" s="435" t="s">
        <v>299</v>
      </c>
      <c r="K381" s="437" t="s">
        <v>303</v>
      </c>
      <c r="L381" s="437" t="s">
        <v>305</v>
      </c>
      <c r="M381" s="435" t="s">
        <v>839</v>
      </c>
      <c r="N381" s="436" t="s">
        <v>2870</v>
      </c>
      <c r="O381" s="435" t="s">
        <v>830</v>
      </c>
      <c r="R381" s="435" t="s">
        <v>406</v>
      </c>
      <c r="S381" s="435" t="s">
        <v>407</v>
      </c>
      <c r="AC381" s="435" t="s">
        <v>3</v>
      </c>
      <c r="AE381" s="438"/>
      <c r="AF381" s="438"/>
      <c r="AG381" s="438"/>
      <c r="AH381" s="438"/>
      <c r="AI381" s="438"/>
    </row>
    <row r="382" spans="4:35">
      <c r="D382" s="435" t="s">
        <v>79</v>
      </c>
      <c r="E382" s="435" t="s">
        <v>68</v>
      </c>
      <c r="F382" s="435" t="s">
        <v>274</v>
      </c>
      <c r="G382" s="435" t="s">
        <v>86</v>
      </c>
      <c r="H382" s="435" t="s">
        <v>264</v>
      </c>
      <c r="I382" s="435" t="s">
        <v>7</v>
      </c>
      <c r="J382" s="435" t="s">
        <v>299</v>
      </c>
      <c r="K382" s="437" t="s">
        <v>303</v>
      </c>
      <c r="L382" s="437" t="s">
        <v>305</v>
      </c>
      <c r="M382" s="435" t="s">
        <v>835</v>
      </c>
      <c r="N382" s="436" t="s">
        <v>2870</v>
      </c>
      <c r="O382" s="435" t="s">
        <v>830</v>
      </c>
      <c r="R382" s="435" t="s">
        <v>408</v>
      </c>
      <c r="S382" s="435" t="s">
        <v>351</v>
      </c>
      <c r="AC382" s="435" t="s">
        <v>3</v>
      </c>
      <c r="AE382" s="438"/>
      <c r="AF382" s="438"/>
      <c r="AG382" s="438"/>
      <c r="AH382" s="438"/>
      <c r="AI382" s="438"/>
    </row>
    <row r="383" spans="4:35">
      <c r="D383" s="435" t="s">
        <v>79</v>
      </c>
      <c r="E383" s="435" t="s">
        <v>68</v>
      </c>
      <c r="F383" s="435" t="s">
        <v>274</v>
      </c>
      <c r="G383" s="435" t="s">
        <v>86</v>
      </c>
      <c r="H383" s="435" t="s">
        <v>264</v>
      </c>
      <c r="I383" s="435" t="s">
        <v>7</v>
      </c>
      <c r="J383" s="435" t="s">
        <v>299</v>
      </c>
      <c r="K383" s="437" t="s">
        <v>303</v>
      </c>
      <c r="L383" s="437" t="s">
        <v>305</v>
      </c>
      <c r="M383" s="435" t="s">
        <v>835</v>
      </c>
      <c r="N383" s="436" t="s">
        <v>2870</v>
      </c>
      <c r="O383" s="435" t="s">
        <v>830</v>
      </c>
      <c r="R383" s="435" t="s">
        <v>409</v>
      </c>
      <c r="S383" s="435" t="s">
        <v>365</v>
      </c>
      <c r="AC383" s="435" t="s">
        <v>3</v>
      </c>
      <c r="AE383" s="438"/>
      <c r="AF383" s="438"/>
      <c r="AG383" s="438"/>
      <c r="AH383" s="438"/>
      <c r="AI383" s="438"/>
    </row>
    <row r="384" spans="4:35">
      <c r="D384" s="435" t="s">
        <v>79</v>
      </c>
      <c r="E384" s="435" t="s">
        <v>68</v>
      </c>
      <c r="F384" s="435" t="s">
        <v>274</v>
      </c>
      <c r="G384" s="435" t="s">
        <v>86</v>
      </c>
      <c r="H384" s="435" t="s">
        <v>264</v>
      </c>
      <c r="I384" s="435" t="s">
        <v>7</v>
      </c>
      <c r="J384" s="435" t="s">
        <v>299</v>
      </c>
      <c r="K384" s="437" t="s">
        <v>303</v>
      </c>
      <c r="L384" s="437" t="s">
        <v>305</v>
      </c>
      <c r="M384" s="435" t="s">
        <v>835</v>
      </c>
      <c r="N384" s="436" t="s">
        <v>2870</v>
      </c>
      <c r="O384" s="435" t="s">
        <v>830</v>
      </c>
      <c r="R384" s="435" t="s">
        <v>410</v>
      </c>
      <c r="S384" s="435" t="s">
        <v>367</v>
      </c>
      <c r="AC384" s="435" t="s">
        <v>3</v>
      </c>
      <c r="AE384" s="438"/>
      <c r="AF384" s="438"/>
      <c r="AG384" s="438"/>
      <c r="AH384" s="438"/>
      <c r="AI384" s="438"/>
    </row>
    <row r="385" spans="4:35">
      <c r="D385" s="435" t="s">
        <v>79</v>
      </c>
      <c r="E385" s="435" t="s">
        <v>68</v>
      </c>
      <c r="F385" s="435" t="s">
        <v>274</v>
      </c>
      <c r="G385" s="435" t="s">
        <v>86</v>
      </c>
      <c r="H385" s="435" t="s">
        <v>264</v>
      </c>
      <c r="I385" s="435" t="s">
        <v>7</v>
      </c>
      <c r="J385" s="435" t="s">
        <v>299</v>
      </c>
      <c r="K385" s="437" t="s">
        <v>303</v>
      </c>
      <c r="L385" s="437" t="s">
        <v>305</v>
      </c>
      <c r="M385" s="435" t="s">
        <v>835</v>
      </c>
      <c r="N385" s="436" t="s">
        <v>2870</v>
      </c>
      <c r="O385" s="435" t="s">
        <v>830</v>
      </c>
      <c r="R385" s="435" t="s">
        <v>411</v>
      </c>
      <c r="S385" s="435" t="s">
        <v>365</v>
      </c>
      <c r="AC385" s="435" t="s">
        <v>3</v>
      </c>
      <c r="AE385" s="438"/>
      <c r="AF385" s="438"/>
      <c r="AG385" s="438"/>
      <c r="AH385" s="438"/>
      <c r="AI385" s="438"/>
    </row>
    <row r="386" spans="4:35">
      <c r="D386" s="435" t="s">
        <v>79</v>
      </c>
      <c r="E386" s="435" t="s">
        <v>68</v>
      </c>
      <c r="F386" s="435" t="s">
        <v>274</v>
      </c>
      <c r="G386" s="435" t="s">
        <v>86</v>
      </c>
      <c r="H386" s="435" t="s">
        <v>264</v>
      </c>
      <c r="I386" s="435" t="s">
        <v>7</v>
      </c>
      <c r="J386" s="435" t="s">
        <v>299</v>
      </c>
      <c r="K386" s="437" t="s">
        <v>303</v>
      </c>
      <c r="L386" s="437" t="s">
        <v>305</v>
      </c>
      <c r="M386" s="435" t="s">
        <v>835</v>
      </c>
      <c r="N386" s="436" t="s">
        <v>2870</v>
      </c>
      <c r="O386" s="435" t="s">
        <v>830</v>
      </c>
      <c r="R386" s="435" t="s">
        <v>412</v>
      </c>
      <c r="S386" s="435" t="s">
        <v>351</v>
      </c>
      <c r="AC386" s="435" t="s">
        <v>3</v>
      </c>
      <c r="AE386" s="438"/>
      <c r="AF386" s="438"/>
      <c r="AG386" s="438"/>
      <c r="AH386" s="438"/>
      <c r="AI386" s="438"/>
    </row>
    <row r="387" spans="4:35">
      <c r="D387" s="435" t="s">
        <v>79</v>
      </c>
      <c r="E387" s="435" t="s">
        <v>68</v>
      </c>
      <c r="F387" s="435" t="s">
        <v>274</v>
      </c>
      <c r="G387" s="435" t="s">
        <v>86</v>
      </c>
      <c r="H387" s="435" t="s">
        <v>264</v>
      </c>
      <c r="I387" s="435" t="s">
        <v>7</v>
      </c>
      <c r="J387" s="435" t="s">
        <v>299</v>
      </c>
      <c r="K387" s="437" t="s">
        <v>303</v>
      </c>
      <c r="L387" s="437" t="s">
        <v>305</v>
      </c>
      <c r="M387" s="435" t="s">
        <v>835</v>
      </c>
      <c r="N387" s="436" t="s">
        <v>2870</v>
      </c>
      <c r="O387" s="435" t="s">
        <v>830</v>
      </c>
      <c r="R387" s="435" t="s">
        <v>413</v>
      </c>
      <c r="S387" s="435" t="s">
        <v>414</v>
      </c>
      <c r="AC387" s="435" t="s">
        <v>3</v>
      </c>
      <c r="AE387" s="438"/>
      <c r="AF387" s="438"/>
      <c r="AG387" s="438"/>
      <c r="AH387" s="438"/>
      <c r="AI387" s="438"/>
    </row>
    <row r="388" spans="4:35">
      <c r="D388" s="435" t="s">
        <v>79</v>
      </c>
      <c r="E388" s="435" t="s">
        <v>68</v>
      </c>
      <c r="F388" s="435" t="s">
        <v>274</v>
      </c>
      <c r="G388" s="435" t="s">
        <v>86</v>
      </c>
      <c r="H388" s="435" t="s">
        <v>264</v>
      </c>
      <c r="I388" s="435" t="s">
        <v>7</v>
      </c>
      <c r="J388" s="435" t="s">
        <v>299</v>
      </c>
      <c r="K388" s="437" t="s">
        <v>303</v>
      </c>
      <c r="L388" s="437" t="s">
        <v>305</v>
      </c>
      <c r="M388" s="435" t="s">
        <v>835</v>
      </c>
      <c r="N388" s="436" t="s">
        <v>2870</v>
      </c>
      <c r="O388" s="435" t="s">
        <v>830</v>
      </c>
      <c r="R388" s="435" t="s">
        <v>415</v>
      </c>
      <c r="S388" s="435" t="s">
        <v>416</v>
      </c>
      <c r="AC388" s="435" t="s">
        <v>3</v>
      </c>
      <c r="AE388" s="438"/>
      <c r="AF388" s="438"/>
      <c r="AG388" s="438"/>
      <c r="AH388" s="438"/>
      <c r="AI388" s="438"/>
    </row>
    <row r="389" spans="4:35">
      <c r="D389" s="435" t="s">
        <v>79</v>
      </c>
      <c r="E389" s="435" t="s">
        <v>68</v>
      </c>
      <c r="F389" s="435" t="s">
        <v>274</v>
      </c>
      <c r="G389" s="435" t="s">
        <v>86</v>
      </c>
      <c r="H389" s="435" t="s">
        <v>264</v>
      </c>
      <c r="I389" s="435" t="s">
        <v>7</v>
      </c>
      <c r="J389" s="435" t="s">
        <v>299</v>
      </c>
      <c r="K389" s="437" t="s">
        <v>303</v>
      </c>
      <c r="L389" s="437" t="s">
        <v>305</v>
      </c>
      <c r="M389" s="435" t="s">
        <v>840</v>
      </c>
      <c r="N389" s="436" t="s">
        <v>2870</v>
      </c>
      <c r="O389" s="435" t="s">
        <v>830</v>
      </c>
      <c r="R389" s="435" t="s">
        <v>417</v>
      </c>
      <c r="S389" s="435" t="s">
        <v>351</v>
      </c>
      <c r="AC389" s="435" t="s">
        <v>3</v>
      </c>
      <c r="AE389" s="438"/>
      <c r="AF389" s="438"/>
      <c r="AG389" s="438"/>
      <c r="AH389" s="438"/>
      <c r="AI389" s="438"/>
    </row>
    <row r="390" spans="4:35">
      <c r="D390" s="435" t="s">
        <v>79</v>
      </c>
      <c r="E390" s="435" t="s">
        <v>68</v>
      </c>
      <c r="F390" s="435" t="s">
        <v>274</v>
      </c>
      <c r="G390" s="435" t="s">
        <v>86</v>
      </c>
      <c r="H390" s="435" t="s">
        <v>264</v>
      </c>
      <c r="I390" s="435" t="s">
        <v>7</v>
      </c>
      <c r="J390" s="435" t="s">
        <v>299</v>
      </c>
      <c r="K390" s="437" t="s">
        <v>303</v>
      </c>
      <c r="L390" s="437" t="s">
        <v>305</v>
      </c>
      <c r="M390" s="435" t="s">
        <v>840</v>
      </c>
      <c r="N390" s="435" t="s">
        <v>828</v>
      </c>
      <c r="O390" s="435" t="s">
        <v>217</v>
      </c>
      <c r="R390" s="435" t="s">
        <v>418</v>
      </c>
      <c r="S390" s="435" t="s">
        <v>419</v>
      </c>
      <c r="AC390" s="435" t="s">
        <v>3</v>
      </c>
      <c r="AE390" s="438"/>
      <c r="AF390" s="438"/>
      <c r="AG390" s="438"/>
      <c r="AH390" s="438"/>
      <c r="AI390" s="438"/>
    </row>
    <row r="391" spans="4:35">
      <c r="D391" s="435" t="s">
        <v>79</v>
      </c>
      <c r="E391" s="435" t="s">
        <v>68</v>
      </c>
      <c r="F391" s="435" t="s">
        <v>274</v>
      </c>
      <c r="G391" s="435" t="s">
        <v>86</v>
      </c>
      <c r="H391" s="435" t="s">
        <v>264</v>
      </c>
      <c r="I391" s="435" t="s">
        <v>7</v>
      </c>
      <c r="J391" s="435" t="s">
        <v>299</v>
      </c>
      <c r="K391" s="437" t="s">
        <v>303</v>
      </c>
      <c r="L391" s="437" t="s">
        <v>305</v>
      </c>
      <c r="M391" s="435" t="s">
        <v>840</v>
      </c>
      <c r="N391" s="435" t="s">
        <v>828</v>
      </c>
      <c r="O391" s="435" t="s">
        <v>217</v>
      </c>
      <c r="R391" s="435" t="s">
        <v>420</v>
      </c>
      <c r="S391" s="435" t="s">
        <v>421</v>
      </c>
      <c r="AC391" s="435" t="s">
        <v>3</v>
      </c>
      <c r="AE391" s="438"/>
      <c r="AF391" s="438"/>
      <c r="AG391" s="438"/>
      <c r="AH391" s="438"/>
      <c r="AI391" s="438"/>
    </row>
    <row r="392" spans="4:35">
      <c r="D392" s="435" t="s">
        <v>79</v>
      </c>
      <c r="E392" s="435" t="s">
        <v>68</v>
      </c>
      <c r="F392" s="435" t="s">
        <v>274</v>
      </c>
      <c r="G392" s="435" t="s">
        <v>86</v>
      </c>
      <c r="H392" s="435" t="s">
        <v>264</v>
      </c>
      <c r="I392" s="435" t="s">
        <v>7</v>
      </c>
      <c r="J392" s="435" t="s">
        <v>299</v>
      </c>
      <c r="K392" s="437" t="s">
        <v>303</v>
      </c>
      <c r="L392" s="437" t="s">
        <v>305</v>
      </c>
      <c r="M392" s="435" t="s">
        <v>840</v>
      </c>
      <c r="N392" s="436" t="s">
        <v>2870</v>
      </c>
      <c r="O392" s="435" t="s">
        <v>830</v>
      </c>
      <c r="R392" s="435" t="s">
        <v>422</v>
      </c>
      <c r="S392" s="435" t="s">
        <v>365</v>
      </c>
      <c r="AC392" s="435" t="s">
        <v>3</v>
      </c>
      <c r="AE392" s="438"/>
      <c r="AF392" s="438"/>
      <c r="AG392" s="438"/>
      <c r="AH392" s="438"/>
      <c r="AI392" s="438"/>
    </row>
    <row r="393" spans="4:35">
      <c r="D393" s="435" t="s">
        <v>79</v>
      </c>
      <c r="E393" s="435" t="s">
        <v>68</v>
      </c>
      <c r="F393" s="435" t="s">
        <v>274</v>
      </c>
      <c r="G393" s="435" t="s">
        <v>86</v>
      </c>
      <c r="H393" s="435" t="s">
        <v>264</v>
      </c>
      <c r="I393" s="435" t="s">
        <v>7</v>
      </c>
      <c r="J393" s="435" t="s">
        <v>299</v>
      </c>
      <c r="K393" s="437" t="s">
        <v>303</v>
      </c>
      <c r="L393" s="437" t="s">
        <v>305</v>
      </c>
      <c r="M393" s="435" t="s">
        <v>840</v>
      </c>
      <c r="N393" s="436" t="s">
        <v>2870</v>
      </c>
      <c r="O393" s="435" t="s">
        <v>830</v>
      </c>
      <c r="R393" s="435" t="s">
        <v>423</v>
      </c>
      <c r="S393" s="435" t="s">
        <v>424</v>
      </c>
      <c r="AC393" s="435" t="s">
        <v>3</v>
      </c>
      <c r="AE393" s="438"/>
      <c r="AF393" s="438"/>
      <c r="AG393" s="438"/>
      <c r="AH393" s="438"/>
      <c r="AI393" s="438"/>
    </row>
    <row r="394" spans="4:35">
      <c r="D394" s="435" t="s">
        <v>79</v>
      </c>
      <c r="E394" s="435" t="s">
        <v>68</v>
      </c>
      <c r="F394" s="435" t="s">
        <v>274</v>
      </c>
      <c r="G394" s="435" t="s">
        <v>86</v>
      </c>
      <c r="H394" s="435" t="s">
        <v>264</v>
      </c>
      <c r="I394" s="435" t="s">
        <v>7</v>
      </c>
      <c r="J394" s="435" t="s">
        <v>299</v>
      </c>
      <c r="K394" s="437" t="s">
        <v>303</v>
      </c>
      <c r="L394" s="437" t="s">
        <v>306</v>
      </c>
      <c r="M394" s="435" t="s">
        <v>841</v>
      </c>
      <c r="N394" s="436" t="s">
        <v>2870</v>
      </c>
      <c r="O394" s="435" t="s">
        <v>830</v>
      </c>
      <c r="R394" s="435" t="s">
        <v>425</v>
      </c>
      <c r="S394" s="435" t="s">
        <v>351</v>
      </c>
      <c r="AC394" s="435" t="s">
        <v>3</v>
      </c>
      <c r="AE394" s="438"/>
      <c r="AF394" s="438"/>
      <c r="AG394" s="438"/>
      <c r="AH394" s="438"/>
      <c r="AI394" s="438"/>
    </row>
    <row r="395" spans="4:35">
      <c r="D395" s="435" t="s">
        <v>79</v>
      </c>
      <c r="E395" s="435" t="s">
        <v>68</v>
      </c>
      <c r="F395" s="435" t="s">
        <v>274</v>
      </c>
      <c r="G395" s="435" t="s">
        <v>86</v>
      </c>
      <c r="H395" s="435" t="s">
        <v>264</v>
      </c>
      <c r="I395" s="435" t="s">
        <v>7</v>
      </c>
      <c r="J395" s="435" t="s">
        <v>299</v>
      </c>
      <c r="K395" s="437" t="s">
        <v>303</v>
      </c>
      <c r="L395" s="437" t="s">
        <v>306</v>
      </c>
      <c r="M395" s="435" t="s">
        <v>841</v>
      </c>
      <c r="N395" s="436" t="s">
        <v>2870</v>
      </c>
      <c r="O395" s="435" t="s">
        <v>830</v>
      </c>
      <c r="R395" s="435" t="s">
        <v>426</v>
      </c>
      <c r="S395" s="435" t="s">
        <v>365</v>
      </c>
      <c r="AC395" s="435" t="s">
        <v>3</v>
      </c>
      <c r="AE395" s="438"/>
      <c r="AF395" s="438"/>
      <c r="AG395" s="438"/>
      <c r="AH395" s="438"/>
      <c r="AI395" s="438"/>
    </row>
    <row r="396" spans="4:35">
      <c r="D396" s="435" t="s">
        <v>79</v>
      </c>
      <c r="E396" s="435" t="s">
        <v>68</v>
      </c>
      <c r="F396" s="435" t="s">
        <v>274</v>
      </c>
      <c r="G396" s="435" t="s">
        <v>86</v>
      </c>
      <c r="H396" s="435" t="s">
        <v>264</v>
      </c>
      <c r="I396" s="435" t="s">
        <v>7</v>
      </c>
      <c r="J396" s="435" t="s">
        <v>299</v>
      </c>
      <c r="K396" s="437" t="s">
        <v>303</v>
      </c>
      <c r="L396" s="437" t="s">
        <v>306</v>
      </c>
      <c r="M396" s="435" t="s">
        <v>841</v>
      </c>
      <c r="N396" s="436" t="s">
        <v>2870</v>
      </c>
      <c r="O396" s="435" t="s">
        <v>830</v>
      </c>
      <c r="R396" s="435" t="s">
        <v>427</v>
      </c>
      <c r="S396" s="435" t="s">
        <v>367</v>
      </c>
      <c r="AC396" s="435" t="s">
        <v>3</v>
      </c>
      <c r="AE396" s="438"/>
      <c r="AF396" s="438"/>
      <c r="AG396" s="438"/>
      <c r="AH396" s="438"/>
      <c r="AI396" s="438"/>
    </row>
    <row r="397" spans="4:35">
      <c r="D397" s="435" t="s">
        <v>79</v>
      </c>
      <c r="E397" s="435" t="s">
        <v>68</v>
      </c>
      <c r="F397" s="435" t="s">
        <v>274</v>
      </c>
      <c r="G397" s="435" t="s">
        <v>86</v>
      </c>
      <c r="H397" s="435" t="s">
        <v>264</v>
      </c>
      <c r="I397" s="435" t="s">
        <v>7</v>
      </c>
      <c r="J397" s="435" t="s">
        <v>299</v>
      </c>
      <c r="K397" s="437" t="s">
        <v>303</v>
      </c>
      <c r="L397" s="437" t="s">
        <v>306</v>
      </c>
      <c r="M397" s="435" t="s">
        <v>841</v>
      </c>
      <c r="N397" s="436" t="s">
        <v>2870</v>
      </c>
      <c r="O397" s="435" t="s">
        <v>830</v>
      </c>
      <c r="R397" s="435" t="s">
        <v>428</v>
      </c>
      <c r="S397" s="435" t="s">
        <v>365</v>
      </c>
      <c r="AC397" s="435" t="s">
        <v>3</v>
      </c>
      <c r="AE397" s="438"/>
      <c r="AF397" s="438"/>
      <c r="AG397" s="438"/>
      <c r="AH397" s="438"/>
      <c r="AI397" s="438"/>
    </row>
    <row r="398" spans="4:35">
      <c r="D398" s="435" t="s">
        <v>79</v>
      </c>
      <c r="E398" s="435" t="s">
        <v>68</v>
      </c>
      <c r="F398" s="435" t="s">
        <v>274</v>
      </c>
      <c r="G398" s="435" t="s">
        <v>86</v>
      </c>
      <c r="H398" s="435" t="s">
        <v>264</v>
      </c>
      <c r="I398" s="435" t="s">
        <v>7</v>
      </c>
      <c r="J398" s="435" t="s">
        <v>299</v>
      </c>
      <c r="K398" s="437" t="s">
        <v>303</v>
      </c>
      <c r="L398" s="437" t="s">
        <v>306</v>
      </c>
      <c r="M398" s="435" t="s">
        <v>841</v>
      </c>
      <c r="N398" s="436" t="s">
        <v>2870</v>
      </c>
      <c r="O398" s="435" t="s">
        <v>830</v>
      </c>
      <c r="R398" s="435" t="s">
        <v>429</v>
      </c>
      <c r="S398" s="435" t="s">
        <v>351</v>
      </c>
      <c r="AC398" s="435" t="s">
        <v>3</v>
      </c>
      <c r="AE398" s="438"/>
      <c r="AF398" s="438"/>
      <c r="AG398" s="438"/>
      <c r="AH398" s="438"/>
      <c r="AI398" s="438"/>
    </row>
    <row r="399" spans="4:35">
      <c r="D399" s="435" t="s">
        <v>79</v>
      </c>
      <c r="E399" s="435" t="s">
        <v>68</v>
      </c>
      <c r="F399" s="435" t="s">
        <v>274</v>
      </c>
      <c r="G399" s="435" t="s">
        <v>86</v>
      </c>
      <c r="H399" s="435" t="s">
        <v>264</v>
      </c>
      <c r="I399" s="435" t="s">
        <v>7</v>
      </c>
      <c r="J399" s="435" t="s">
        <v>299</v>
      </c>
      <c r="K399" s="437" t="s">
        <v>303</v>
      </c>
      <c r="L399" s="437" t="s">
        <v>306</v>
      </c>
      <c r="M399" s="435" t="s">
        <v>841</v>
      </c>
      <c r="N399" s="436" t="s">
        <v>2870</v>
      </c>
      <c r="O399" s="435" t="s">
        <v>830</v>
      </c>
      <c r="R399" s="435" t="s">
        <v>430</v>
      </c>
      <c r="S399" s="435" t="s">
        <v>431</v>
      </c>
      <c r="AC399" s="435" t="s">
        <v>3</v>
      </c>
      <c r="AE399" s="438"/>
      <c r="AF399" s="438"/>
      <c r="AG399" s="438"/>
      <c r="AH399" s="438"/>
      <c r="AI399" s="438"/>
    </row>
    <row r="400" spans="4:35">
      <c r="D400" s="435" t="s">
        <v>79</v>
      </c>
      <c r="E400" s="435" t="s">
        <v>68</v>
      </c>
      <c r="F400" s="435" t="s">
        <v>274</v>
      </c>
      <c r="G400" s="435" t="s">
        <v>86</v>
      </c>
      <c r="H400" s="435" t="s">
        <v>264</v>
      </c>
      <c r="I400" s="435" t="s">
        <v>7</v>
      </c>
      <c r="J400" s="435" t="s">
        <v>299</v>
      </c>
      <c r="K400" s="437" t="s">
        <v>303</v>
      </c>
      <c r="L400" s="437" t="s">
        <v>306</v>
      </c>
      <c r="M400" s="435" t="s">
        <v>841</v>
      </c>
      <c r="N400" s="436" t="s">
        <v>2870</v>
      </c>
      <c r="O400" s="435" t="s">
        <v>830</v>
      </c>
      <c r="R400" s="435" t="s">
        <v>432</v>
      </c>
      <c r="S400" s="435" t="s">
        <v>433</v>
      </c>
      <c r="AC400" s="435" t="s">
        <v>3</v>
      </c>
      <c r="AE400" s="438"/>
      <c r="AF400" s="438"/>
      <c r="AG400" s="438"/>
      <c r="AH400" s="438"/>
      <c r="AI400" s="438"/>
    </row>
    <row r="401" spans="4:35">
      <c r="D401" s="435" t="s">
        <v>79</v>
      </c>
      <c r="E401" s="435" t="s">
        <v>68</v>
      </c>
      <c r="F401" s="435" t="s">
        <v>274</v>
      </c>
      <c r="G401" s="435" t="s">
        <v>86</v>
      </c>
      <c r="H401" s="435" t="s">
        <v>264</v>
      </c>
      <c r="I401" s="435" t="s">
        <v>7</v>
      </c>
      <c r="J401" s="435" t="s">
        <v>299</v>
      </c>
      <c r="K401" s="437" t="s">
        <v>303</v>
      </c>
      <c r="L401" s="437" t="s">
        <v>306</v>
      </c>
      <c r="M401" s="435" t="s">
        <v>841</v>
      </c>
      <c r="N401" s="436" t="s">
        <v>2870</v>
      </c>
      <c r="O401" s="435" t="s">
        <v>830</v>
      </c>
      <c r="R401" s="435" t="s">
        <v>434</v>
      </c>
      <c r="S401" s="435" t="s">
        <v>435</v>
      </c>
      <c r="AC401" s="435" t="s">
        <v>3</v>
      </c>
      <c r="AE401" s="438"/>
      <c r="AF401" s="438"/>
      <c r="AG401" s="438"/>
      <c r="AH401" s="438"/>
      <c r="AI401" s="438"/>
    </row>
    <row r="402" spans="4:35">
      <c r="D402" s="435" t="s">
        <v>79</v>
      </c>
      <c r="E402" s="435" t="s">
        <v>68</v>
      </c>
      <c r="F402" s="435" t="s">
        <v>274</v>
      </c>
      <c r="G402" s="435" t="s">
        <v>86</v>
      </c>
      <c r="H402" s="435" t="s">
        <v>264</v>
      </c>
      <c r="I402" s="435" t="s">
        <v>7</v>
      </c>
      <c r="J402" s="435" t="s">
        <v>299</v>
      </c>
      <c r="K402" s="437" t="s">
        <v>303</v>
      </c>
      <c r="L402" s="437" t="s">
        <v>306</v>
      </c>
      <c r="M402" s="435" t="s">
        <v>842</v>
      </c>
      <c r="N402" s="435" t="s">
        <v>829</v>
      </c>
      <c r="O402" s="435" t="s">
        <v>214</v>
      </c>
      <c r="R402" s="435" t="s">
        <v>436</v>
      </c>
      <c r="S402" s="435" t="s">
        <v>351</v>
      </c>
      <c r="AC402" s="435" t="s">
        <v>3</v>
      </c>
      <c r="AE402" s="438"/>
      <c r="AF402" s="438"/>
      <c r="AG402" s="438"/>
      <c r="AH402" s="438"/>
      <c r="AI402" s="438"/>
    </row>
    <row r="403" spans="4:35">
      <c r="D403" s="435" t="s">
        <v>79</v>
      </c>
      <c r="E403" s="435" t="s">
        <v>68</v>
      </c>
      <c r="F403" s="435" t="s">
        <v>274</v>
      </c>
      <c r="G403" s="435" t="s">
        <v>86</v>
      </c>
      <c r="H403" s="435" t="s">
        <v>264</v>
      </c>
      <c r="I403" s="435" t="s">
        <v>7</v>
      </c>
      <c r="J403" s="435" t="s">
        <v>299</v>
      </c>
      <c r="K403" s="437" t="s">
        <v>303</v>
      </c>
      <c r="L403" s="437" t="s">
        <v>306</v>
      </c>
      <c r="M403" s="435" t="s">
        <v>842</v>
      </c>
      <c r="N403" s="435" t="s">
        <v>829</v>
      </c>
      <c r="O403" s="435" t="s">
        <v>214</v>
      </c>
      <c r="R403" s="435" t="s">
        <v>437</v>
      </c>
      <c r="S403" s="435" t="s">
        <v>365</v>
      </c>
      <c r="AC403" s="435" t="s">
        <v>3</v>
      </c>
      <c r="AE403" s="438"/>
      <c r="AF403" s="438"/>
      <c r="AG403" s="438"/>
      <c r="AH403" s="438"/>
      <c r="AI403" s="438"/>
    </row>
    <row r="404" spans="4:35">
      <c r="D404" s="435" t="s">
        <v>79</v>
      </c>
      <c r="E404" s="435" t="s">
        <v>68</v>
      </c>
      <c r="F404" s="435" t="s">
        <v>274</v>
      </c>
      <c r="G404" s="435" t="s">
        <v>86</v>
      </c>
      <c r="H404" s="435" t="s">
        <v>264</v>
      </c>
      <c r="I404" s="435" t="s">
        <v>7</v>
      </c>
      <c r="J404" s="435" t="s">
        <v>299</v>
      </c>
      <c r="K404" s="437" t="s">
        <v>303</v>
      </c>
      <c r="L404" s="437" t="s">
        <v>306</v>
      </c>
      <c r="M404" s="435" t="s">
        <v>842</v>
      </c>
      <c r="N404" s="435" t="s">
        <v>829</v>
      </c>
      <c r="O404" s="435" t="s">
        <v>214</v>
      </c>
      <c r="R404" s="435" t="s">
        <v>438</v>
      </c>
      <c r="S404" s="435" t="s">
        <v>439</v>
      </c>
      <c r="AC404" s="435" t="s">
        <v>3</v>
      </c>
      <c r="AE404" s="438"/>
      <c r="AF404" s="438"/>
      <c r="AG404" s="438"/>
      <c r="AH404" s="438"/>
      <c r="AI404" s="438"/>
    </row>
    <row r="405" spans="4:35">
      <c r="D405" s="435" t="s">
        <v>79</v>
      </c>
      <c r="E405" s="435" t="s">
        <v>68</v>
      </c>
      <c r="F405" s="435" t="s">
        <v>274</v>
      </c>
      <c r="G405" s="435" t="s">
        <v>86</v>
      </c>
      <c r="H405" s="435" t="s">
        <v>264</v>
      </c>
      <c r="I405" s="435" t="s">
        <v>7</v>
      </c>
      <c r="J405" s="435" t="s">
        <v>299</v>
      </c>
      <c r="K405" s="437" t="s">
        <v>303</v>
      </c>
      <c r="L405" s="437" t="s">
        <v>306</v>
      </c>
      <c r="M405" s="435" t="s">
        <v>842</v>
      </c>
      <c r="N405" s="435" t="s">
        <v>829</v>
      </c>
      <c r="O405" s="435" t="s">
        <v>214</v>
      </c>
      <c r="R405" s="435" t="s">
        <v>440</v>
      </c>
      <c r="S405" s="435" t="s">
        <v>365</v>
      </c>
      <c r="AC405" s="435" t="s">
        <v>3</v>
      </c>
      <c r="AE405" s="438"/>
      <c r="AF405" s="438"/>
      <c r="AG405" s="438"/>
      <c r="AH405" s="438"/>
      <c r="AI405" s="438"/>
    </row>
    <row r="406" spans="4:35">
      <c r="D406" s="435" t="s">
        <v>79</v>
      </c>
      <c r="E406" s="435" t="s">
        <v>68</v>
      </c>
      <c r="F406" s="435" t="s">
        <v>274</v>
      </c>
      <c r="G406" s="435" t="s">
        <v>86</v>
      </c>
      <c r="H406" s="435" t="s">
        <v>264</v>
      </c>
      <c r="I406" s="435" t="s">
        <v>7</v>
      </c>
      <c r="J406" s="435" t="s">
        <v>299</v>
      </c>
      <c r="K406" s="437" t="s">
        <v>303</v>
      </c>
      <c r="L406" s="437" t="s">
        <v>306</v>
      </c>
      <c r="M406" s="435" t="s">
        <v>842</v>
      </c>
      <c r="N406" s="435" t="s">
        <v>829</v>
      </c>
      <c r="O406" s="435" t="s">
        <v>214</v>
      </c>
      <c r="R406" s="435" t="s">
        <v>441</v>
      </c>
      <c r="S406" s="435" t="s">
        <v>351</v>
      </c>
      <c r="AC406" s="435" t="s">
        <v>3</v>
      </c>
      <c r="AE406" s="438"/>
      <c r="AF406" s="438"/>
      <c r="AG406" s="438"/>
      <c r="AH406" s="438"/>
      <c r="AI406" s="438"/>
    </row>
    <row r="407" spans="4:35">
      <c r="D407" s="435" t="s">
        <v>79</v>
      </c>
      <c r="E407" s="435" t="s">
        <v>68</v>
      </c>
      <c r="F407" s="435" t="s">
        <v>274</v>
      </c>
      <c r="G407" s="435" t="s">
        <v>86</v>
      </c>
      <c r="H407" s="435" t="s">
        <v>264</v>
      </c>
      <c r="I407" s="435" t="s">
        <v>7</v>
      </c>
      <c r="J407" s="435" t="s">
        <v>299</v>
      </c>
      <c r="K407" s="437" t="s">
        <v>303</v>
      </c>
      <c r="L407" s="437" t="s">
        <v>306</v>
      </c>
      <c r="M407" s="435" t="s">
        <v>842</v>
      </c>
      <c r="N407" s="435" t="s">
        <v>829</v>
      </c>
      <c r="O407" s="435" t="s">
        <v>214</v>
      </c>
      <c r="R407" s="435" t="s">
        <v>442</v>
      </c>
      <c r="S407" s="435" t="s">
        <v>439</v>
      </c>
      <c r="AC407" s="435" t="s">
        <v>3</v>
      </c>
      <c r="AE407" s="438"/>
      <c r="AF407" s="438"/>
      <c r="AG407" s="438"/>
      <c r="AH407" s="438"/>
      <c r="AI407" s="438"/>
    </row>
    <row r="408" spans="4:35">
      <c r="D408" s="435" t="s">
        <v>79</v>
      </c>
      <c r="E408" s="435" t="s">
        <v>68</v>
      </c>
      <c r="F408" s="435" t="s">
        <v>274</v>
      </c>
      <c r="G408" s="435" t="s">
        <v>86</v>
      </c>
      <c r="H408" s="435" t="s">
        <v>264</v>
      </c>
      <c r="I408" s="435" t="s">
        <v>7</v>
      </c>
      <c r="J408" s="435" t="s">
        <v>299</v>
      </c>
      <c r="K408" s="437" t="s">
        <v>303</v>
      </c>
      <c r="L408" s="437" t="s">
        <v>306</v>
      </c>
      <c r="M408" s="435" t="s">
        <v>842</v>
      </c>
      <c r="N408" s="435" t="s">
        <v>829</v>
      </c>
      <c r="O408" s="435" t="s">
        <v>214</v>
      </c>
      <c r="R408" s="435" t="s">
        <v>443</v>
      </c>
      <c r="S408" s="435" t="s">
        <v>439</v>
      </c>
      <c r="AC408" s="435" t="s">
        <v>3</v>
      </c>
      <c r="AE408" s="438"/>
      <c r="AF408" s="438"/>
      <c r="AG408" s="438"/>
      <c r="AH408" s="438"/>
      <c r="AI408" s="438"/>
    </row>
    <row r="409" spans="4:35">
      <c r="D409" s="435" t="s">
        <v>79</v>
      </c>
      <c r="E409" s="435" t="s">
        <v>68</v>
      </c>
      <c r="F409" s="435" t="s">
        <v>274</v>
      </c>
      <c r="G409" s="435" t="s">
        <v>86</v>
      </c>
      <c r="H409" s="435" t="s">
        <v>264</v>
      </c>
      <c r="I409" s="435" t="s">
        <v>7</v>
      </c>
      <c r="J409" s="435" t="s">
        <v>299</v>
      </c>
      <c r="K409" s="437" t="s">
        <v>255</v>
      </c>
      <c r="L409" s="437" t="s">
        <v>255</v>
      </c>
      <c r="M409" s="435" t="s">
        <v>843</v>
      </c>
      <c r="N409" s="435" t="s">
        <v>829</v>
      </c>
      <c r="O409" s="435" t="s">
        <v>214</v>
      </c>
      <c r="R409" s="435" t="s">
        <v>444</v>
      </c>
      <c r="S409" s="435" t="s">
        <v>445</v>
      </c>
      <c r="AC409" s="435" t="s">
        <v>3</v>
      </c>
      <c r="AE409" s="438"/>
      <c r="AF409" s="438"/>
      <c r="AG409" s="438"/>
      <c r="AH409" s="438"/>
      <c r="AI409" s="438"/>
    </row>
    <row r="410" spans="4:35">
      <c r="D410" s="435" t="s">
        <v>79</v>
      </c>
      <c r="E410" s="435" t="s">
        <v>68</v>
      </c>
      <c r="F410" s="435" t="s">
        <v>274</v>
      </c>
      <c r="G410" s="435" t="s">
        <v>86</v>
      </c>
      <c r="H410" s="435" t="s">
        <v>264</v>
      </c>
      <c r="I410" s="435" t="s">
        <v>7</v>
      </c>
      <c r="J410" s="435" t="s">
        <v>299</v>
      </c>
      <c r="K410" s="437" t="s">
        <v>255</v>
      </c>
      <c r="L410" s="437" t="s">
        <v>255</v>
      </c>
      <c r="M410" s="435" t="s">
        <v>843</v>
      </c>
      <c r="N410" s="435" t="s">
        <v>829</v>
      </c>
      <c r="O410" s="435" t="s">
        <v>214</v>
      </c>
      <c r="R410" s="435" t="s">
        <v>446</v>
      </c>
      <c r="S410" s="435" t="s">
        <v>447</v>
      </c>
      <c r="AC410" s="435" t="s">
        <v>3</v>
      </c>
      <c r="AE410" s="438"/>
      <c r="AF410" s="438"/>
      <c r="AG410" s="438"/>
      <c r="AH410" s="438"/>
      <c r="AI410" s="438"/>
    </row>
    <row r="411" spans="4:35">
      <c r="D411" s="435" t="s">
        <v>79</v>
      </c>
      <c r="E411" s="435" t="s">
        <v>68</v>
      </c>
      <c r="F411" s="435" t="s">
        <v>274</v>
      </c>
      <c r="G411" s="435" t="s">
        <v>86</v>
      </c>
      <c r="H411" s="435" t="s">
        <v>264</v>
      </c>
      <c r="I411" s="435" t="s">
        <v>7</v>
      </c>
      <c r="J411" s="435" t="s">
        <v>299</v>
      </c>
      <c r="K411" s="437" t="s">
        <v>255</v>
      </c>
      <c r="L411" s="437" t="s">
        <v>255</v>
      </c>
      <c r="M411" s="435" t="s">
        <v>843</v>
      </c>
      <c r="N411" s="435" t="s">
        <v>829</v>
      </c>
      <c r="O411" s="435" t="s">
        <v>214</v>
      </c>
      <c r="R411" s="435" t="s">
        <v>448</v>
      </c>
      <c r="S411" s="435" t="s">
        <v>449</v>
      </c>
      <c r="AC411" s="435" t="s">
        <v>3</v>
      </c>
      <c r="AE411" s="438"/>
      <c r="AF411" s="438"/>
      <c r="AG411" s="438"/>
      <c r="AH411" s="438"/>
      <c r="AI411" s="438"/>
    </row>
    <row r="412" spans="4:35">
      <c r="D412" s="435" t="s">
        <v>79</v>
      </c>
      <c r="E412" s="435" t="s">
        <v>68</v>
      </c>
      <c r="F412" s="435" t="s">
        <v>274</v>
      </c>
      <c r="G412" s="435" t="s">
        <v>86</v>
      </c>
      <c r="H412" s="435" t="s">
        <v>264</v>
      </c>
      <c r="I412" s="435" t="s">
        <v>7</v>
      </c>
      <c r="J412" s="435" t="s">
        <v>299</v>
      </c>
      <c r="K412" s="437" t="s">
        <v>255</v>
      </c>
      <c r="L412" s="437" t="s">
        <v>255</v>
      </c>
      <c r="M412" s="435" t="s">
        <v>843</v>
      </c>
      <c r="N412" s="435" t="s">
        <v>829</v>
      </c>
      <c r="O412" s="435" t="s">
        <v>214</v>
      </c>
      <c r="R412" s="435" t="s">
        <v>450</v>
      </c>
      <c r="S412" s="435" t="s">
        <v>451</v>
      </c>
      <c r="AC412" s="435" t="s">
        <v>3</v>
      </c>
      <c r="AE412" s="438"/>
      <c r="AF412" s="438"/>
      <c r="AG412" s="438"/>
      <c r="AH412" s="438"/>
      <c r="AI412" s="438"/>
    </row>
    <row r="413" spans="4:35">
      <c r="D413" s="435" t="s">
        <v>79</v>
      </c>
      <c r="E413" s="435" t="s">
        <v>68</v>
      </c>
      <c r="F413" s="435" t="s">
        <v>274</v>
      </c>
      <c r="G413" s="435" t="s">
        <v>86</v>
      </c>
      <c r="H413" s="435" t="s">
        <v>264</v>
      </c>
      <c r="I413" s="435" t="s">
        <v>7</v>
      </c>
      <c r="J413" s="435" t="s">
        <v>299</v>
      </c>
      <c r="K413" s="437" t="s">
        <v>255</v>
      </c>
      <c r="L413" s="437" t="s">
        <v>255</v>
      </c>
      <c r="M413" s="435" t="s">
        <v>843</v>
      </c>
      <c r="N413" s="435" t="s">
        <v>829</v>
      </c>
      <c r="O413" s="435" t="s">
        <v>214</v>
      </c>
      <c r="R413" s="435" t="s">
        <v>452</v>
      </c>
      <c r="S413" s="435" t="s">
        <v>453</v>
      </c>
      <c r="AC413" s="435" t="s">
        <v>3</v>
      </c>
      <c r="AE413" s="438"/>
      <c r="AF413" s="438"/>
      <c r="AG413" s="438"/>
      <c r="AH413" s="438"/>
      <c r="AI413" s="438"/>
    </row>
    <row r="414" spans="4:35">
      <c r="D414" s="435" t="s">
        <v>79</v>
      </c>
      <c r="E414" s="435" t="s">
        <v>68</v>
      </c>
      <c r="F414" s="435" t="s">
        <v>274</v>
      </c>
      <c r="G414" s="435" t="s">
        <v>86</v>
      </c>
      <c r="H414" s="435" t="s">
        <v>264</v>
      </c>
      <c r="I414" s="435" t="s">
        <v>7</v>
      </c>
      <c r="J414" s="435" t="s">
        <v>299</v>
      </c>
      <c r="K414" s="437" t="s">
        <v>255</v>
      </c>
      <c r="L414" s="437" t="s">
        <v>255</v>
      </c>
      <c r="M414" s="435" t="s">
        <v>843</v>
      </c>
      <c r="N414" s="435" t="s">
        <v>829</v>
      </c>
      <c r="O414" s="435" t="s">
        <v>214</v>
      </c>
      <c r="R414" s="435" t="s">
        <v>454</v>
      </c>
      <c r="S414" s="435" t="s">
        <v>455</v>
      </c>
      <c r="AC414" s="435" t="s">
        <v>3</v>
      </c>
      <c r="AE414" s="438"/>
      <c r="AF414" s="438"/>
      <c r="AG414" s="438"/>
      <c r="AH414" s="438"/>
      <c r="AI414" s="438"/>
    </row>
    <row r="415" spans="4:35">
      <c r="D415" s="435" t="s">
        <v>79</v>
      </c>
      <c r="E415" s="435" t="s">
        <v>68</v>
      </c>
      <c r="F415" s="435" t="s">
        <v>274</v>
      </c>
      <c r="G415" s="435" t="s">
        <v>86</v>
      </c>
      <c r="H415" s="435" t="s">
        <v>264</v>
      </c>
      <c r="I415" s="435" t="s">
        <v>7</v>
      </c>
      <c r="J415" s="435" t="s">
        <v>299</v>
      </c>
      <c r="K415" s="437" t="s">
        <v>255</v>
      </c>
      <c r="L415" s="437" t="s">
        <v>307</v>
      </c>
      <c r="M415" s="435" t="s">
        <v>844</v>
      </c>
      <c r="N415" s="435" t="s">
        <v>829</v>
      </c>
      <c r="O415" s="435" t="s">
        <v>214</v>
      </c>
      <c r="R415" s="435" t="s">
        <v>456</v>
      </c>
      <c r="S415" s="435" t="s">
        <v>457</v>
      </c>
      <c r="AC415" s="435" t="s">
        <v>3</v>
      </c>
      <c r="AE415" s="438"/>
      <c r="AF415" s="438"/>
      <c r="AG415" s="438"/>
      <c r="AH415" s="438"/>
      <c r="AI415" s="438"/>
    </row>
    <row r="416" spans="4:35">
      <c r="D416" s="435" t="s">
        <v>79</v>
      </c>
      <c r="E416" s="435" t="s">
        <v>68</v>
      </c>
      <c r="F416" s="435" t="s">
        <v>274</v>
      </c>
      <c r="G416" s="435" t="s">
        <v>86</v>
      </c>
      <c r="H416" s="435" t="s">
        <v>264</v>
      </c>
      <c r="I416" s="435" t="s">
        <v>7</v>
      </c>
      <c r="J416" s="435" t="s">
        <v>299</v>
      </c>
      <c r="K416" s="437" t="s">
        <v>255</v>
      </c>
      <c r="L416" s="437" t="s">
        <v>307</v>
      </c>
      <c r="M416" s="435" t="s">
        <v>844</v>
      </c>
      <c r="N416" s="435" t="s">
        <v>829</v>
      </c>
      <c r="O416" s="435" t="s">
        <v>214</v>
      </c>
      <c r="R416" s="435" t="s">
        <v>458</v>
      </c>
      <c r="S416" s="435" t="s">
        <v>459</v>
      </c>
      <c r="AC416" s="435" t="s">
        <v>3</v>
      </c>
      <c r="AE416" s="438"/>
      <c r="AF416" s="438"/>
      <c r="AG416" s="438"/>
      <c r="AH416" s="438"/>
      <c r="AI416" s="438"/>
    </row>
    <row r="417" spans="4:35">
      <c r="D417" s="435" t="s">
        <v>79</v>
      </c>
      <c r="E417" s="435" t="s">
        <v>68</v>
      </c>
      <c r="F417" s="435" t="s">
        <v>274</v>
      </c>
      <c r="G417" s="435" t="s">
        <v>86</v>
      </c>
      <c r="H417" s="435" t="s">
        <v>264</v>
      </c>
      <c r="I417" s="435" t="s">
        <v>7</v>
      </c>
      <c r="J417" s="435" t="s">
        <v>299</v>
      </c>
      <c r="K417" s="437" t="s">
        <v>255</v>
      </c>
      <c r="L417" s="437" t="s">
        <v>307</v>
      </c>
      <c r="M417" s="435" t="s">
        <v>844</v>
      </c>
      <c r="N417" s="435" t="s">
        <v>829</v>
      </c>
      <c r="O417" s="435" t="s">
        <v>214</v>
      </c>
      <c r="R417" s="435" t="s">
        <v>460</v>
      </c>
      <c r="S417" s="435" t="s">
        <v>461</v>
      </c>
      <c r="AC417" s="435" t="s">
        <v>3</v>
      </c>
      <c r="AE417" s="438"/>
      <c r="AF417" s="438"/>
      <c r="AG417" s="438"/>
      <c r="AH417" s="438"/>
      <c r="AI417" s="438"/>
    </row>
    <row r="418" spans="4:35">
      <c r="D418" s="435" t="s">
        <v>79</v>
      </c>
      <c r="E418" s="435" t="s">
        <v>68</v>
      </c>
      <c r="F418" s="435" t="s">
        <v>274</v>
      </c>
      <c r="G418" s="435" t="s">
        <v>86</v>
      </c>
      <c r="H418" s="435" t="s">
        <v>264</v>
      </c>
      <c r="I418" s="435" t="s">
        <v>7</v>
      </c>
      <c r="J418" s="435" t="s">
        <v>299</v>
      </c>
      <c r="K418" s="437" t="s">
        <v>255</v>
      </c>
      <c r="L418" s="437" t="s">
        <v>307</v>
      </c>
      <c r="M418" s="435" t="s">
        <v>844</v>
      </c>
      <c r="N418" s="435" t="s">
        <v>829</v>
      </c>
      <c r="O418" s="435" t="s">
        <v>214</v>
      </c>
      <c r="R418" s="435" t="s">
        <v>462</v>
      </c>
      <c r="S418" s="435" t="s">
        <v>463</v>
      </c>
      <c r="AC418" s="435" t="s">
        <v>3</v>
      </c>
      <c r="AE418" s="438"/>
      <c r="AF418" s="438"/>
      <c r="AG418" s="438"/>
      <c r="AH418" s="438"/>
      <c r="AI418" s="438"/>
    </row>
    <row r="419" spans="4:35">
      <c r="D419" s="435" t="s">
        <v>79</v>
      </c>
      <c r="E419" s="435" t="s">
        <v>68</v>
      </c>
      <c r="F419" s="435" t="s">
        <v>274</v>
      </c>
      <c r="G419" s="435" t="s">
        <v>86</v>
      </c>
      <c r="H419" s="435" t="s">
        <v>264</v>
      </c>
      <c r="I419" s="435" t="s">
        <v>7</v>
      </c>
      <c r="J419" s="435" t="s">
        <v>299</v>
      </c>
      <c r="K419" s="437" t="s">
        <v>255</v>
      </c>
      <c r="L419" s="437" t="s">
        <v>307</v>
      </c>
      <c r="M419" s="435" t="s">
        <v>844</v>
      </c>
      <c r="N419" s="435" t="s">
        <v>829</v>
      </c>
      <c r="O419" s="435" t="s">
        <v>214</v>
      </c>
      <c r="R419" s="435" t="s">
        <v>464</v>
      </c>
      <c r="S419" s="435" t="s">
        <v>465</v>
      </c>
      <c r="AC419" s="435" t="s">
        <v>3</v>
      </c>
      <c r="AE419" s="438"/>
      <c r="AF419" s="438"/>
      <c r="AG419" s="438"/>
      <c r="AH419" s="438"/>
      <c r="AI419" s="438"/>
    </row>
    <row r="420" spans="4:35">
      <c r="D420" s="435" t="s">
        <v>79</v>
      </c>
      <c r="E420" s="435" t="s">
        <v>68</v>
      </c>
      <c r="F420" s="435" t="s">
        <v>274</v>
      </c>
      <c r="G420" s="435" t="s">
        <v>86</v>
      </c>
      <c r="H420" s="435" t="s">
        <v>264</v>
      </c>
      <c r="I420" s="435" t="s">
        <v>7</v>
      </c>
      <c r="J420" s="435" t="s">
        <v>299</v>
      </c>
      <c r="K420" s="437" t="s">
        <v>255</v>
      </c>
      <c r="L420" s="437" t="s">
        <v>307</v>
      </c>
      <c r="M420" s="435" t="s">
        <v>844</v>
      </c>
      <c r="N420" s="435" t="s">
        <v>829</v>
      </c>
      <c r="O420" s="435" t="s">
        <v>214</v>
      </c>
      <c r="R420" s="435" t="s">
        <v>466</v>
      </c>
      <c r="S420" s="435" t="s">
        <v>467</v>
      </c>
      <c r="AC420" s="435" t="s">
        <v>3</v>
      </c>
      <c r="AE420" s="438"/>
      <c r="AF420" s="438"/>
      <c r="AG420" s="438"/>
      <c r="AH420" s="438"/>
      <c r="AI420" s="438"/>
    </row>
    <row r="421" spans="4:35">
      <c r="D421" s="435" t="s">
        <v>79</v>
      </c>
      <c r="E421" s="435" t="s">
        <v>68</v>
      </c>
      <c r="F421" s="435" t="s">
        <v>274</v>
      </c>
      <c r="G421" s="435" t="s">
        <v>86</v>
      </c>
      <c r="H421" s="435" t="s">
        <v>264</v>
      </c>
      <c r="I421" s="435" t="s">
        <v>7</v>
      </c>
      <c r="J421" s="435" t="s">
        <v>299</v>
      </c>
      <c r="K421" s="437" t="s">
        <v>255</v>
      </c>
      <c r="L421" s="437" t="s">
        <v>307</v>
      </c>
      <c r="M421" s="435" t="s">
        <v>844</v>
      </c>
      <c r="N421" s="435" t="s">
        <v>829</v>
      </c>
      <c r="O421" s="435" t="s">
        <v>214</v>
      </c>
      <c r="R421" s="435" t="s">
        <v>468</v>
      </c>
      <c r="S421" s="435" t="s">
        <v>469</v>
      </c>
      <c r="AC421" s="435" t="s">
        <v>3</v>
      </c>
      <c r="AE421" s="438"/>
      <c r="AF421" s="438"/>
      <c r="AG421" s="438"/>
      <c r="AH421" s="438"/>
      <c r="AI421" s="438"/>
    </row>
    <row r="422" spans="4:35">
      <c r="D422" s="435" t="s">
        <v>79</v>
      </c>
      <c r="E422" s="435" t="s">
        <v>68</v>
      </c>
      <c r="F422" s="435" t="s">
        <v>274</v>
      </c>
      <c r="G422" s="435" t="s">
        <v>86</v>
      </c>
      <c r="H422" s="435" t="s">
        <v>264</v>
      </c>
      <c r="I422" s="435" t="s">
        <v>7</v>
      </c>
      <c r="J422" s="435" t="s">
        <v>299</v>
      </c>
      <c r="K422" s="437" t="s">
        <v>255</v>
      </c>
      <c r="L422" s="437" t="s">
        <v>307</v>
      </c>
      <c r="M422" s="435" t="s">
        <v>845</v>
      </c>
      <c r="N422" s="435" t="s">
        <v>829</v>
      </c>
      <c r="O422" s="435" t="s">
        <v>214</v>
      </c>
      <c r="R422" s="435" t="s">
        <v>470</v>
      </c>
      <c r="S422" s="435" t="s">
        <v>471</v>
      </c>
      <c r="AC422" s="435" t="s">
        <v>3</v>
      </c>
      <c r="AE422" s="438"/>
      <c r="AF422" s="438"/>
      <c r="AG422" s="438"/>
      <c r="AH422" s="438"/>
      <c r="AI422" s="438"/>
    </row>
    <row r="423" spans="4:35">
      <c r="D423" s="435" t="s">
        <v>79</v>
      </c>
      <c r="E423" s="435" t="s">
        <v>68</v>
      </c>
      <c r="F423" s="435" t="s">
        <v>274</v>
      </c>
      <c r="G423" s="435" t="s">
        <v>86</v>
      </c>
      <c r="H423" s="435" t="s">
        <v>264</v>
      </c>
      <c r="I423" s="435" t="s">
        <v>7</v>
      </c>
      <c r="J423" s="435" t="s">
        <v>299</v>
      </c>
      <c r="K423" s="437" t="s">
        <v>255</v>
      </c>
      <c r="L423" s="437" t="s">
        <v>307</v>
      </c>
      <c r="M423" s="435" t="s">
        <v>845</v>
      </c>
      <c r="N423" s="435" t="s">
        <v>829</v>
      </c>
      <c r="O423" s="435" t="s">
        <v>214</v>
      </c>
      <c r="R423" s="435" t="s">
        <v>472</v>
      </c>
      <c r="S423" s="435" t="s">
        <v>473</v>
      </c>
      <c r="AC423" s="435" t="s">
        <v>3</v>
      </c>
      <c r="AE423" s="438"/>
      <c r="AF423" s="438"/>
      <c r="AG423" s="438"/>
      <c r="AH423" s="438"/>
      <c r="AI423" s="438"/>
    </row>
    <row r="424" spans="4:35">
      <c r="D424" s="435" t="s">
        <v>79</v>
      </c>
      <c r="E424" s="435" t="s">
        <v>68</v>
      </c>
      <c r="F424" s="435" t="s">
        <v>274</v>
      </c>
      <c r="G424" s="435" t="s">
        <v>86</v>
      </c>
      <c r="H424" s="435" t="s">
        <v>264</v>
      </c>
      <c r="I424" s="435" t="s">
        <v>7</v>
      </c>
      <c r="J424" s="435" t="s">
        <v>299</v>
      </c>
      <c r="K424" s="437" t="s">
        <v>255</v>
      </c>
      <c r="L424" s="437" t="s">
        <v>307</v>
      </c>
      <c r="M424" s="435" t="s">
        <v>845</v>
      </c>
      <c r="N424" s="435" t="s">
        <v>829</v>
      </c>
      <c r="O424" s="435" t="s">
        <v>214</v>
      </c>
      <c r="R424" s="435" t="s">
        <v>474</v>
      </c>
      <c r="S424" s="435" t="s">
        <v>475</v>
      </c>
      <c r="AC424" s="435" t="s">
        <v>3</v>
      </c>
      <c r="AE424" s="438"/>
      <c r="AF424" s="438"/>
      <c r="AG424" s="438"/>
      <c r="AH424" s="438"/>
      <c r="AI424" s="438"/>
    </row>
    <row r="425" spans="4:35">
      <c r="D425" s="435" t="s">
        <v>79</v>
      </c>
      <c r="E425" s="435" t="s">
        <v>68</v>
      </c>
      <c r="F425" s="435" t="s">
        <v>274</v>
      </c>
      <c r="G425" s="435" t="s">
        <v>86</v>
      </c>
      <c r="H425" s="435" t="s">
        <v>264</v>
      </c>
      <c r="I425" s="435" t="s">
        <v>7</v>
      </c>
      <c r="J425" s="435" t="s">
        <v>299</v>
      </c>
      <c r="K425" s="437" t="s">
        <v>255</v>
      </c>
      <c r="L425" s="437" t="s">
        <v>307</v>
      </c>
      <c r="M425" s="435" t="s">
        <v>845</v>
      </c>
      <c r="N425" s="435" t="s">
        <v>829</v>
      </c>
      <c r="O425" s="435" t="s">
        <v>214</v>
      </c>
      <c r="R425" s="435" t="s">
        <v>476</v>
      </c>
      <c r="S425" s="435" t="s">
        <v>477</v>
      </c>
      <c r="AC425" s="435" t="s">
        <v>3</v>
      </c>
      <c r="AE425" s="438"/>
      <c r="AF425" s="438"/>
      <c r="AG425" s="438"/>
      <c r="AH425" s="438"/>
      <c r="AI425" s="438"/>
    </row>
    <row r="426" spans="4:35">
      <c r="D426" s="435" t="s">
        <v>79</v>
      </c>
      <c r="E426" s="435" t="s">
        <v>68</v>
      </c>
      <c r="F426" s="435" t="s">
        <v>274</v>
      </c>
      <c r="G426" s="435" t="s">
        <v>86</v>
      </c>
      <c r="H426" s="435" t="s">
        <v>264</v>
      </c>
      <c r="I426" s="435" t="s">
        <v>7</v>
      </c>
      <c r="J426" s="435" t="s">
        <v>299</v>
      </c>
      <c r="K426" s="437" t="s">
        <v>255</v>
      </c>
      <c r="L426" s="437" t="s">
        <v>307</v>
      </c>
      <c r="M426" s="435" t="s">
        <v>845</v>
      </c>
      <c r="N426" s="435" t="s">
        <v>829</v>
      </c>
      <c r="O426" s="435" t="s">
        <v>214</v>
      </c>
      <c r="R426" s="435" t="s">
        <v>478</v>
      </c>
      <c r="S426" s="435" t="s">
        <v>479</v>
      </c>
      <c r="AC426" s="435" t="s">
        <v>3</v>
      </c>
      <c r="AE426" s="438"/>
      <c r="AF426" s="438"/>
      <c r="AG426" s="438"/>
      <c r="AH426" s="438"/>
      <c r="AI426" s="438"/>
    </row>
    <row r="427" spans="4:35">
      <c r="D427" s="435" t="s">
        <v>79</v>
      </c>
      <c r="E427" s="435" t="s">
        <v>68</v>
      </c>
      <c r="F427" s="435" t="s">
        <v>274</v>
      </c>
      <c r="G427" s="435" t="s">
        <v>86</v>
      </c>
      <c r="H427" s="435" t="s">
        <v>264</v>
      </c>
      <c r="I427" s="435" t="s">
        <v>7</v>
      </c>
      <c r="J427" s="435" t="s">
        <v>299</v>
      </c>
      <c r="K427" s="437" t="s">
        <v>255</v>
      </c>
      <c r="L427" s="437" t="s">
        <v>308</v>
      </c>
      <c r="M427" s="435" t="s">
        <v>846</v>
      </c>
      <c r="N427" s="435" t="s">
        <v>829</v>
      </c>
      <c r="O427" s="435" t="s">
        <v>214</v>
      </c>
      <c r="R427" s="435" t="s">
        <v>480</v>
      </c>
      <c r="S427" s="435" t="s">
        <v>481</v>
      </c>
      <c r="AC427" s="435" t="s">
        <v>3</v>
      </c>
      <c r="AE427" s="438"/>
      <c r="AF427" s="438"/>
      <c r="AG427" s="438"/>
      <c r="AH427" s="438"/>
      <c r="AI427" s="438"/>
    </row>
    <row r="428" spans="4:35">
      <c r="D428" s="435" t="s">
        <v>79</v>
      </c>
      <c r="E428" s="435" t="s">
        <v>68</v>
      </c>
      <c r="F428" s="435" t="s">
        <v>274</v>
      </c>
      <c r="G428" s="435" t="s">
        <v>86</v>
      </c>
      <c r="H428" s="435" t="s">
        <v>264</v>
      </c>
      <c r="I428" s="435" t="s">
        <v>7</v>
      </c>
      <c r="J428" s="435" t="s">
        <v>299</v>
      </c>
      <c r="K428" s="437" t="s">
        <v>255</v>
      </c>
      <c r="L428" s="437" t="s">
        <v>308</v>
      </c>
      <c r="M428" s="435" t="s">
        <v>846</v>
      </c>
      <c r="N428" s="435" t="s">
        <v>829</v>
      </c>
      <c r="O428" s="435" t="s">
        <v>214</v>
      </c>
      <c r="R428" s="435" t="s">
        <v>482</v>
      </c>
      <c r="S428" s="435" t="s">
        <v>483</v>
      </c>
      <c r="AC428" s="435" t="s">
        <v>3</v>
      </c>
      <c r="AE428" s="438"/>
      <c r="AF428" s="438"/>
      <c r="AG428" s="438"/>
      <c r="AH428" s="438"/>
      <c r="AI428" s="438"/>
    </row>
    <row r="429" spans="4:35">
      <c r="D429" s="435" t="s">
        <v>79</v>
      </c>
      <c r="E429" s="435" t="s">
        <v>68</v>
      </c>
      <c r="F429" s="435" t="s">
        <v>274</v>
      </c>
      <c r="G429" s="435" t="s">
        <v>86</v>
      </c>
      <c r="H429" s="435" t="s">
        <v>264</v>
      </c>
      <c r="I429" s="435" t="s">
        <v>7</v>
      </c>
      <c r="J429" s="435" t="s">
        <v>299</v>
      </c>
      <c r="K429" s="437" t="s">
        <v>255</v>
      </c>
      <c r="L429" s="437" t="s">
        <v>308</v>
      </c>
      <c r="M429" s="435" t="s">
        <v>846</v>
      </c>
      <c r="N429" s="435" t="s">
        <v>829</v>
      </c>
      <c r="O429" s="435" t="s">
        <v>214</v>
      </c>
      <c r="R429" s="435" t="s">
        <v>484</v>
      </c>
      <c r="S429" s="435" t="s">
        <v>485</v>
      </c>
      <c r="AC429" s="435" t="s">
        <v>3</v>
      </c>
      <c r="AE429" s="438"/>
      <c r="AF429" s="438"/>
      <c r="AG429" s="438"/>
      <c r="AH429" s="438"/>
      <c r="AI429" s="438"/>
    </row>
    <row r="430" spans="4:35">
      <c r="D430" s="435" t="s">
        <v>79</v>
      </c>
      <c r="E430" s="435" t="s">
        <v>68</v>
      </c>
      <c r="F430" s="435" t="s">
        <v>274</v>
      </c>
      <c r="G430" s="435" t="s">
        <v>86</v>
      </c>
      <c r="H430" s="435" t="s">
        <v>264</v>
      </c>
      <c r="I430" s="435" t="s">
        <v>7</v>
      </c>
      <c r="J430" s="435" t="s">
        <v>299</v>
      </c>
      <c r="K430" s="437" t="s">
        <v>255</v>
      </c>
      <c r="L430" s="437" t="s">
        <v>308</v>
      </c>
      <c r="M430" s="435" t="s">
        <v>846</v>
      </c>
      <c r="N430" s="435" t="s">
        <v>829</v>
      </c>
      <c r="O430" s="435" t="s">
        <v>214</v>
      </c>
      <c r="R430" s="435" t="s">
        <v>486</v>
      </c>
      <c r="S430" s="435" t="s">
        <v>487</v>
      </c>
      <c r="AC430" s="435" t="s">
        <v>3</v>
      </c>
      <c r="AE430" s="438"/>
      <c r="AF430" s="438"/>
      <c r="AG430" s="438"/>
      <c r="AH430" s="438"/>
      <c r="AI430" s="438"/>
    </row>
    <row r="431" spans="4:35">
      <c r="D431" s="435" t="s">
        <v>79</v>
      </c>
      <c r="E431" s="435" t="s">
        <v>68</v>
      </c>
      <c r="F431" s="435" t="s">
        <v>274</v>
      </c>
      <c r="G431" s="435" t="s">
        <v>86</v>
      </c>
      <c r="H431" s="435" t="s">
        <v>264</v>
      </c>
      <c r="I431" s="435" t="s">
        <v>7</v>
      </c>
      <c r="J431" s="435" t="s">
        <v>299</v>
      </c>
      <c r="K431" s="437" t="s">
        <v>255</v>
      </c>
      <c r="L431" s="437" t="s">
        <v>308</v>
      </c>
      <c r="M431" s="435" t="s">
        <v>846</v>
      </c>
      <c r="N431" s="435" t="s">
        <v>829</v>
      </c>
      <c r="O431" s="435" t="s">
        <v>214</v>
      </c>
      <c r="R431" s="435" t="s">
        <v>488</v>
      </c>
      <c r="S431" s="435" t="s">
        <v>489</v>
      </c>
      <c r="AC431" s="435" t="s">
        <v>3</v>
      </c>
      <c r="AE431" s="438"/>
      <c r="AF431" s="438"/>
      <c r="AG431" s="438"/>
      <c r="AH431" s="438"/>
      <c r="AI431" s="438"/>
    </row>
    <row r="432" spans="4:35">
      <c r="D432" s="435" t="s">
        <v>79</v>
      </c>
      <c r="E432" s="435" t="s">
        <v>68</v>
      </c>
      <c r="F432" s="435" t="s">
        <v>274</v>
      </c>
      <c r="G432" s="435" t="s">
        <v>86</v>
      </c>
      <c r="H432" s="435" t="s">
        <v>264</v>
      </c>
      <c r="I432" s="435" t="s">
        <v>7</v>
      </c>
      <c r="J432" s="435" t="s">
        <v>299</v>
      </c>
      <c r="K432" s="437" t="s">
        <v>255</v>
      </c>
      <c r="L432" s="437" t="s">
        <v>308</v>
      </c>
      <c r="M432" s="435" t="s">
        <v>846</v>
      </c>
      <c r="N432" s="435" t="s">
        <v>829</v>
      </c>
      <c r="O432" s="435" t="s">
        <v>214</v>
      </c>
      <c r="R432" s="435" t="s">
        <v>490</v>
      </c>
      <c r="S432" s="435" t="s">
        <v>491</v>
      </c>
      <c r="AC432" s="435" t="s">
        <v>3</v>
      </c>
      <c r="AE432" s="438"/>
      <c r="AF432" s="438"/>
      <c r="AG432" s="438"/>
      <c r="AH432" s="438"/>
      <c r="AI432" s="438"/>
    </row>
    <row r="433" spans="4:35">
      <c r="D433" s="435" t="s">
        <v>79</v>
      </c>
      <c r="E433" s="435" t="s">
        <v>68</v>
      </c>
      <c r="F433" s="435" t="s">
        <v>274</v>
      </c>
      <c r="G433" s="435" t="s">
        <v>86</v>
      </c>
      <c r="H433" s="435" t="s">
        <v>264</v>
      </c>
      <c r="I433" s="435" t="s">
        <v>7</v>
      </c>
      <c r="J433" s="435" t="s">
        <v>299</v>
      </c>
      <c r="K433" s="437" t="s">
        <v>255</v>
      </c>
      <c r="L433" s="437" t="s">
        <v>308</v>
      </c>
      <c r="M433" s="435" t="s">
        <v>846</v>
      </c>
      <c r="N433" s="436" t="s">
        <v>2870</v>
      </c>
      <c r="O433" s="435" t="s">
        <v>830</v>
      </c>
      <c r="R433" s="435" t="s">
        <v>492</v>
      </c>
      <c r="S433" s="435" t="s">
        <v>493</v>
      </c>
      <c r="AC433" s="435" t="s">
        <v>3</v>
      </c>
      <c r="AE433" s="438"/>
      <c r="AF433" s="438"/>
      <c r="AG433" s="438"/>
      <c r="AH433" s="438"/>
      <c r="AI433" s="438"/>
    </row>
    <row r="434" spans="4:35">
      <c r="D434" s="435" t="s">
        <v>79</v>
      </c>
      <c r="E434" s="435" t="s">
        <v>68</v>
      </c>
      <c r="F434" s="435" t="s">
        <v>274</v>
      </c>
      <c r="G434" s="435" t="s">
        <v>86</v>
      </c>
      <c r="H434" s="435" t="s">
        <v>264</v>
      </c>
      <c r="I434" s="435" t="s">
        <v>7</v>
      </c>
      <c r="J434" s="435" t="s">
        <v>299</v>
      </c>
      <c r="K434" s="437" t="s">
        <v>255</v>
      </c>
      <c r="L434" s="437" t="s">
        <v>308</v>
      </c>
      <c r="M434" s="435" t="s">
        <v>846</v>
      </c>
      <c r="N434" s="435" t="s">
        <v>829</v>
      </c>
      <c r="O434" s="435" t="s">
        <v>214</v>
      </c>
      <c r="R434" s="435" t="s">
        <v>494</v>
      </c>
      <c r="S434" s="435" t="s">
        <v>495</v>
      </c>
      <c r="AC434" s="435" t="s">
        <v>3</v>
      </c>
      <c r="AE434" s="438"/>
      <c r="AF434" s="438"/>
      <c r="AG434" s="438"/>
      <c r="AH434" s="438"/>
      <c r="AI434" s="438"/>
    </row>
    <row r="435" spans="4:35">
      <c r="D435" s="435" t="s">
        <v>79</v>
      </c>
      <c r="E435" s="435" t="s">
        <v>68</v>
      </c>
      <c r="F435" s="435" t="s">
        <v>274</v>
      </c>
      <c r="G435" s="435" t="s">
        <v>86</v>
      </c>
      <c r="H435" s="435" t="s">
        <v>264</v>
      </c>
      <c r="I435" s="435" t="s">
        <v>7</v>
      </c>
      <c r="J435" s="435" t="s">
        <v>299</v>
      </c>
      <c r="K435" s="437" t="s">
        <v>255</v>
      </c>
      <c r="L435" s="437" t="s">
        <v>308</v>
      </c>
      <c r="M435" s="435" t="s">
        <v>846</v>
      </c>
      <c r="N435" s="435" t="s">
        <v>829</v>
      </c>
      <c r="O435" s="435" t="s">
        <v>214</v>
      </c>
      <c r="R435" s="435" t="s">
        <v>496</v>
      </c>
      <c r="S435" s="435" t="s">
        <v>497</v>
      </c>
      <c r="AC435" s="435" t="s">
        <v>3</v>
      </c>
      <c r="AE435" s="438"/>
      <c r="AF435" s="438"/>
      <c r="AG435" s="438"/>
      <c r="AH435" s="438"/>
      <c r="AI435" s="438"/>
    </row>
    <row r="436" spans="4:35">
      <c r="D436" s="435" t="s">
        <v>79</v>
      </c>
      <c r="E436" s="435" t="s">
        <v>68</v>
      </c>
      <c r="F436" s="435" t="s">
        <v>274</v>
      </c>
      <c r="G436" s="435" t="s">
        <v>86</v>
      </c>
      <c r="H436" s="435" t="s">
        <v>264</v>
      </c>
      <c r="I436" s="435" t="s">
        <v>7</v>
      </c>
      <c r="J436" s="435" t="s">
        <v>299</v>
      </c>
      <c r="K436" s="437" t="s">
        <v>255</v>
      </c>
      <c r="L436" s="437" t="s">
        <v>308</v>
      </c>
      <c r="M436" s="435" t="s">
        <v>846</v>
      </c>
      <c r="N436" s="436" t="s">
        <v>2870</v>
      </c>
      <c r="O436" s="435" t="s">
        <v>830</v>
      </c>
      <c r="R436" s="435" t="s">
        <v>498</v>
      </c>
      <c r="S436" s="435" t="s">
        <v>499</v>
      </c>
      <c r="AC436" s="435" t="s">
        <v>3</v>
      </c>
      <c r="AE436" s="438"/>
      <c r="AF436" s="438"/>
      <c r="AG436" s="438"/>
      <c r="AH436" s="438"/>
      <c r="AI436" s="438"/>
    </row>
    <row r="437" spans="4:35">
      <c r="D437" s="435" t="s">
        <v>79</v>
      </c>
      <c r="E437" s="435" t="s">
        <v>68</v>
      </c>
      <c r="F437" s="435" t="s">
        <v>274</v>
      </c>
      <c r="G437" s="435" t="s">
        <v>86</v>
      </c>
      <c r="H437" s="435" t="s">
        <v>264</v>
      </c>
      <c r="I437" s="435" t="s">
        <v>7</v>
      </c>
      <c r="J437" s="435" t="s">
        <v>299</v>
      </c>
      <c r="K437" s="437" t="s">
        <v>255</v>
      </c>
      <c r="L437" s="437" t="s">
        <v>308</v>
      </c>
      <c r="M437" s="435" t="s">
        <v>846</v>
      </c>
      <c r="N437" s="435" t="s">
        <v>829</v>
      </c>
      <c r="O437" s="435" t="s">
        <v>214</v>
      </c>
      <c r="R437" s="435" t="s">
        <v>500</v>
      </c>
      <c r="S437" s="435" t="s">
        <v>501</v>
      </c>
      <c r="AC437" s="435" t="s">
        <v>3</v>
      </c>
      <c r="AE437" s="438"/>
      <c r="AF437" s="438"/>
      <c r="AG437" s="438"/>
      <c r="AH437" s="438"/>
      <c r="AI437" s="438"/>
    </row>
    <row r="438" spans="4:35">
      <c r="D438" s="435" t="s">
        <v>79</v>
      </c>
      <c r="E438" s="435" t="s">
        <v>68</v>
      </c>
      <c r="F438" s="435" t="s">
        <v>274</v>
      </c>
      <c r="G438" s="435" t="s">
        <v>86</v>
      </c>
      <c r="H438" s="435" t="s">
        <v>264</v>
      </c>
      <c r="I438" s="435" t="s">
        <v>7</v>
      </c>
      <c r="J438" s="435" t="s">
        <v>299</v>
      </c>
      <c r="K438" s="437" t="s">
        <v>255</v>
      </c>
      <c r="L438" s="437" t="s">
        <v>308</v>
      </c>
      <c r="M438" s="435" t="s">
        <v>846</v>
      </c>
      <c r="N438" s="435" t="s">
        <v>829</v>
      </c>
      <c r="O438" s="435" t="s">
        <v>214</v>
      </c>
      <c r="R438" s="435" t="s">
        <v>502</v>
      </c>
      <c r="S438" s="435" t="s">
        <v>503</v>
      </c>
      <c r="AC438" s="435" t="s">
        <v>3</v>
      </c>
      <c r="AE438" s="438"/>
      <c r="AF438" s="438"/>
      <c r="AG438" s="438"/>
      <c r="AH438" s="438"/>
      <c r="AI438" s="438"/>
    </row>
    <row r="439" spans="4:35">
      <c r="D439" s="435" t="s">
        <v>79</v>
      </c>
      <c r="E439" s="435" t="s">
        <v>68</v>
      </c>
      <c r="F439" s="435" t="s">
        <v>274</v>
      </c>
      <c r="G439" s="435" t="s">
        <v>86</v>
      </c>
      <c r="H439" s="435" t="s">
        <v>264</v>
      </c>
      <c r="I439" s="435" t="s">
        <v>7</v>
      </c>
      <c r="J439" s="435" t="s">
        <v>299</v>
      </c>
      <c r="K439" s="437" t="s">
        <v>255</v>
      </c>
      <c r="L439" s="437" t="s">
        <v>308</v>
      </c>
      <c r="M439" s="435" t="s">
        <v>846</v>
      </c>
      <c r="N439" s="436" t="s">
        <v>2870</v>
      </c>
      <c r="O439" s="435" t="s">
        <v>830</v>
      </c>
      <c r="R439" s="435" t="s">
        <v>504</v>
      </c>
      <c r="S439" s="435" t="s">
        <v>485</v>
      </c>
      <c r="AC439" s="435" t="s">
        <v>3</v>
      </c>
      <c r="AE439" s="438"/>
      <c r="AF439" s="438"/>
      <c r="AG439" s="438"/>
      <c r="AH439" s="438"/>
      <c r="AI439" s="438"/>
    </row>
    <row r="440" spans="4:35">
      <c r="D440" s="435" t="s">
        <v>79</v>
      </c>
      <c r="E440" s="435" t="s">
        <v>68</v>
      </c>
      <c r="F440" s="435" t="s">
        <v>274</v>
      </c>
      <c r="G440" s="435" t="s">
        <v>86</v>
      </c>
      <c r="H440" s="435" t="s">
        <v>264</v>
      </c>
      <c r="I440" s="435" t="s">
        <v>7</v>
      </c>
      <c r="J440" s="435" t="s">
        <v>299</v>
      </c>
      <c r="K440" s="437" t="s">
        <v>255</v>
      </c>
      <c r="L440" s="437" t="s">
        <v>308</v>
      </c>
      <c r="M440" s="435" t="s">
        <v>846</v>
      </c>
      <c r="N440" s="436" t="s">
        <v>2870</v>
      </c>
      <c r="O440" s="435" t="s">
        <v>830</v>
      </c>
      <c r="R440" s="435" t="s">
        <v>505</v>
      </c>
      <c r="S440" s="435" t="s">
        <v>499</v>
      </c>
      <c r="AC440" s="435" t="s">
        <v>3</v>
      </c>
      <c r="AE440" s="438"/>
      <c r="AF440" s="438"/>
      <c r="AG440" s="438"/>
      <c r="AH440" s="438"/>
      <c r="AI440" s="438"/>
    </row>
    <row r="441" spans="4:35">
      <c r="D441" s="435" t="s">
        <v>79</v>
      </c>
      <c r="E441" s="435" t="s">
        <v>68</v>
      </c>
      <c r="F441" s="435" t="s">
        <v>274</v>
      </c>
      <c r="G441" s="435" t="s">
        <v>86</v>
      </c>
      <c r="H441" s="435" t="s">
        <v>264</v>
      </c>
      <c r="I441" s="435" t="s">
        <v>7</v>
      </c>
      <c r="J441" s="435" t="s">
        <v>299</v>
      </c>
      <c r="K441" s="437" t="s">
        <v>255</v>
      </c>
      <c r="L441" s="437" t="s">
        <v>308</v>
      </c>
      <c r="M441" s="435" t="s">
        <v>846</v>
      </c>
      <c r="N441" s="436" t="s">
        <v>2870</v>
      </c>
      <c r="O441" s="435" t="s">
        <v>830</v>
      </c>
      <c r="R441" s="435" t="s">
        <v>506</v>
      </c>
      <c r="S441" s="435" t="s">
        <v>503</v>
      </c>
      <c r="AC441" s="435" t="s">
        <v>3</v>
      </c>
      <c r="AE441" s="438"/>
      <c r="AF441" s="438"/>
      <c r="AG441" s="438"/>
      <c r="AH441" s="438"/>
      <c r="AI441" s="438"/>
    </row>
    <row r="442" spans="4:35">
      <c r="D442" s="435" t="s">
        <v>79</v>
      </c>
      <c r="E442" s="435" t="s">
        <v>68</v>
      </c>
      <c r="F442" s="435" t="s">
        <v>274</v>
      </c>
      <c r="G442" s="435" t="s">
        <v>86</v>
      </c>
      <c r="H442" s="435" t="s">
        <v>264</v>
      </c>
      <c r="I442" s="435" t="s">
        <v>7</v>
      </c>
      <c r="J442" s="435" t="s">
        <v>299</v>
      </c>
      <c r="K442" s="437" t="s">
        <v>255</v>
      </c>
      <c r="L442" s="437" t="s">
        <v>308</v>
      </c>
      <c r="M442" s="435" t="s">
        <v>846</v>
      </c>
      <c r="N442" s="436" t="s">
        <v>2870</v>
      </c>
      <c r="O442" s="435" t="s">
        <v>830</v>
      </c>
      <c r="R442" s="435" t="s">
        <v>507</v>
      </c>
      <c r="S442" s="435" t="s">
        <v>483</v>
      </c>
      <c r="AC442" s="435" t="s">
        <v>3</v>
      </c>
      <c r="AE442" s="438"/>
      <c r="AF442" s="438"/>
      <c r="AG442" s="438"/>
      <c r="AH442" s="438"/>
      <c r="AI442" s="438"/>
    </row>
    <row r="443" spans="4:35">
      <c r="D443" s="435" t="s">
        <v>79</v>
      </c>
      <c r="E443" s="435" t="s">
        <v>68</v>
      </c>
      <c r="F443" s="435" t="s">
        <v>274</v>
      </c>
      <c r="G443" s="435" t="s">
        <v>86</v>
      </c>
      <c r="H443" s="435" t="s">
        <v>264</v>
      </c>
      <c r="I443" s="435" t="s">
        <v>7</v>
      </c>
      <c r="J443" s="435" t="s">
        <v>299</v>
      </c>
      <c r="K443" s="437" t="s">
        <v>255</v>
      </c>
      <c r="L443" s="437" t="s">
        <v>308</v>
      </c>
      <c r="M443" s="435" t="s">
        <v>846</v>
      </c>
      <c r="N443" s="436" t="s">
        <v>2870</v>
      </c>
      <c r="O443" s="435" t="s">
        <v>830</v>
      </c>
      <c r="R443" s="435" t="s">
        <v>508</v>
      </c>
      <c r="S443" s="435" t="s">
        <v>489</v>
      </c>
      <c r="AC443" s="435" t="s">
        <v>3</v>
      </c>
      <c r="AE443" s="438"/>
      <c r="AF443" s="438"/>
      <c r="AG443" s="438"/>
      <c r="AH443" s="438"/>
      <c r="AI443" s="438"/>
    </row>
    <row r="444" spans="4:35">
      <c r="D444" s="435" t="s">
        <v>79</v>
      </c>
      <c r="E444" s="435" t="s">
        <v>68</v>
      </c>
      <c r="F444" s="435" t="s">
        <v>274</v>
      </c>
      <c r="G444" s="435" t="s">
        <v>86</v>
      </c>
      <c r="H444" s="435" t="s">
        <v>264</v>
      </c>
      <c r="I444" s="435" t="s">
        <v>7</v>
      </c>
      <c r="J444" s="435" t="s">
        <v>299</v>
      </c>
      <c r="K444" s="437" t="s">
        <v>255</v>
      </c>
      <c r="L444" s="437" t="s">
        <v>308</v>
      </c>
      <c r="M444" s="435" t="s">
        <v>846</v>
      </c>
      <c r="N444" s="436" t="s">
        <v>2870</v>
      </c>
      <c r="O444" s="435" t="s">
        <v>830</v>
      </c>
      <c r="R444" s="435" t="s">
        <v>509</v>
      </c>
      <c r="S444" s="435" t="s">
        <v>493</v>
      </c>
      <c r="AC444" s="435" t="s">
        <v>3</v>
      </c>
      <c r="AE444" s="438"/>
      <c r="AF444" s="438"/>
      <c r="AG444" s="438"/>
      <c r="AH444" s="438"/>
      <c r="AI444" s="438"/>
    </row>
    <row r="445" spans="4:35">
      <c r="D445" s="435" t="s">
        <v>79</v>
      </c>
      <c r="E445" s="435" t="s">
        <v>68</v>
      </c>
      <c r="F445" s="435" t="s">
        <v>274</v>
      </c>
      <c r="G445" s="435" t="s">
        <v>86</v>
      </c>
      <c r="H445" s="435" t="s">
        <v>264</v>
      </c>
      <c r="I445" s="435" t="s">
        <v>7</v>
      </c>
      <c r="J445" s="435" t="s">
        <v>299</v>
      </c>
      <c r="K445" s="437" t="s">
        <v>255</v>
      </c>
      <c r="L445" s="437" t="s">
        <v>308</v>
      </c>
      <c r="M445" s="435" t="s">
        <v>846</v>
      </c>
      <c r="N445" s="436" t="s">
        <v>2870</v>
      </c>
      <c r="O445" s="435" t="s">
        <v>830</v>
      </c>
      <c r="R445" s="435" t="s">
        <v>510</v>
      </c>
      <c r="S445" s="435" t="s">
        <v>491</v>
      </c>
      <c r="AC445" s="435" t="s">
        <v>3</v>
      </c>
      <c r="AE445" s="438"/>
      <c r="AF445" s="438"/>
      <c r="AG445" s="438"/>
      <c r="AH445" s="438"/>
      <c r="AI445" s="438"/>
    </row>
    <row r="446" spans="4:35">
      <c r="D446" s="435" t="s">
        <v>79</v>
      </c>
      <c r="E446" s="435" t="s">
        <v>68</v>
      </c>
      <c r="F446" s="435" t="s">
        <v>274</v>
      </c>
      <c r="G446" s="435" t="s">
        <v>86</v>
      </c>
      <c r="H446" s="435" t="s">
        <v>264</v>
      </c>
      <c r="I446" s="435" t="s">
        <v>7</v>
      </c>
      <c r="J446" s="435" t="s">
        <v>299</v>
      </c>
      <c r="K446" s="437" t="s">
        <v>255</v>
      </c>
      <c r="L446" s="437" t="s">
        <v>308</v>
      </c>
      <c r="M446" s="435" t="s">
        <v>846</v>
      </c>
      <c r="N446" s="436" t="s">
        <v>2870</v>
      </c>
      <c r="O446" s="435" t="s">
        <v>830</v>
      </c>
      <c r="R446" s="435" t="s">
        <v>511</v>
      </c>
      <c r="S446" s="435" t="s">
        <v>497</v>
      </c>
      <c r="AC446" s="435" t="s">
        <v>3</v>
      </c>
      <c r="AE446" s="438"/>
      <c r="AF446" s="438"/>
      <c r="AG446" s="438"/>
      <c r="AH446" s="438"/>
      <c r="AI446" s="438"/>
    </row>
    <row r="447" spans="4:35">
      <c r="D447" s="435" t="s">
        <v>79</v>
      </c>
      <c r="E447" s="435" t="s">
        <v>68</v>
      </c>
      <c r="F447" s="435" t="s">
        <v>274</v>
      </c>
      <c r="G447" s="435" t="s">
        <v>86</v>
      </c>
      <c r="H447" s="435" t="s">
        <v>264</v>
      </c>
      <c r="I447" s="435" t="s">
        <v>7</v>
      </c>
      <c r="J447" s="435" t="s">
        <v>299</v>
      </c>
      <c r="K447" s="437" t="s">
        <v>255</v>
      </c>
      <c r="L447" s="437" t="s">
        <v>309</v>
      </c>
      <c r="M447" s="435" t="s">
        <v>847</v>
      </c>
      <c r="N447" s="435" t="s">
        <v>829</v>
      </c>
      <c r="O447" s="435" t="s">
        <v>214</v>
      </c>
      <c r="R447" s="435" t="s">
        <v>512</v>
      </c>
      <c r="S447" s="435" t="s">
        <v>513</v>
      </c>
      <c r="AC447" s="435" t="s">
        <v>3</v>
      </c>
      <c r="AE447" s="438"/>
      <c r="AF447" s="438"/>
      <c r="AG447" s="438"/>
      <c r="AH447" s="438"/>
      <c r="AI447" s="438"/>
    </row>
    <row r="448" spans="4:35">
      <c r="D448" s="435" t="s">
        <v>79</v>
      </c>
      <c r="E448" s="435" t="s">
        <v>68</v>
      </c>
      <c r="F448" s="435" t="s">
        <v>274</v>
      </c>
      <c r="G448" s="435" t="s">
        <v>86</v>
      </c>
      <c r="H448" s="435" t="s">
        <v>264</v>
      </c>
      <c r="I448" s="435" t="s">
        <v>7</v>
      </c>
      <c r="J448" s="435" t="s">
        <v>299</v>
      </c>
      <c r="K448" s="437" t="s">
        <v>255</v>
      </c>
      <c r="L448" s="437" t="s">
        <v>309</v>
      </c>
      <c r="M448" s="435" t="s">
        <v>847</v>
      </c>
      <c r="N448" s="435" t="s">
        <v>829</v>
      </c>
      <c r="O448" s="435" t="s">
        <v>214</v>
      </c>
      <c r="R448" s="435" t="s">
        <v>514</v>
      </c>
      <c r="S448" s="435" t="s">
        <v>515</v>
      </c>
      <c r="AC448" s="435" t="s">
        <v>3</v>
      </c>
      <c r="AE448" s="438"/>
      <c r="AF448" s="438"/>
      <c r="AG448" s="438"/>
      <c r="AH448" s="438"/>
      <c r="AI448" s="438"/>
    </row>
    <row r="449" spans="4:35">
      <c r="D449" s="435" t="s">
        <v>79</v>
      </c>
      <c r="E449" s="435" t="s">
        <v>68</v>
      </c>
      <c r="F449" s="435" t="s">
        <v>274</v>
      </c>
      <c r="G449" s="435" t="s">
        <v>86</v>
      </c>
      <c r="H449" s="435" t="s">
        <v>264</v>
      </c>
      <c r="I449" s="435" t="s">
        <v>7</v>
      </c>
      <c r="J449" s="435" t="s">
        <v>299</v>
      </c>
      <c r="K449" s="437" t="s">
        <v>255</v>
      </c>
      <c r="L449" s="437" t="s">
        <v>309</v>
      </c>
      <c r="M449" s="435" t="s">
        <v>847</v>
      </c>
      <c r="N449" s="435" t="s">
        <v>829</v>
      </c>
      <c r="O449" s="435" t="s">
        <v>214</v>
      </c>
      <c r="R449" s="435" t="s">
        <v>516</v>
      </c>
      <c r="S449" s="435" t="s">
        <v>517</v>
      </c>
      <c r="AC449" s="435" t="s">
        <v>3</v>
      </c>
      <c r="AE449" s="438"/>
      <c r="AF449" s="438"/>
      <c r="AG449" s="438"/>
      <c r="AH449" s="438"/>
      <c r="AI449" s="438"/>
    </row>
    <row r="450" spans="4:35">
      <c r="D450" s="435" t="s">
        <v>79</v>
      </c>
      <c r="E450" s="435" t="s">
        <v>68</v>
      </c>
      <c r="F450" s="435" t="s">
        <v>274</v>
      </c>
      <c r="G450" s="435" t="s">
        <v>86</v>
      </c>
      <c r="H450" s="435" t="s">
        <v>264</v>
      </c>
      <c r="I450" s="435" t="s">
        <v>7</v>
      </c>
      <c r="J450" s="435" t="s">
        <v>299</v>
      </c>
      <c r="K450" s="437" t="s">
        <v>255</v>
      </c>
      <c r="L450" s="437" t="s">
        <v>309</v>
      </c>
      <c r="M450" s="435" t="s">
        <v>847</v>
      </c>
      <c r="N450" s="435" t="s">
        <v>829</v>
      </c>
      <c r="O450" s="435" t="s">
        <v>214</v>
      </c>
      <c r="R450" s="435" t="s">
        <v>518</v>
      </c>
      <c r="S450" s="435" t="s">
        <v>519</v>
      </c>
      <c r="AC450" s="435" t="s">
        <v>3</v>
      </c>
      <c r="AE450" s="438"/>
      <c r="AF450" s="438"/>
      <c r="AG450" s="438"/>
      <c r="AH450" s="438"/>
      <c r="AI450" s="438"/>
    </row>
    <row r="451" spans="4:35">
      <c r="D451" s="435" t="s">
        <v>79</v>
      </c>
      <c r="E451" s="435" t="s">
        <v>68</v>
      </c>
      <c r="F451" s="435" t="s">
        <v>274</v>
      </c>
      <c r="G451" s="435" t="s">
        <v>86</v>
      </c>
      <c r="H451" s="435" t="s">
        <v>264</v>
      </c>
      <c r="I451" s="435" t="s">
        <v>7</v>
      </c>
      <c r="J451" s="435" t="s">
        <v>299</v>
      </c>
      <c r="K451" s="437" t="s">
        <v>255</v>
      </c>
      <c r="L451" s="437" t="s">
        <v>309</v>
      </c>
      <c r="M451" s="435" t="s">
        <v>847</v>
      </c>
      <c r="N451" s="435" t="s">
        <v>829</v>
      </c>
      <c r="O451" s="435" t="s">
        <v>214</v>
      </c>
      <c r="R451" s="435" t="s">
        <v>520</v>
      </c>
      <c r="S451" s="435" t="s">
        <v>513</v>
      </c>
      <c r="AC451" s="435" t="s">
        <v>3</v>
      </c>
      <c r="AE451" s="438"/>
      <c r="AF451" s="438"/>
      <c r="AG451" s="438"/>
      <c r="AH451" s="438"/>
      <c r="AI451" s="438"/>
    </row>
    <row r="452" spans="4:35">
      <c r="D452" s="435" t="s">
        <v>79</v>
      </c>
      <c r="E452" s="435" t="s">
        <v>68</v>
      </c>
      <c r="F452" s="435" t="s">
        <v>274</v>
      </c>
      <c r="G452" s="435" t="s">
        <v>86</v>
      </c>
      <c r="H452" s="435" t="s">
        <v>264</v>
      </c>
      <c r="I452" s="435" t="s">
        <v>7</v>
      </c>
      <c r="J452" s="435" t="s">
        <v>299</v>
      </c>
      <c r="K452" s="437" t="s">
        <v>255</v>
      </c>
      <c r="L452" s="437" t="s">
        <v>309</v>
      </c>
      <c r="M452" s="435" t="s">
        <v>847</v>
      </c>
      <c r="N452" s="435" t="s">
        <v>829</v>
      </c>
      <c r="O452" s="435" t="s">
        <v>214</v>
      </c>
      <c r="R452" s="435" t="s">
        <v>521</v>
      </c>
      <c r="S452" s="435" t="s">
        <v>351</v>
      </c>
      <c r="AC452" s="435" t="s">
        <v>3</v>
      </c>
      <c r="AE452" s="438"/>
      <c r="AF452" s="438"/>
      <c r="AG452" s="438"/>
      <c r="AH452" s="438"/>
      <c r="AI452" s="438"/>
    </row>
    <row r="453" spans="4:35">
      <c r="D453" s="435" t="s">
        <v>79</v>
      </c>
      <c r="E453" s="435" t="s">
        <v>68</v>
      </c>
      <c r="F453" s="435" t="s">
        <v>274</v>
      </c>
      <c r="G453" s="435" t="s">
        <v>86</v>
      </c>
      <c r="H453" s="435" t="s">
        <v>264</v>
      </c>
      <c r="I453" s="435" t="s">
        <v>7</v>
      </c>
      <c r="J453" s="435" t="s">
        <v>299</v>
      </c>
      <c r="K453" s="437" t="s">
        <v>310</v>
      </c>
      <c r="L453" s="437" t="s">
        <v>311</v>
      </c>
      <c r="M453" s="435" t="s">
        <v>848</v>
      </c>
      <c r="N453" s="436" t="s">
        <v>2870</v>
      </c>
      <c r="O453" s="435" t="s">
        <v>830</v>
      </c>
      <c r="R453" s="435" t="s">
        <v>522</v>
      </c>
      <c r="S453" s="435" t="s">
        <v>523</v>
      </c>
      <c r="AC453" s="435" t="s">
        <v>3</v>
      </c>
      <c r="AE453" s="438"/>
      <c r="AF453" s="438"/>
      <c r="AG453" s="438"/>
      <c r="AH453" s="438"/>
      <c r="AI453" s="438"/>
    </row>
    <row r="454" spans="4:35">
      <c r="D454" s="435" t="s">
        <v>79</v>
      </c>
      <c r="E454" s="435" t="s">
        <v>68</v>
      </c>
      <c r="F454" s="435" t="s">
        <v>274</v>
      </c>
      <c r="G454" s="435" t="s">
        <v>86</v>
      </c>
      <c r="H454" s="435" t="s">
        <v>264</v>
      </c>
      <c r="I454" s="435" t="s">
        <v>7</v>
      </c>
      <c r="J454" s="435" t="s">
        <v>299</v>
      </c>
      <c r="K454" s="437" t="s">
        <v>310</v>
      </c>
      <c r="L454" s="437" t="s">
        <v>311</v>
      </c>
      <c r="M454" s="435" t="s">
        <v>848</v>
      </c>
      <c r="N454" s="435" t="s">
        <v>829</v>
      </c>
      <c r="O454" s="435" t="s">
        <v>214</v>
      </c>
      <c r="R454" s="435" t="s">
        <v>524</v>
      </c>
      <c r="S454" s="435" t="s">
        <v>525</v>
      </c>
      <c r="AC454" s="435" t="s">
        <v>3</v>
      </c>
      <c r="AE454" s="438"/>
      <c r="AF454" s="438"/>
      <c r="AG454" s="438"/>
      <c r="AH454" s="438"/>
      <c r="AI454" s="438"/>
    </row>
    <row r="455" spans="4:35">
      <c r="D455" s="435" t="s">
        <v>79</v>
      </c>
      <c r="E455" s="435" t="s">
        <v>68</v>
      </c>
      <c r="F455" s="435" t="s">
        <v>274</v>
      </c>
      <c r="G455" s="435" t="s">
        <v>86</v>
      </c>
      <c r="H455" s="435" t="s">
        <v>264</v>
      </c>
      <c r="I455" s="435" t="s">
        <v>7</v>
      </c>
      <c r="J455" s="435" t="s">
        <v>299</v>
      </c>
      <c r="K455" s="437" t="s">
        <v>310</v>
      </c>
      <c r="L455" s="437" t="s">
        <v>311</v>
      </c>
      <c r="M455" s="435" t="s">
        <v>848</v>
      </c>
      <c r="N455" s="435" t="s">
        <v>829</v>
      </c>
      <c r="O455" s="435" t="s">
        <v>214</v>
      </c>
      <c r="R455" s="435" t="s">
        <v>526</v>
      </c>
      <c r="S455" s="435" t="s">
        <v>527</v>
      </c>
      <c r="AC455" s="435" t="s">
        <v>3</v>
      </c>
      <c r="AE455" s="438"/>
      <c r="AF455" s="438"/>
      <c r="AG455" s="438"/>
      <c r="AH455" s="438"/>
      <c r="AI455" s="438"/>
    </row>
    <row r="456" spans="4:35">
      <c r="D456" s="435" t="s">
        <v>79</v>
      </c>
      <c r="E456" s="435" t="s">
        <v>68</v>
      </c>
      <c r="F456" s="435" t="s">
        <v>274</v>
      </c>
      <c r="G456" s="435" t="s">
        <v>86</v>
      </c>
      <c r="H456" s="435" t="s">
        <v>264</v>
      </c>
      <c r="I456" s="435" t="s">
        <v>7</v>
      </c>
      <c r="J456" s="435" t="s">
        <v>299</v>
      </c>
      <c r="K456" s="437" t="s">
        <v>310</v>
      </c>
      <c r="L456" s="437" t="s">
        <v>311</v>
      </c>
      <c r="M456" s="435" t="s">
        <v>848</v>
      </c>
      <c r="N456" s="435" t="s">
        <v>829</v>
      </c>
      <c r="O456" s="435" t="s">
        <v>214</v>
      </c>
      <c r="R456" s="435" t="s">
        <v>528</v>
      </c>
      <c r="S456" s="435" t="s">
        <v>529</v>
      </c>
      <c r="AC456" s="435" t="s">
        <v>3</v>
      </c>
      <c r="AE456" s="438"/>
      <c r="AF456" s="438"/>
      <c r="AG456" s="438"/>
      <c r="AH456" s="438"/>
      <c r="AI456" s="438"/>
    </row>
    <row r="457" spans="4:35">
      <c r="D457" s="435" t="s">
        <v>79</v>
      </c>
      <c r="E457" s="435" t="s">
        <v>68</v>
      </c>
      <c r="F457" s="435" t="s">
        <v>274</v>
      </c>
      <c r="G457" s="435" t="s">
        <v>86</v>
      </c>
      <c r="H457" s="435" t="s">
        <v>264</v>
      </c>
      <c r="I457" s="435" t="s">
        <v>7</v>
      </c>
      <c r="J457" s="435" t="s">
        <v>299</v>
      </c>
      <c r="K457" s="437" t="s">
        <v>310</v>
      </c>
      <c r="L457" s="437" t="s">
        <v>311</v>
      </c>
      <c r="M457" s="435" t="s">
        <v>848</v>
      </c>
      <c r="N457" s="435" t="s">
        <v>829</v>
      </c>
      <c r="O457" s="435" t="s">
        <v>214</v>
      </c>
      <c r="R457" s="435" t="s">
        <v>530</v>
      </c>
      <c r="S457" s="435" t="s">
        <v>531</v>
      </c>
      <c r="AC457" s="435" t="s">
        <v>3</v>
      </c>
      <c r="AE457" s="438"/>
      <c r="AF457" s="438"/>
      <c r="AG457" s="438"/>
      <c r="AH457" s="438"/>
      <c r="AI457" s="438"/>
    </row>
    <row r="458" spans="4:35">
      <c r="D458" s="435" t="s">
        <v>79</v>
      </c>
      <c r="E458" s="435" t="s">
        <v>68</v>
      </c>
      <c r="F458" s="435" t="s">
        <v>274</v>
      </c>
      <c r="G458" s="435" t="s">
        <v>86</v>
      </c>
      <c r="H458" s="435" t="s">
        <v>264</v>
      </c>
      <c r="I458" s="435" t="s">
        <v>7</v>
      </c>
      <c r="J458" s="435" t="s">
        <v>299</v>
      </c>
      <c r="K458" s="437" t="s">
        <v>310</v>
      </c>
      <c r="L458" s="437" t="s">
        <v>311</v>
      </c>
      <c r="M458" s="435" t="s">
        <v>848</v>
      </c>
      <c r="N458" s="435" t="s">
        <v>829</v>
      </c>
      <c r="O458" s="435" t="s">
        <v>214</v>
      </c>
      <c r="R458" s="435" t="s">
        <v>532</v>
      </c>
      <c r="S458" s="435" t="s">
        <v>533</v>
      </c>
      <c r="AC458" s="435" t="s">
        <v>3</v>
      </c>
      <c r="AE458" s="438"/>
      <c r="AF458" s="438"/>
      <c r="AG458" s="438"/>
      <c r="AH458" s="438"/>
      <c r="AI458" s="438"/>
    </row>
    <row r="459" spans="4:35">
      <c r="D459" s="435" t="s">
        <v>79</v>
      </c>
      <c r="E459" s="435" t="s">
        <v>68</v>
      </c>
      <c r="F459" s="435" t="s">
        <v>274</v>
      </c>
      <c r="G459" s="435" t="s">
        <v>86</v>
      </c>
      <c r="H459" s="435" t="s">
        <v>264</v>
      </c>
      <c r="I459" s="435" t="s">
        <v>7</v>
      </c>
      <c r="J459" s="435" t="s">
        <v>299</v>
      </c>
      <c r="K459" s="437" t="s">
        <v>310</v>
      </c>
      <c r="L459" s="437" t="s">
        <v>311</v>
      </c>
      <c r="M459" s="435" t="s">
        <v>848</v>
      </c>
      <c r="N459" s="435" t="s">
        <v>829</v>
      </c>
      <c r="O459" s="435" t="s">
        <v>214</v>
      </c>
      <c r="R459" s="435" t="s">
        <v>534</v>
      </c>
      <c r="S459" s="435" t="s">
        <v>535</v>
      </c>
      <c r="AC459" s="435" t="s">
        <v>3</v>
      </c>
      <c r="AE459" s="438"/>
      <c r="AF459" s="438"/>
      <c r="AG459" s="438"/>
      <c r="AH459" s="438"/>
      <c r="AI459" s="438"/>
    </row>
    <row r="460" spans="4:35">
      <c r="D460" s="435" t="s">
        <v>79</v>
      </c>
      <c r="E460" s="435" t="s">
        <v>68</v>
      </c>
      <c r="F460" s="435" t="s">
        <v>274</v>
      </c>
      <c r="G460" s="435" t="s">
        <v>86</v>
      </c>
      <c r="H460" s="435" t="s">
        <v>264</v>
      </c>
      <c r="I460" s="435" t="s">
        <v>7</v>
      </c>
      <c r="J460" s="435" t="s">
        <v>299</v>
      </c>
      <c r="K460" s="437" t="s">
        <v>310</v>
      </c>
      <c r="L460" s="437" t="s">
        <v>311</v>
      </c>
      <c r="M460" s="435" t="s">
        <v>848</v>
      </c>
      <c r="N460" s="435" t="s">
        <v>829</v>
      </c>
      <c r="O460" s="435" t="s">
        <v>214</v>
      </c>
      <c r="R460" s="435" t="s">
        <v>536</v>
      </c>
      <c r="S460" s="435" t="s">
        <v>537</v>
      </c>
      <c r="AC460" s="435" t="s">
        <v>3</v>
      </c>
      <c r="AE460" s="438"/>
      <c r="AF460" s="438"/>
      <c r="AG460" s="438"/>
      <c r="AH460" s="438"/>
      <c r="AI460" s="438"/>
    </row>
    <row r="461" spans="4:35">
      <c r="D461" s="435" t="s">
        <v>79</v>
      </c>
      <c r="E461" s="435" t="s">
        <v>68</v>
      </c>
      <c r="F461" s="435" t="s">
        <v>274</v>
      </c>
      <c r="G461" s="435" t="s">
        <v>86</v>
      </c>
      <c r="H461" s="435" t="s">
        <v>264</v>
      </c>
      <c r="I461" s="435" t="s">
        <v>7</v>
      </c>
      <c r="J461" s="435" t="s">
        <v>299</v>
      </c>
      <c r="K461" s="437" t="s">
        <v>310</v>
      </c>
      <c r="L461" s="437" t="s">
        <v>311</v>
      </c>
      <c r="M461" s="435" t="s">
        <v>848</v>
      </c>
      <c r="N461" s="435" t="s">
        <v>829</v>
      </c>
      <c r="O461" s="435" t="s">
        <v>214</v>
      </c>
      <c r="R461" s="435" t="s">
        <v>538</v>
      </c>
      <c r="S461" s="435" t="s">
        <v>539</v>
      </c>
      <c r="AC461" s="435" t="s">
        <v>3</v>
      </c>
      <c r="AE461" s="438"/>
      <c r="AF461" s="438"/>
      <c r="AG461" s="438"/>
      <c r="AH461" s="438"/>
      <c r="AI461" s="438"/>
    </row>
    <row r="462" spans="4:35">
      <c r="D462" s="435" t="s">
        <v>79</v>
      </c>
      <c r="E462" s="435" t="s">
        <v>68</v>
      </c>
      <c r="F462" s="435" t="s">
        <v>274</v>
      </c>
      <c r="G462" s="435" t="s">
        <v>86</v>
      </c>
      <c r="H462" s="435" t="s">
        <v>264</v>
      </c>
      <c r="I462" s="435" t="s">
        <v>7</v>
      </c>
      <c r="J462" s="435" t="s">
        <v>299</v>
      </c>
      <c r="K462" s="437" t="s">
        <v>310</v>
      </c>
      <c r="L462" s="437" t="s">
        <v>311</v>
      </c>
      <c r="M462" s="435" t="s">
        <v>848</v>
      </c>
      <c r="N462" s="435" t="s">
        <v>829</v>
      </c>
      <c r="O462" s="435" t="s">
        <v>214</v>
      </c>
      <c r="R462" s="435" t="s">
        <v>540</v>
      </c>
      <c r="S462" s="435" t="s">
        <v>541</v>
      </c>
      <c r="AC462" s="435" t="s">
        <v>3</v>
      </c>
      <c r="AE462" s="438"/>
      <c r="AF462" s="438"/>
      <c r="AG462" s="438"/>
      <c r="AH462" s="438"/>
      <c r="AI462" s="438"/>
    </row>
    <row r="463" spans="4:35">
      <c r="D463" s="435" t="s">
        <v>79</v>
      </c>
      <c r="E463" s="435" t="s">
        <v>68</v>
      </c>
      <c r="F463" s="435" t="s">
        <v>274</v>
      </c>
      <c r="G463" s="435" t="s">
        <v>86</v>
      </c>
      <c r="H463" s="435" t="s">
        <v>264</v>
      </c>
      <c r="I463" s="435" t="s">
        <v>7</v>
      </c>
      <c r="J463" s="435" t="s">
        <v>299</v>
      </c>
      <c r="K463" s="437" t="s">
        <v>310</v>
      </c>
      <c r="L463" s="437" t="s">
        <v>311</v>
      </c>
      <c r="M463" s="435" t="s">
        <v>848</v>
      </c>
      <c r="N463" s="436" t="s">
        <v>2870</v>
      </c>
      <c r="O463" s="435" t="s">
        <v>830</v>
      </c>
      <c r="R463" s="435" t="s">
        <v>542</v>
      </c>
      <c r="S463" s="435" t="s">
        <v>543</v>
      </c>
      <c r="AC463" s="435" t="s">
        <v>3</v>
      </c>
      <c r="AE463" s="438"/>
      <c r="AF463" s="438"/>
      <c r="AG463" s="438"/>
      <c r="AH463" s="438"/>
      <c r="AI463" s="438"/>
    </row>
    <row r="464" spans="4:35">
      <c r="D464" s="435" t="s">
        <v>79</v>
      </c>
      <c r="E464" s="435" t="s">
        <v>68</v>
      </c>
      <c r="F464" s="435" t="s">
        <v>274</v>
      </c>
      <c r="G464" s="435" t="s">
        <v>86</v>
      </c>
      <c r="H464" s="435" t="s">
        <v>264</v>
      </c>
      <c r="I464" s="435" t="s">
        <v>7</v>
      </c>
      <c r="J464" s="435" t="s">
        <v>299</v>
      </c>
      <c r="K464" s="437" t="s">
        <v>310</v>
      </c>
      <c r="L464" s="437" t="s">
        <v>311</v>
      </c>
      <c r="M464" s="435" t="s">
        <v>848</v>
      </c>
      <c r="N464" s="435" t="s">
        <v>829</v>
      </c>
      <c r="O464" s="435" t="s">
        <v>214</v>
      </c>
      <c r="R464" s="435" t="s">
        <v>544</v>
      </c>
      <c r="S464" s="435" t="s">
        <v>545</v>
      </c>
      <c r="AC464" s="435" t="s">
        <v>3</v>
      </c>
      <c r="AE464" s="438"/>
      <c r="AF464" s="438"/>
      <c r="AG464" s="438"/>
      <c r="AH464" s="438"/>
      <c r="AI464" s="438"/>
    </row>
    <row r="465" spans="4:35">
      <c r="D465" s="435" t="s">
        <v>79</v>
      </c>
      <c r="E465" s="435" t="s">
        <v>68</v>
      </c>
      <c r="F465" s="435" t="s">
        <v>274</v>
      </c>
      <c r="G465" s="435" t="s">
        <v>86</v>
      </c>
      <c r="H465" s="435" t="s">
        <v>264</v>
      </c>
      <c r="I465" s="435" t="s">
        <v>7</v>
      </c>
      <c r="J465" s="435" t="s">
        <v>299</v>
      </c>
      <c r="K465" s="437" t="s">
        <v>310</v>
      </c>
      <c r="L465" s="437" t="s">
        <v>311</v>
      </c>
      <c r="M465" s="435" t="s">
        <v>848</v>
      </c>
      <c r="N465" s="435" t="s">
        <v>828</v>
      </c>
      <c r="O465" s="435" t="s">
        <v>217</v>
      </c>
      <c r="R465" s="435" t="s">
        <v>546</v>
      </c>
      <c r="S465" s="435" t="s">
        <v>547</v>
      </c>
      <c r="AC465" s="435" t="s">
        <v>3</v>
      </c>
      <c r="AE465" s="438"/>
      <c r="AF465" s="438"/>
      <c r="AG465" s="438"/>
      <c r="AH465" s="438"/>
      <c r="AI465" s="438"/>
    </row>
    <row r="466" spans="4:35">
      <c r="D466" s="435" t="s">
        <v>79</v>
      </c>
      <c r="E466" s="435" t="s">
        <v>68</v>
      </c>
      <c r="F466" s="435" t="s">
        <v>274</v>
      </c>
      <c r="G466" s="435" t="s">
        <v>86</v>
      </c>
      <c r="H466" s="435" t="s">
        <v>264</v>
      </c>
      <c r="I466" s="435" t="s">
        <v>7</v>
      </c>
      <c r="J466" s="435" t="s">
        <v>299</v>
      </c>
      <c r="K466" s="437" t="s">
        <v>310</v>
      </c>
      <c r="L466" s="437" t="s">
        <v>311</v>
      </c>
      <c r="M466" s="435" t="s">
        <v>848</v>
      </c>
      <c r="N466" s="435" t="s">
        <v>828</v>
      </c>
      <c r="O466" s="435" t="s">
        <v>217</v>
      </c>
      <c r="R466" s="435" t="s">
        <v>548</v>
      </c>
      <c r="S466" s="435" t="s">
        <v>549</v>
      </c>
      <c r="AC466" s="435" t="s">
        <v>3</v>
      </c>
      <c r="AE466" s="438"/>
      <c r="AF466" s="438"/>
      <c r="AG466" s="438"/>
      <c r="AH466" s="438"/>
      <c r="AI466" s="438"/>
    </row>
    <row r="467" spans="4:35">
      <c r="D467" s="435" t="s">
        <v>79</v>
      </c>
      <c r="E467" s="435" t="s">
        <v>68</v>
      </c>
      <c r="F467" s="435" t="s">
        <v>274</v>
      </c>
      <c r="G467" s="435" t="s">
        <v>86</v>
      </c>
      <c r="H467" s="435" t="s">
        <v>264</v>
      </c>
      <c r="I467" s="435" t="s">
        <v>7</v>
      </c>
      <c r="J467" s="435" t="s">
        <v>299</v>
      </c>
      <c r="K467" s="437" t="s">
        <v>310</v>
      </c>
      <c r="L467" s="437" t="s">
        <v>311</v>
      </c>
      <c r="M467" s="435" t="s">
        <v>848</v>
      </c>
      <c r="N467" s="435" t="s">
        <v>828</v>
      </c>
      <c r="O467" s="435" t="s">
        <v>217</v>
      </c>
      <c r="R467" s="435" t="s">
        <v>550</v>
      </c>
      <c r="S467" s="435" t="s">
        <v>551</v>
      </c>
      <c r="AC467" s="435" t="s">
        <v>3</v>
      </c>
      <c r="AE467" s="438"/>
      <c r="AF467" s="438"/>
      <c r="AG467" s="438"/>
      <c r="AH467" s="438"/>
      <c r="AI467" s="438"/>
    </row>
    <row r="468" spans="4:35">
      <c r="D468" s="435" t="s">
        <v>79</v>
      </c>
      <c r="E468" s="435" t="s">
        <v>68</v>
      </c>
      <c r="F468" s="435" t="s">
        <v>274</v>
      </c>
      <c r="G468" s="435" t="s">
        <v>86</v>
      </c>
      <c r="H468" s="435" t="s">
        <v>264</v>
      </c>
      <c r="I468" s="435" t="s">
        <v>7</v>
      </c>
      <c r="J468" s="435" t="s">
        <v>299</v>
      </c>
      <c r="K468" s="437" t="s">
        <v>310</v>
      </c>
      <c r="L468" s="437" t="s">
        <v>311</v>
      </c>
      <c r="M468" s="435" t="s">
        <v>848</v>
      </c>
      <c r="N468" s="436" t="s">
        <v>2870</v>
      </c>
      <c r="O468" s="435" t="s">
        <v>830</v>
      </c>
      <c r="R468" s="435" t="s">
        <v>552</v>
      </c>
      <c r="S468" s="435" t="s">
        <v>553</v>
      </c>
      <c r="AC468" s="435" t="s">
        <v>3</v>
      </c>
      <c r="AE468" s="438"/>
      <c r="AF468" s="438"/>
      <c r="AG468" s="438"/>
      <c r="AH468" s="438"/>
      <c r="AI468" s="438"/>
    </row>
    <row r="469" spans="4:35">
      <c r="D469" s="435" t="s">
        <v>79</v>
      </c>
      <c r="E469" s="435" t="s">
        <v>68</v>
      </c>
      <c r="F469" s="435" t="s">
        <v>274</v>
      </c>
      <c r="G469" s="435" t="s">
        <v>86</v>
      </c>
      <c r="H469" s="435" t="s">
        <v>264</v>
      </c>
      <c r="I469" s="435" t="s">
        <v>7</v>
      </c>
      <c r="J469" s="435" t="s">
        <v>299</v>
      </c>
      <c r="K469" s="437" t="s">
        <v>310</v>
      </c>
      <c r="L469" s="437" t="s">
        <v>311</v>
      </c>
      <c r="M469" s="435" t="s">
        <v>848</v>
      </c>
      <c r="N469" s="435" t="s">
        <v>828</v>
      </c>
      <c r="O469" s="435" t="s">
        <v>217</v>
      </c>
      <c r="R469" s="435" t="s">
        <v>554</v>
      </c>
      <c r="S469" s="435" t="s">
        <v>555</v>
      </c>
      <c r="AC469" s="435" t="s">
        <v>3</v>
      </c>
      <c r="AE469" s="438"/>
      <c r="AF469" s="438"/>
      <c r="AG469" s="438"/>
      <c r="AH469" s="438"/>
      <c r="AI469" s="438"/>
    </row>
    <row r="470" spans="4:35">
      <c r="D470" s="435" t="s">
        <v>79</v>
      </c>
      <c r="E470" s="435" t="s">
        <v>68</v>
      </c>
      <c r="F470" s="435" t="s">
        <v>274</v>
      </c>
      <c r="G470" s="435" t="s">
        <v>86</v>
      </c>
      <c r="H470" s="435" t="s">
        <v>264</v>
      </c>
      <c r="I470" s="435" t="s">
        <v>7</v>
      </c>
      <c r="J470" s="435" t="s">
        <v>299</v>
      </c>
      <c r="K470" s="437" t="s">
        <v>310</v>
      </c>
      <c r="L470" s="437" t="s">
        <v>311</v>
      </c>
      <c r="M470" s="435" t="s">
        <v>848</v>
      </c>
      <c r="N470" s="435" t="s">
        <v>828</v>
      </c>
      <c r="O470" s="435" t="s">
        <v>217</v>
      </c>
      <c r="R470" s="435" t="s">
        <v>556</v>
      </c>
      <c r="S470" s="435" t="s">
        <v>557</v>
      </c>
      <c r="AC470" s="435" t="s">
        <v>3</v>
      </c>
      <c r="AE470" s="438"/>
      <c r="AF470" s="438"/>
      <c r="AG470" s="438"/>
      <c r="AH470" s="438"/>
      <c r="AI470" s="438"/>
    </row>
    <row r="471" spans="4:35">
      <c r="D471" s="435" t="s">
        <v>79</v>
      </c>
      <c r="E471" s="435" t="s">
        <v>68</v>
      </c>
      <c r="F471" s="435" t="s">
        <v>274</v>
      </c>
      <c r="G471" s="435" t="s">
        <v>86</v>
      </c>
      <c r="H471" s="435" t="s">
        <v>264</v>
      </c>
      <c r="I471" s="435" t="s">
        <v>7</v>
      </c>
      <c r="J471" s="435" t="s">
        <v>299</v>
      </c>
      <c r="K471" s="437" t="s">
        <v>310</v>
      </c>
      <c r="L471" s="437" t="s">
        <v>311</v>
      </c>
      <c r="M471" s="435" t="s">
        <v>848</v>
      </c>
      <c r="N471" s="435" t="s">
        <v>828</v>
      </c>
      <c r="O471" s="435" t="s">
        <v>217</v>
      </c>
      <c r="R471" s="435" t="s">
        <v>558</v>
      </c>
      <c r="S471" s="435" t="s">
        <v>559</v>
      </c>
      <c r="AC471" s="435" t="s">
        <v>3</v>
      </c>
      <c r="AE471" s="438"/>
      <c r="AF471" s="438"/>
      <c r="AG471" s="438"/>
      <c r="AH471" s="438"/>
      <c r="AI471" s="438"/>
    </row>
    <row r="472" spans="4:35">
      <c r="D472" s="435" t="s">
        <v>79</v>
      </c>
      <c r="E472" s="435" t="s">
        <v>68</v>
      </c>
      <c r="F472" s="435" t="s">
        <v>274</v>
      </c>
      <c r="G472" s="435" t="s">
        <v>86</v>
      </c>
      <c r="H472" s="435" t="s">
        <v>264</v>
      </c>
      <c r="I472" s="435" t="s">
        <v>7</v>
      </c>
      <c r="J472" s="435" t="s">
        <v>299</v>
      </c>
      <c r="K472" s="437" t="s">
        <v>310</v>
      </c>
      <c r="L472" s="437" t="s">
        <v>311</v>
      </c>
      <c r="M472" s="435" t="s">
        <v>848</v>
      </c>
      <c r="N472" s="435" t="s">
        <v>828</v>
      </c>
      <c r="O472" s="435" t="s">
        <v>217</v>
      </c>
      <c r="R472" s="435" t="s">
        <v>560</v>
      </c>
      <c r="S472" s="435" t="s">
        <v>561</v>
      </c>
      <c r="AC472" s="435" t="s">
        <v>3</v>
      </c>
      <c r="AE472" s="438"/>
      <c r="AF472" s="438"/>
      <c r="AG472" s="438"/>
      <c r="AH472" s="438"/>
      <c r="AI472" s="438"/>
    </row>
    <row r="473" spans="4:35">
      <c r="D473" s="435" t="s">
        <v>79</v>
      </c>
      <c r="E473" s="435" t="s">
        <v>68</v>
      </c>
      <c r="F473" s="435" t="s">
        <v>274</v>
      </c>
      <c r="G473" s="435" t="s">
        <v>86</v>
      </c>
      <c r="H473" s="435" t="s">
        <v>264</v>
      </c>
      <c r="I473" s="435" t="s">
        <v>7</v>
      </c>
      <c r="J473" s="435" t="s">
        <v>299</v>
      </c>
      <c r="K473" s="437" t="s">
        <v>310</v>
      </c>
      <c r="L473" s="437" t="s">
        <v>311</v>
      </c>
      <c r="M473" s="435" t="s">
        <v>848</v>
      </c>
      <c r="N473" s="435" t="s">
        <v>828</v>
      </c>
      <c r="O473" s="435" t="s">
        <v>217</v>
      </c>
      <c r="R473" s="435" t="s">
        <v>562</v>
      </c>
      <c r="S473" s="435" t="s">
        <v>563</v>
      </c>
      <c r="AC473" s="435" t="s">
        <v>3</v>
      </c>
      <c r="AE473" s="438"/>
      <c r="AF473" s="438"/>
      <c r="AG473" s="438"/>
      <c r="AH473" s="438"/>
      <c r="AI473" s="438"/>
    </row>
    <row r="474" spans="4:35">
      <c r="D474" s="435" t="s">
        <v>79</v>
      </c>
      <c r="E474" s="435" t="s">
        <v>68</v>
      </c>
      <c r="F474" s="435" t="s">
        <v>274</v>
      </c>
      <c r="G474" s="435" t="s">
        <v>86</v>
      </c>
      <c r="H474" s="435" t="s">
        <v>264</v>
      </c>
      <c r="I474" s="435" t="s">
        <v>7</v>
      </c>
      <c r="J474" s="435" t="s">
        <v>299</v>
      </c>
      <c r="K474" s="437" t="s">
        <v>310</v>
      </c>
      <c r="L474" s="437" t="s">
        <v>311</v>
      </c>
      <c r="M474" s="435" t="s">
        <v>848</v>
      </c>
      <c r="N474" s="436" t="s">
        <v>2870</v>
      </c>
      <c r="O474" s="435" t="s">
        <v>830</v>
      </c>
      <c r="R474" s="435" t="s">
        <v>564</v>
      </c>
      <c r="S474" s="435" t="s">
        <v>565</v>
      </c>
      <c r="AC474" s="435" t="s">
        <v>3</v>
      </c>
      <c r="AE474" s="438"/>
      <c r="AF474" s="438"/>
      <c r="AG474" s="438"/>
      <c r="AH474" s="438"/>
      <c r="AI474" s="438"/>
    </row>
    <row r="475" spans="4:35">
      <c r="D475" s="435" t="s">
        <v>79</v>
      </c>
      <c r="E475" s="435" t="s">
        <v>68</v>
      </c>
      <c r="F475" s="435" t="s">
        <v>274</v>
      </c>
      <c r="G475" s="435" t="s">
        <v>86</v>
      </c>
      <c r="H475" s="435" t="s">
        <v>264</v>
      </c>
      <c r="I475" s="435" t="s">
        <v>7</v>
      </c>
      <c r="J475" s="435" t="s">
        <v>299</v>
      </c>
      <c r="K475" s="437" t="s">
        <v>310</v>
      </c>
      <c r="L475" s="437" t="s">
        <v>311</v>
      </c>
      <c r="M475" s="435" t="s">
        <v>848</v>
      </c>
      <c r="N475" s="436" t="s">
        <v>2870</v>
      </c>
      <c r="O475" s="435" t="s">
        <v>830</v>
      </c>
      <c r="R475" s="435" t="s">
        <v>566</v>
      </c>
      <c r="S475" s="435" t="s">
        <v>567</v>
      </c>
      <c r="AC475" s="435" t="s">
        <v>3</v>
      </c>
      <c r="AE475" s="438"/>
      <c r="AF475" s="438"/>
      <c r="AG475" s="438"/>
      <c r="AH475" s="438"/>
      <c r="AI475" s="438"/>
    </row>
    <row r="476" spans="4:35">
      <c r="D476" s="435" t="s">
        <v>79</v>
      </c>
      <c r="E476" s="435" t="s">
        <v>68</v>
      </c>
      <c r="F476" s="435" t="s">
        <v>274</v>
      </c>
      <c r="G476" s="435" t="s">
        <v>86</v>
      </c>
      <c r="H476" s="435" t="s">
        <v>264</v>
      </c>
      <c r="I476" s="435" t="s">
        <v>7</v>
      </c>
      <c r="J476" s="435" t="s">
        <v>299</v>
      </c>
      <c r="K476" s="437" t="s">
        <v>310</v>
      </c>
      <c r="L476" s="437" t="s">
        <v>311</v>
      </c>
      <c r="M476" s="435" t="s">
        <v>848</v>
      </c>
      <c r="N476" s="435" t="s">
        <v>828</v>
      </c>
      <c r="O476" s="435" t="s">
        <v>217</v>
      </c>
      <c r="R476" s="435" t="s">
        <v>568</v>
      </c>
      <c r="S476" s="435" t="s">
        <v>569</v>
      </c>
      <c r="AC476" s="435" t="s">
        <v>3</v>
      </c>
      <c r="AE476" s="438"/>
      <c r="AF476" s="438"/>
      <c r="AG476" s="438"/>
      <c r="AH476" s="438"/>
      <c r="AI476" s="438"/>
    </row>
    <row r="477" spans="4:35">
      <c r="D477" s="435" t="s">
        <v>79</v>
      </c>
      <c r="E477" s="435" t="s">
        <v>68</v>
      </c>
      <c r="F477" s="435" t="s">
        <v>274</v>
      </c>
      <c r="G477" s="435" t="s">
        <v>86</v>
      </c>
      <c r="H477" s="435" t="s">
        <v>264</v>
      </c>
      <c r="I477" s="435" t="s">
        <v>7</v>
      </c>
      <c r="J477" s="435" t="s">
        <v>299</v>
      </c>
      <c r="K477" s="437" t="s">
        <v>310</v>
      </c>
      <c r="L477" s="437" t="s">
        <v>311</v>
      </c>
      <c r="M477" s="435" t="s">
        <v>848</v>
      </c>
      <c r="N477" s="435" t="s">
        <v>829</v>
      </c>
      <c r="O477" s="435" t="s">
        <v>214</v>
      </c>
      <c r="R477" s="435" t="s">
        <v>570</v>
      </c>
      <c r="S477" s="435" t="s">
        <v>571</v>
      </c>
      <c r="AC477" s="435" t="s">
        <v>3</v>
      </c>
      <c r="AE477" s="438"/>
      <c r="AF477" s="438"/>
      <c r="AG477" s="438"/>
      <c r="AH477" s="438"/>
      <c r="AI477" s="438"/>
    </row>
    <row r="478" spans="4:35">
      <c r="D478" s="435" t="s">
        <v>79</v>
      </c>
      <c r="E478" s="435" t="s">
        <v>68</v>
      </c>
      <c r="F478" s="435" t="s">
        <v>274</v>
      </c>
      <c r="G478" s="435" t="s">
        <v>86</v>
      </c>
      <c r="H478" s="435" t="s">
        <v>264</v>
      </c>
      <c r="I478" s="435" t="s">
        <v>7</v>
      </c>
      <c r="J478" s="435" t="s">
        <v>299</v>
      </c>
      <c r="K478" s="437" t="s">
        <v>310</v>
      </c>
      <c r="L478" s="437" t="s">
        <v>311</v>
      </c>
      <c r="M478" s="435" t="s">
        <v>848</v>
      </c>
      <c r="N478" s="435" t="s">
        <v>829</v>
      </c>
      <c r="O478" s="435" t="s">
        <v>214</v>
      </c>
      <c r="R478" s="435" t="s">
        <v>572</v>
      </c>
      <c r="S478" s="435" t="s">
        <v>573</v>
      </c>
      <c r="AC478" s="435" t="s">
        <v>3</v>
      </c>
      <c r="AE478" s="438"/>
      <c r="AF478" s="438"/>
      <c r="AG478" s="438"/>
      <c r="AH478" s="438"/>
      <c r="AI478" s="438"/>
    </row>
    <row r="479" spans="4:35">
      <c r="D479" s="435" t="s">
        <v>79</v>
      </c>
      <c r="E479" s="435" t="s">
        <v>68</v>
      </c>
      <c r="F479" s="435" t="s">
        <v>274</v>
      </c>
      <c r="G479" s="435" t="s">
        <v>86</v>
      </c>
      <c r="H479" s="435" t="s">
        <v>264</v>
      </c>
      <c r="I479" s="435" t="s">
        <v>7</v>
      </c>
      <c r="J479" s="435" t="s">
        <v>299</v>
      </c>
      <c r="K479" s="437" t="s">
        <v>310</v>
      </c>
      <c r="L479" s="437" t="s">
        <v>311</v>
      </c>
      <c r="M479" s="435" t="s">
        <v>848</v>
      </c>
      <c r="N479" s="435" t="s">
        <v>829</v>
      </c>
      <c r="O479" s="435" t="s">
        <v>214</v>
      </c>
      <c r="R479" s="435" t="s">
        <v>574</v>
      </c>
      <c r="S479" s="435" t="s">
        <v>575</v>
      </c>
      <c r="AC479" s="435" t="s">
        <v>3</v>
      </c>
      <c r="AE479" s="438"/>
      <c r="AF479" s="438"/>
      <c r="AG479" s="438"/>
      <c r="AH479" s="438"/>
      <c r="AI479" s="438"/>
    </row>
    <row r="480" spans="4:35">
      <c r="D480" s="435" t="s">
        <v>79</v>
      </c>
      <c r="E480" s="435" t="s">
        <v>68</v>
      </c>
      <c r="F480" s="435" t="s">
        <v>274</v>
      </c>
      <c r="G480" s="435" t="s">
        <v>86</v>
      </c>
      <c r="H480" s="435" t="s">
        <v>264</v>
      </c>
      <c r="I480" s="435" t="s">
        <v>7</v>
      </c>
      <c r="J480" s="435" t="s">
        <v>299</v>
      </c>
      <c r="K480" s="437" t="s">
        <v>310</v>
      </c>
      <c r="L480" s="437" t="s">
        <v>311</v>
      </c>
      <c r="M480" s="435" t="s">
        <v>848</v>
      </c>
      <c r="N480" s="436" t="s">
        <v>2870</v>
      </c>
      <c r="O480" s="435" t="s">
        <v>830</v>
      </c>
      <c r="R480" s="435" t="s">
        <v>576</v>
      </c>
      <c r="S480" s="435" t="s">
        <v>577</v>
      </c>
      <c r="AC480" s="435" t="s">
        <v>3</v>
      </c>
      <c r="AE480" s="438"/>
      <c r="AF480" s="438"/>
      <c r="AG480" s="438"/>
      <c r="AH480" s="438"/>
      <c r="AI480" s="438"/>
    </row>
    <row r="481" spans="4:35">
      <c r="D481" s="435" t="s">
        <v>79</v>
      </c>
      <c r="E481" s="435" t="s">
        <v>68</v>
      </c>
      <c r="F481" s="435" t="s">
        <v>274</v>
      </c>
      <c r="G481" s="435" t="s">
        <v>86</v>
      </c>
      <c r="H481" s="435" t="s">
        <v>264</v>
      </c>
      <c r="I481" s="435" t="s">
        <v>7</v>
      </c>
      <c r="J481" s="435" t="s">
        <v>299</v>
      </c>
      <c r="K481" s="437" t="s">
        <v>310</v>
      </c>
      <c r="L481" s="437" t="s">
        <v>311</v>
      </c>
      <c r="M481" s="435" t="s">
        <v>848</v>
      </c>
      <c r="N481" s="435" t="s">
        <v>829</v>
      </c>
      <c r="O481" s="435" t="s">
        <v>214</v>
      </c>
      <c r="R481" s="435" t="s">
        <v>578</v>
      </c>
      <c r="S481" s="435" t="s">
        <v>579</v>
      </c>
      <c r="AC481" s="435" t="s">
        <v>3</v>
      </c>
      <c r="AE481" s="438"/>
      <c r="AF481" s="438"/>
      <c r="AG481" s="438"/>
      <c r="AH481" s="438"/>
      <c r="AI481" s="438"/>
    </row>
    <row r="482" spans="4:35">
      <c r="D482" s="435" t="s">
        <v>79</v>
      </c>
      <c r="E482" s="435" t="s">
        <v>68</v>
      </c>
      <c r="F482" s="435" t="s">
        <v>274</v>
      </c>
      <c r="G482" s="435" t="s">
        <v>86</v>
      </c>
      <c r="H482" s="435" t="s">
        <v>264</v>
      </c>
      <c r="I482" s="435" t="s">
        <v>7</v>
      </c>
      <c r="J482" s="435" t="s">
        <v>299</v>
      </c>
      <c r="K482" s="437" t="s">
        <v>310</v>
      </c>
      <c r="L482" s="437" t="s">
        <v>311</v>
      </c>
      <c r="M482" s="435" t="s">
        <v>848</v>
      </c>
      <c r="N482" s="435" t="s">
        <v>829</v>
      </c>
      <c r="O482" s="435" t="s">
        <v>214</v>
      </c>
      <c r="R482" s="435" t="s">
        <v>580</v>
      </c>
      <c r="S482" s="435" t="s">
        <v>581</v>
      </c>
      <c r="AC482" s="435" t="s">
        <v>3</v>
      </c>
      <c r="AE482" s="438"/>
      <c r="AF482" s="438"/>
      <c r="AG482" s="438"/>
      <c r="AH482" s="438"/>
      <c r="AI482" s="438"/>
    </row>
    <row r="483" spans="4:35">
      <c r="D483" s="435" t="s">
        <v>79</v>
      </c>
      <c r="E483" s="435" t="s">
        <v>68</v>
      </c>
      <c r="F483" s="435" t="s">
        <v>274</v>
      </c>
      <c r="G483" s="435" t="s">
        <v>86</v>
      </c>
      <c r="H483" s="435" t="s">
        <v>264</v>
      </c>
      <c r="I483" s="435" t="s">
        <v>7</v>
      </c>
      <c r="J483" s="435" t="s">
        <v>299</v>
      </c>
      <c r="K483" s="437" t="s">
        <v>310</v>
      </c>
      <c r="L483" s="437" t="s">
        <v>311</v>
      </c>
      <c r="M483" s="435" t="s">
        <v>848</v>
      </c>
      <c r="N483" s="436" t="s">
        <v>2870</v>
      </c>
      <c r="O483" s="435" t="s">
        <v>830</v>
      </c>
      <c r="R483" s="435" t="s">
        <v>582</v>
      </c>
      <c r="S483" s="435" t="s">
        <v>583</v>
      </c>
      <c r="AC483" s="435" t="s">
        <v>3</v>
      </c>
      <c r="AE483" s="438"/>
      <c r="AF483" s="438"/>
      <c r="AG483" s="438"/>
      <c r="AH483" s="438"/>
      <c r="AI483" s="438"/>
    </row>
    <row r="484" spans="4:35">
      <c r="D484" s="435" t="s">
        <v>79</v>
      </c>
      <c r="E484" s="435" t="s">
        <v>68</v>
      </c>
      <c r="F484" s="435" t="s">
        <v>274</v>
      </c>
      <c r="G484" s="435" t="s">
        <v>86</v>
      </c>
      <c r="H484" s="435" t="s">
        <v>264</v>
      </c>
      <c r="I484" s="435" t="s">
        <v>7</v>
      </c>
      <c r="J484" s="435" t="s">
        <v>299</v>
      </c>
      <c r="K484" s="437" t="s">
        <v>310</v>
      </c>
      <c r="L484" s="437" t="s">
        <v>311</v>
      </c>
      <c r="M484" s="435" t="s">
        <v>848</v>
      </c>
      <c r="N484" s="435" t="s">
        <v>829</v>
      </c>
      <c r="O484" s="435" t="s">
        <v>214</v>
      </c>
      <c r="R484" s="435" t="s">
        <v>584</v>
      </c>
      <c r="S484" s="435" t="s">
        <v>585</v>
      </c>
      <c r="AC484" s="435" t="s">
        <v>3</v>
      </c>
      <c r="AE484" s="438"/>
      <c r="AF484" s="438"/>
      <c r="AG484" s="438"/>
      <c r="AH484" s="438"/>
      <c r="AI484" s="438"/>
    </row>
    <row r="485" spans="4:35">
      <c r="D485" s="435" t="s">
        <v>79</v>
      </c>
      <c r="E485" s="435" t="s">
        <v>68</v>
      </c>
      <c r="F485" s="435" t="s">
        <v>274</v>
      </c>
      <c r="G485" s="435" t="s">
        <v>86</v>
      </c>
      <c r="H485" s="435" t="s">
        <v>264</v>
      </c>
      <c r="I485" s="435" t="s">
        <v>7</v>
      </c>
      <c r="J485" s="435" t="s">
        <v>299</v>
      </c>
      <c r="K485" s="437" t="s">
        <v>310</v>
      </c>
      <c r="L485" s="437" t="s">
        <v>311</v>
      </c>
      <c r="M485" s="435" t="s">
        <v>848</v>
      </c>
      <c r="N485" s="435" t="s">
        <v>829</v>
      </c>
      <c r="O485" s="435" t="s">
        <v>214</v>
      </c>
      <c r="R485" s="435" t="s">
        <v>586</v>
      </c>
      <c r="S485" s="435" t="s">
        <v>587</v>
      </c>
      <c r="AC485" s="435" t="s">
        <v>3</v>
      </c>
      <c r="AE485" s="438"/>
      <c r="AF485" s="438"/>
      <c r="AG485" s="438"/>
      <c r="AH485" s="438"/>
      <c r="AI485" s="438"/>
    </row>
    <row r="486" spans="4:35">
      <c r="D486" s="435" t="s">
        <v>79</v>
      </c>
      <c r="E486" s="435" t="s">
        <v>68</v>
      </c>
      <c r="F486" s="435" t="s">
        <v>274</v>
      </c>
      <c r="G486" s="435" t="s">
        <v>86</v>
      </c>
      <c r="H486" s="435" t="s">
        <v>264</v>
      </c>
      <c r="I486" s="435" t="s">
        <v>7</v>
      </c>
      <c r="J486" s="435" t="s">
        <v>299</v>
      </c>
      <c r="K486" s="437" t="s">
        <v>310</v>
      </c>
      <c r="L486" s="437" t="s">
        <v>311</v>
      </c>
      <c r="M486" s="435" t="s">
        <v>848</v>
      </c>
      <c r="N486" s="435" t="s">
        <v>829</v>
      </c>
      <c r="O486" s="435" t="s">
        <v>214</v>
      </c>
      <c r="R486" s="435" t="s">
        <v>588</v>
      </c>
      <c r="S486" s="435" t="s">
        <v>589</v>
      </c>
      <c r="AC486" s="435" t="s">
        <v>3</v>
      </c>
      <c r="AE486" s="438"/>
      <c r="AF486" s="438"/>
      <c r="AG486" s="438"/>
      <c r="AH486" s="438"/>
      <c r="AI486" s="438"/>
    </row>
    <row r="487" spans="4:35">
      <c r="D487" s="435" t="s">
        <v>79</v>
      </c>
      <c r="E487" s="435" t="s">
        <v>68</v>
      </c>
      <c r="F487" s="435" t="s">
        <v>274</v>
      </c>
      <c r="G487" s="435" t="s">
        <v>86</v>
      </c>
      <c r="H487" s="435" t="s">
        <v>264</v>
      </c>
      <c r="I487" s="435" t="s">
        <v>7</v>
      </c>
      <c r="J487" s="435" t="s">
        <v>299</v>
      </c>
      <c r="K487" s="437" t="s">
        <v>310</v>
      </c>
      <c r="L487" s="437" t="s">
        <v>311</v>
      </c>
      <c r="M487" s="435" t="s">
        <v>848</v>
      </c>
      <c r="N487" s="436" t="s">
        <v>2870</v>
      </c>
      <c r="O487" s="435" t="s">
        <v>830</v>
      </c>
      <c r="R487" s="435" t="s">
        <v>590</v>
      </c>
      <c r="S487" s="435" t="s">
        <v>591</v>
      </c>
      <c r="AC487" s="435" t="s">
        <v>3</v>
      </c>
      <c r="AE487" s="438"/>
      <c r="AF487" s="438"/>
      <c r="AG487" s="438"/>
      <c r="AH487" s="438"/>
      <c r="AI487" s="438"/>
    </row>
    <row r="488" spans="4:35">
      <c r="D488" s="435" t="s">
        <v>79</v>
      </c>
      <c r="E488" s="435" t="s">
        <v>68</v>
      </c>
      <c r="F488" s="435" t="s">
        <v>274</v>
      </c>
      <c r="G488" s="435" t="s">
        <v>86</v>
      </c>
      <c r="H488" s="435" t="s">
        <v>264</v>
      </c>
      <c r="I488" s="435" t="s">
        <v>7</v>
      </c>
      <c r="J488" s="435" t="s">
        <v>299</v>
      </c>
      <c r="K488" s="437" t="s">
        <v>310</v>
      </c>
      <c r="L488" s="437" t="s">
        <v>311</v>
      </c>
      <c r="M488" s="435" t="s">
        <v>848</v>
      </c>
      <c r="N488" s="436" t="s">
        <v>2870</v>
      </c>
      <c r="O488" s="435" t="s">
        <v>830</v>
      </c>
      <c r="R488" s="435" t="s">
        <v>592</v>
      </c>
      <c r="S488" s="435" t="s">
        <v>579</v>
      </c>
      <c r="AC488" s="435" t="s">
        <v>3</v>
      </c>
      <c r="AE488" s="438"/>
      <c r="AF488" s="438"/>
      <c r="AG488" s="438"/>
      <c r="AH488" s="438"/>
      <c r="AI488" s="438"/>
    </row>
    <row r="489" spans="4:35">
      <c r="D489" s="435" t="s">
        <v>79</v>
      </c>
      <c r="E489" s="435" t="s">
        <v>68</v>
      </c>
      <c r="F489" s="435" t="s">
        <v>274</v>
      </c>
      <c r="G489" s="435" t="s">
        <v>86</v>
      </c>
      <c r="H489" s="435" t="s">
        <v>264</v>
      </c>
      <c r="I489" s="435" t="s">
        <v>7</v>
      </c>
      <c r="J489" s="435" t="s">
        <v>299</v>
      </c>
      <c r="K489" s="437" t="s">
        <v>310</v>
      </c>
      <c r="L489" s="437" t="s">
        <v>311</v>
      </c>
      <c r="M489" s="435" t="s">
        <v>848</v>
      </c>
      <c r="N489" s="436" t="s">
        <v>2870</v>
      </c>
      <c r="O489" s="435" t="s">
        <v>830</v>
      </c>
      <c r="R489" s="435" t="s">
        <v>593</v>
      </c>
      <c r="S489" s="435" t="s">
        <v>577</v>
      </c>
      <c r="AC489" s="435" t="s">
        <v>3</v>
      </c>
      <c r="AE489" s="438"/>
      <c r="AF489" s="438"/>
      <c r="AG489" s="438"/>
      <c r="AH489" s="438"/>
      <c r="AI489" s="438"/>
    </row>
    <row r="490" spans="4:35">
      <c r="D490" s="435" t="s">
        <v>79</v>
      </c>
      <c r="E490" s="435" t="s">
        <v>68</v>
      </c>
      <c r="F490" s="435" t="s">
        <v>274</v>
      </c>
      <c r="G490" s="435" t="s">
        <v>86</v>
      </c>
      <c r="H490" s="435" t="s">
        <v>264</v>
      </c>
      <c r="I490" s="435" t="s">
        <v>7</v>
      </c>
      <c r="J490" s="435" t="s">
        <v>299</v>
      </c>
      <c r="K490" s="437" t="s">
        <v>310</v>
      </c>
      <c r="L490" s="437" t="s">
        <v>311</v>
      </c>
      <c r="M490" s="435" t="s">
        <v>848</v>
      </c>
      <c r="N490" s="436" t="s">
        <v>2870</v>
      </c>
      <c r="O490" s="435" t="s">
        <v>830</v>
      </c>
      <c r="R490" s="435" t="s">
        <v>594</v>
      </c>
      <c r="S490" s="435" t="s">
        <v>581</v>
      </c>
      <c r="AC490" s="435" t="s">
        <v>3</v>
      </c>
      <c r="AE490" s="438"/>
      <c r="AF490" s="438"/>
      <c r="AG490" s="438"/>
      <c r="AH490" s="438"/>
      <c r="AI490" s="438"/>
    </row>
    <row r="491" spans="4:35">
      <c r="D491" s="435" t="s">
        <v>79</v>
      </c>
      <c r="E491" s="435" t="s">
        <v>68</v>
      </c>
      <c r="F491" s="435" t="s">
        <v>274</v>
      </c>
      <c r="G491" s="435" t="s">
        <v>86</v>
      </c>
      <c r="H491" s="435" t="s">
        <v>264</v>
      </c>
      <c r="I491" s="435" t="s">
        <v>7</v>
      </c>
      <c r="J491" s="435" t="s">
        <v>299</v>
      </c>
      <c r="K491" s="437" t="s">
        <v>310</v>
      </c>
      <c r="L491" s="437" t="s">
        <v>311</v>
      </c>
      <c r="M491" s="435" t="s">
        <v>848</v>
      </c>
      <c r="N491" s="436" t="s">
        <v>2870</v>
      </c>
      <c r="O491" s="435" t="s">
        <v>830</v>
      </c>
      <c r="R491" s="435" t="s">
        <v>595</v>
      </c>
      <c r="S491" s="435" t="s">
        <v>596</v>
      </c>
      <c r="AC491" s="435" t="s">
        <v>3</v>
      </c>
      <c r="AE491" s="438"/>
      <c r="AF491" s="438"/>
      <c r="AG491" s="438"/>
      <c r="AH491" s="438"/>
      <c r="AI491" s="438"/>
    </row>
    <row r="492" spans="4:35">
      <c r="D492" s="435" t="s">
        <v>79</v>
      </c>
      <c r="E492" s="435" t="s">
        <v>68</v>
      </c>
      <c r="F492" s="435" t="s">
        <v>274</v>
      </c>
      <c r="G492" s="435" t="s">
        <v>86</v>
      </c>
      <c r="H492" s="435" t="s">
        <v>264</v>
      </c>
      <c r="I492" s="435" t="s">
        <v>7</v>
      </c>
      <c r="J492" s="435" t="s">
        <v>299</v>
      </c>
      <c r="K492" s="437" t="s">
        <v>310</v>
      </c>
      <c r="L492" s="437" t="s">
        <v>311</v>
      </c>
      <c r="M492" s="435" t="s">
        <v>848</v>
      </c>
      <c r="N492" s="436" t="s">
        <v>2870</v>
      </c>
      <c r="O492" s="435" t="s">
        <v>830</v>
      </c>
      <c r="R492" s="435" t="s">
        <v>597</v>
      </c>
      <c r="S492" s="435" t="s">
        <v>598</v>
      </c>
      <c r="AC492" s="435" t="s">
        <v>3</v>
      </c>
      <c r="AE492" s="438"/>
      <c r="AF492" s="438"/>
      <c r="AG492" s="438"/>
      <c r="AH492" s="438"/>
      <c r="AI492" s="438"/>
    </row>
    <row r="493" spans="4:35">
      <c r="D493" s="435" t="s">
        <v>79</v>
      </c>
      <c r="E493" s="435" t="s">
        <v>68</v>
      </c>
      <c r="F493" s="435" t="s">
        <v>274</v>
      </c>
      <c r="G493" s="435" t="s">
        <v>86</v>
      </c>
      <c r="H493" s="435" t="s">
        <v>264</v>
      </c>
      <c r="I493" s="435" t="s">
        <v>7</v>
      </c>
      <c r="J493" s="435" t="s">
        <v>299</v>
      </c>
      <c r="K493" s="437" t="s">
        <v>310</v>
      </c>
      <c r="L493" s="437" t="s">
        <v>311</v>
      </c>
      <c r="M493" s="435" t="s">
        <v>848</v>
      </c>
      <c r="N493" s="436" t="s">
        <v>2870</v>
      </c>
      <c r="O493" s="435" t="s">
        <v>830</v>
      </c>
      <c r="R493" s="435" t="s">
        <v>599</v>
      </c>
      <c r="S493" s="435" t="s">
        <v>529</v>
      </c>
      <c r="AC493" s="435" t="s">
        <v>3</v>
      </c>
      <c r="AE493" s="438"/>
      <c r="AF493" s="438"/>
      <c r="AG493" s="438"/>
      <c r="AH493" s="438"/>
      <c r="AI493" s="438"/>
    </row>
    <row r="494" spans="4:35">
      <c r="D494" s="435" t="s">
        <v>79</v>
      </c>
      <c r="E494" s="435" t="s">
        <v>68</v>
      </c>
      <c r="F494" s="435" t="s">
        <v>274</v>
      </c>
      <c r="G494" s="435" t="s">
        <v>86</v>
      </c>
      <c r="H494" s="435" t="s">
        <v>264</v>
      </c>
      <c r="I494" s="435" t="s">
        <v>7</v>
      </c>
      <c r="J494" s="435" t="s">
        <v>299</v>
      </c>
      <c r="K494" s="437" t="s">
        <v>310</v>
      </c>
      <c r="L494" s="437" t="s">
        <v>311</v>
      </c>
      <c r="M494" s="435" t="s">
        <v>848</v>
      </c>
      <c r="N494" s="436" t="s">
        <v>2870</v>
      </c>
      <c r="O494" s="435" t="s">
        <v>830</v>
      </c>
      <c r="R494" s="435" t="s">
        <v>600</v>
      </c>
      <c r="S494" s="435" t="s">
        <v>527</v>
      </c>
      <c r="AC494" s="435" t="s">
        <v>3</v>
      </c>
      <c r="AE494" s="438"/>
      <c r="AF494" s="438"/>
      <c r="AG494" s="438"/>
      <c r="AH494" s="438"/>
      <c r="AI494" s="438"/>
    </row>
    <row r="495" spans="4:35">
      <c r="D495" s="435" t="s">
        <v>79</v>
      </c>
      <c r="E495" s="435" t="s">
        <v>68</v>
      </c>
      <c r="F495" s="435" t="s">
        <v>274</v>
      </c>
      <c r="G495" s="435" t="s">
        <v>86</v>
      </c>
      <c r="H495" s="435" t="s">
        <v>264</v>
      </c>
      <c r="I495" s="435" t="s">
        <v>7</v>
      </c>
      <c r="J495" s="435" t="s">
        <v>299</v>
      </c>
      <c r="K495" s="437" t="s">
        <v>310</v>
      </c>
      <c r="L495" s="437" t="s">
        <v>311</v>
      </c>
      <c r="M495" s="435" t="s">
        <v>848</v>
      </c>
      <c r="N495" s="436" t="s">
        <v>2870</v>
      </c>
      <c r="O495" s="435" t="s">
        <v>830</v>
      </c>
      <c r="R495" s="435" t="s">
        <v>601</v>
      </c>
      <c r="S495" s="435" t="s">
        <v>531</v>
      </c>
      <c r="AC495" s="435" t="s">
        <v>3</v>
      </c>
      <c r="AE495" s="438"/>
      <c r="AF495" s="438"/>
      <c r="AG495" s="438"/>
      <c r="AH495" s="438"/>
      <c r="AI495" s="438"/>
    </row>
    <row r="496" spans="4:35">
      <c r="D496" s="435" t="s">
        <v>79</v>
      </c>
      <c r="E496" s="435" t="s">
        <v>68</v>
      </c>
      <c r="F496" s="435" t="s">
        <v>274</v>
      </c>
      <c r="G496" s="435" t="s">
        <v>86</v>
      </c>
      <c r="H496" s="435" t="s">
        <v>264</v>
      </c>
      <c r="I496" s="435" t="s">
        <v>7</v>
      </c>
      <c r="J496" s="435" t="s">
        <v>299</v>
      </c>
      <c r="K496" s="437" t="s">
        <v>310</v>
      </c>
      <c r="L496" s="437" t="s">
        <v>311</v>
      </c>
      <c r="M496" s="435" t="s">
        <v>848</v>
      </c>
      <c r="N496" s="436" t="s">
        <v>2870</v>
      </c>
      <c r="O496" s="435" t="s">
        <v>830</v>
      </c>
      <c r="R496" s="435" t="s">
        <v>602</v>
      </c>
      <c r="S496" s="435" t="s">
        <v>535</v>
      </c>
      <c r="AC496" s="435" t="s">
        <v>3</v>
      </c>
      <c r="AE496" s="438"/>
      <c r="AF496" s="438"/>
      <c r="AG496" s="438"/>
      <c r="AH496" s="438"/>
      <c r="AI496" s="438"/>
    </row>
    <row r="497" spans="4:35">
      <c r="D497" s="435" t="s">
        <v>79</v>
      </c>
      <c r="E497" s="435" t="s">
        <v>68</v>
      </c>
      <c r="F497" s="435" t="s">
        <v>274</v>
      </c>
      <c r="G497" s="435" t="s">
        <v>86</v>
      </c>
      <c r="H497" s="435" t="s">
        <v>264</v>
      </c>
      <c r="I497" s="435" t="s">
        <v>7</v>
      </c>
      <c r="J497" s="435" t="s">
        <v>299</v>
      </c>
      <c r="K497" s="437" t="s">
        <v>310</v>
      </c>
      <c r="L497" s="437" t="s">
        <v>311</v>
      </c>
      <c r="M497" s="435" t="s">
        <v>848</v>
      </c>
      <c r="N497" s="436" t="s">
        <v>2870</v>
      </c>
      <c r="O497" s="435" t="s">
        <v>830</v>
      </c>
      <c r="R497" s="435" t="s">
        <v>603</v>
      </c>
      <c r="S497" s="435" t="s">
        <v>533</v>
      </c>
      <c r="AC497" s="435" t="s">
        <v>3</v>
      </c>
      <c r="AE497" s="438"/>
      <c r="AF497" s="438"/>
      <c r="AG497" s="438"/>
      <c r="AH497" s="438"/>
      <c r="AI497" s="438"/>
    </row>
    <row r="498" spans="4:35">
      <c r="D498" s="435" t="s">
        <v>79</v>
      </c>
      <c r="E498" s="435" t="s">
        <v>68</v>
      </c>
      <c r="F498" s="435" t="s">
        <v>274</v>
      </c>
      <c r="G498" s="435" t="s">
        <v>86</v>
      </c>
      <c r="H498" s="435" t="s">
        <v>264</v>
      </c>
      <c r="I498" s="435" t="s">
        <v>7</v>
      </c>
      <c r="J498" s="435" t="s">
        <v>299</v>
      </c>
      <c r="K498" s="437" t="s">
        <v>310</v>
      </c>
      <c r="L498" s="437" t="s">
        <v>311</v>
      </c>
      <c r="M498" s="435" t="s">
        <v>848</v>
      </c>
      <c r="N498" s="436" t="s">
        <v>2870</v>
      </c>
      <c r="O498" s="435" t="s">
        <v>830</v>
      </c>
      <c r="R498" s="435" t="s">
        <v>604</v>
      </c>
      <c r="S498" s="435" t="s">
        <v>585</v>
      </c>
      <c r="AC498" s="435" t="s">
        <v>3</v>
      </c>
      <c r="AE498" s="438"/>
      <c r="AF498" s="438"/>
      <c r="AG498" s="438"/>
      <c r="AH498" s="438"/>
      <c r="AI498" s="438"/>
    </row>
    <row r="499" spans="4:35">
      <c r="D499" s="435" t="s">
        <v>79</v>
      </c>
      <c r="E499" s="435" t="s">
        <v>68</v>
      </c>
      <c r="F499" s="435" t="s">
        <v>274</v>
      </c>
      <c r="G499" s="435" t="s">
        <v>86</v>
      </c>
      <c r="H499" s="435" t="s">
        <v>264</v>
      </c>
      <c r="I499" s="435" t="s">
        <v>7</v>
      </c>
      <c r="J499" s="435" t="s">
        <v>299</v>
      </c>
      <c r="K499" s="437" t="s">
        <v>310</v>
      </c>
      <c r="L499" s="437" t="s">
        <v>311</v>
      </c>
      <c r="M499" s="435" t="s">
        <v>848</v>
      </c>
      <c r="N499" s="436" t="s">
        <v>2870</v>
      </c>
      <c r="O499" s="435" t="s">
        <v>830</v>
      </c>
      <c r="R499" s="435" t="s">
        <v>605</v>
      </c>
      <c r="S499" s="435" t="s">
        <v>537</v>
      </c>
      <c r="AC499" s="435" t="s">
        <v>3</v>
      </c>
      <c r="AE499" s="438"/>
      <c r="AF499" s="438"/>
      <c r="AG499" s="438"/>
      <c r="AH499" s="438"/>
      <c r="AI499" s="438"/>
    </row>
    <row r="500" spans="4:35">
      <c r="D500" s="435" t="s">
        <v>79</v>
      </c>
      <c r="E500" s="435" t="s">
        <v>68</v>
      </c>
      <c r="F500" s="435" t="s">
        <v>274</v>
      </c>
      <c r="G500" s="435" t="s">
        <v>86</v>
      </c>
      <c r="H500" s="435" t="s">
        <v>264</v>
      </c>
      <c r="I500" s="435" t="s">
        <v>7</v>
      </c>
      <c r="J500" s="435" t="s">
        <v>299</v>
      </c>
      <c r="K500" s="437" t="s">
        <v>310</v>
      </c>
      <c r="L500" s="437" t="s">
        <v>311</v>
      </c>
      <c r="M500" s="435" t="s">
        <v>848</v>
      </c>
      <c r="N500" s="436" t="s">
        <v>2870</v>
      </c>
      <c r="O500" s="435" t="s">
        <v>830</v>
      </c>
      <c r="R500" s="435" t="s">
        <v>606</v>
      </c>
      <c r="S500" s="435" t="s">
        <v>571</v>
      </c>
      <c r="AC500" s="435" t="s">
        <v>3</v>
      </c>
      <c r="AE500" s="438"/>
      <c r="AF500" s="438"/>
      <c r="AG500" s="438"/>
      <c r="AH500" s="438"/>
      <c r="AI500" s="438"/>
    </row>
    <row r="501" spans="4:35">
      <c r="D501" s="435" t="s">
        <v>79</v>
      </c>
      <c r="E501" s="435" t="s">
        <v>68</v>
      </c>
      <c r="F501" s="435" t="s">
        <v>274</v>
      </c>
      <c r="G501" s="435" t="s">
        <v>86</v>
      </c>
      <c r="H501" s="435" t="s">
        <v>264</v>
      </c>
      <c r="I501" s="435" t="s">
        <v>7</v>
      </c>
      <c r="J501" s="435" t="s">
        <v>299</v>
      </c>
      <c r="K501" s="437" t="s">
        <v>310</v>
      </c>
      <c r="L501" s="437" t="s">
        <v>311</v>
      </c>
      <c r="M501" s="435" t="s">
        <v>848</v>
      </c>
      <c r="N501" s="436" t="s">
        <v>2870</v>
      </c>
      <c r="O501" s="435" t="s">
        <v>830</v>
      </c>
      <c r="R501" s="435" t="s">
        <v>607</v>
      </c>
      <c r="S501" s="435" t="s">
        <v>575</v>
      </c>
      <c r="AC501" s="435" t="s">
        <v>3</v>
      </c>
      <c r="AE501" s="438"/>
      <c r="AF501" s="438"/>
      <c r="AG501" s="438"/>
      <c r="AH501" s="438"/>
      <c r="AI501" s="438"/>
    </row>
    <row r="502" spans="4:35">
      <c r="D502" s="435" t="s">
        <v>79</v>
      </c>
      <c r="E502" s="435" t="s">
        <v>68</v>
      </c>
      <c r="F502" s="435" t="s">
        <v>274</v>
      </c>
      <c r="G502" s="435" t="s">
        <v>86</v>
      </c>
      <c r="H502" s="435" t="s">
        <v>264</v>
      </c>
      <c r="I502" s="435" t="s">
        <v>7</v>
      </c>
      <c r="J502" s="435" t="s">
        <v>299</v>
      </c>
      <c r="K502" s="437" t="s">
        <v>310</v>
      </c>
      <c r="L502" s="437" t="s">
        <v>311</v>
      </c>
      <c r="M502" s="435" t="s">
        <v>848</v>
      </c>
      <c r="N502" s="436" t="s">
        <v>2870</v>
      </c>
      <c r="O502" s="435" t="s">
        <v>830</v>
      </c>
      <c r="R502" s="435" t="s">
        <v>608</v>
      </c>
      <c r="S502" s="435" t="s">
        <v>587</v>
      </c>
      <c r="AC502" s="435" t="s">
        <v>3</v>
      </c>
      <c r="AE502" s="438"/>
      <c r="AF502" s="438"/>
      <c r="AG502" s="438"/>
      <c r="AH502" s="438"/>
      <c r="AI502" s="438"/>
    </row>
    <row r="503" spans="4:35">
      <c r="D503" s="435" t="s">
        <v>79</v>
      </c>
      <c r="E503" s="435" t="s">
        <v>68</v>
      </c>
      <c r="F503" s="435" t="s">
        <v>274</v>
      </c>
      <c r="G503" s="435" t="s">
        <v>86</v>
      </c>
      <c r="H503" s="435" t="s">
        <v>264</v>
      </c>
      <c r="I503" s="435" t="s">
        <v>7</v>
      </c>
      <c r="J503" s="435" t="s">
        <v>299</v>
      </c>
      <c r="K503" s="437" t="s">
        <v>310</v>
      </c>
      <c r="L503" s="437" t="s">
        <v>311</v>
      </c>
      <c r="M503" s="435" t="s">
        <v>848</v>
      </c>
      <c r="N503" s="436" t="s">
        <v>2870</v>
      </c>
      <c r="O503" s="435" t="s">
        <v>830</v>
      </c>
      <c r="R503" s="435" t="s">
        <v>609</v>
      </c>
      <c r="S503" s="435" t="s">
        <v>567</v>
      </c>
      <c r="AC503" s="435" t="s">
        <v>3</v>
      </c>
      <c r="AE503" s="438"/>
      <c r="AF503" s="438"/>
      <c r="AG503" s="438"/>
      <c r="AH503" s="438"/>
      <c r="AI503" s="438"/>
    </row>
    <row r="504" spans="4:35">
      <c r="D504" s="435" t="s">
        <v>79</v>
      </c>
      <c r="E504" s="435" t="s">
        <v>68</v>
      </c>
      <c r="F504" s="435" t="s">
        <v>274</v>
      </c>
      <c r="G504" s="435" t="s">
        <v>86</v>
      </c>
      <c r="H504" s="435" t="s">
        <v>264</v>
      </c>
      <c r="I504" s="435" t="s">
        <v>7</v>
      </c>
      <c r="J504" s="435" t="s">
        <v>299</v>
      </c>
      <c r="K504" s="437" t="s">
        <v>310</v>
      </c>
      <c r="L504" s="437" t="s">
        <v>311</v>
      </c>
      <c r="M504" s="435" t="s">
        <v>848</v>
      </c>
      <c r="N504" s="436" t="s">
        <v>2870</v>
      </c>
      <c r="O504" s="435" t="s">
        <v>830</v>
      </c>
      <c r="R504" s="435" t="s">
        <v>610</v>
      </c>
      <c r="S504" s="435" t="s">
        <v>569</v>
      </c>
      <c r="AC504" s="435" t="s">
        <v>3</v>
      </c>
      <c r="AE504" s="438"/>
      <c r="AF504" s="438"/>
      <c r="AG504" s="438"/>
      <c r="AH504" s="438"/>
      <c r="AI504" s="438"/>
    </row>
    <row r="505" spans="4:35">
      <c r="D505" s="435" t="s">
        <v>79</v>
      </c>
      <c r="E505" s="435" t="s">
        <v>68</v>
      </c>
      <c r="F505" s="435" t="s">
        <v>274</v>
      </c>
      <c r="G505" s="435" t="s">
        <v>86</v>
      </c>
      <c r="H505" s="435" t="s">
        <v>264</v>
      </c>
      <c r="I505" s="435" t="s">
        <v>7</v>
      </c>
      <c r="J505" s="435" t="s">
        <v>299</v>
      </c>
      <c r="K505" s="437" t="s">
        <v>310</v>
      </c>
      <c r="L505" s="437" t="s">
        <v>311</v>
      </c>
      <c r="M505" s="435" t="s">
        <v>848</v>
      </c>
      <c r="N505" s="436" t="s">
        <v>2870</v>
      </c>
      <c r="O505" s="435" t="s">
        <v>830</v>
      </c>
      <c r="R505" s="435" t="s">
        <v>611</v>
      </c>
      <c r="S505" s="435" t="s">
        <v>612</v>
      </c>
      <c r="AC505" s="435" t="s">
        <v>3</v>
      </c>
      <c r="AE505" s="438"/>
      <c r="AF505" s="438"/>
      <c r="AG505" s="438"/>
      <c r="AH505" s="438"/>
      <c r="AI505" s="438"/>
    </row>
    <row r="506" spans="4:35">
      <c r="D506" s="435" t="s">
        <v>79</v>
      </c>
      <c r="E506" s="435" t="s">
        <v>68</v>
      </c>
      <c r="F506" s="435" t="s">
        <v>274</v>
      </c>
      <c r="G506" s="435" t="s">
        <v>86</v>
      </c>
      <c r="H506" s="435" t="s">
        <v>264</v>
      </c>
      <c r="I506" s="435" t="s">
        <v>7</v>
      </c>
      <c r="J506" s="435" t="s">
        <v>299</v>
      </c>
      <c r="K506" s="437" t="s">
        <v>310</v>
      </c>
      <c r="L506" s="437" t="s">
        <v>311</v>
      </c>
      <c r="M506" s="435" t="s">
        <v>848</v>
      </c>
      <c r="N506" s="436" t="s">
        <v>2870</v>
      </c>
      <c r="O506" s="435" t="s">
        <v>830</v>
      </c>
      <c r="R506" s="435" t="s">
        <v>613</v>
      </c>
      <c r="S506" s="435" t="s">
        <v>614</v>
      </c>
      <c r="AC506" s="435" t="s">
        <v>3</v>
      </c>
      <c r="AE506" s="438"/>
      <c r="AF506" s="438"/>
      <c r="AG506" s="438"/>
      <c r="AH506" s="438"/>
      <c r="AI506" s="438"/>
    </row>
    <row r="507" spans="4:35">
      <c r="D507" s="435" t="s">
        <v>79</v>
      </c>
      <c r="E507" s="435" t="s">
        <v>68</v>
      </c>
      <c r="F507" s="435" t="s">
        <v>274</v>
      </c>
      <c r="G507" s="435" t="s">
        <v>86</v>
      </c>
      <c r="H507" s="435" t="s">
        <v>264</v>
      </c>
      <c r="I507" s="435" t="s">
        <v>7</v>
      </c>
      <c r="J507" s="435" t="s">
        <v>299</v>
      </c>
      <c r="K507" s="437" t="s">
        <v>310</v>
      </c>
      <c r="L507" s="437" t="s">
        <v>311</v>
      </c>
      <c r="M507" s="435" t="s">
        <v>848</v>
      </c>
      <c r="N507" s="436" t="s">
        <v>2870</v>
      </c>
      <c r="O507" s="435" t="s">
        <v>830</v>
      </c>
      <c r="R507" s="435" t="s">
        <v>615</v>
      </c>
      <c r="S507" s="435" t="s">
        <v>555</v>
      </c>
      <c r="AC507" s="435" t="s">
        <v>3</v>
      </c>
      <c r="AE507" s="438"/>
      <c r="AF507" s="438"/>
      <c r="AG507" s="438"/>
      <c r="AH507" s="438"/>
      <c r="AI507" s="438"/>
    </row>
    <row r="508" spans="4:35">
      <c r="D508" s="435" t="s">
        <v>79</v>
      </c>
      <c r="E508" s="435" t="s">
        <v>68</v>
      </c>
      <c r="F508" s="435" t="s">
        <v>274</v>
      </c>
      <c r="G508" s="435" t="s">
        <v>86</v>
      </c>
      <c r="H508" s="435" t="s">
        <v>264</v>
      </c>
      <c r="I508" s="435" t="s">
        <v>7</v>
      </c>
      <c r="J508" s="435" t="s">
        <v>299</v>
      </c>
      <c r="K508" s="437" t="s">
        <v>310</v>
      </c>
      <c r="L508" s="437" t="s">
        <v>311</v>
      </c>
      <c r="M508" s="435" t="s">
        <v>848</v>
      </c>
      <c r="N508" s="436" t="s">
        <v>2870</v>
      </c>
      <c r="O508" s="435" t="s">
        <v>830</v>
      </c>
      <c r="R508" s="435" t="s">
        <v>616</v>
      </c>
      <c r="S508" s="435" t="s">
        <v>559</v>
      </c>
      <c r="AC508" s="435" t="s">
        <v>3</v>
      </c>
      <c r="AE508" s="438"/>
      <c r="AF508" s="438"/>
      <c r="AG508" s="438"/>
      <c r="AH508" s="438"/>
      <c r="AI508" s="438"/>
    </row>
    <row r="509" spans="4:35">
      <c r="D509" s="435" t="s">
        <v>79</v>
      </c>
      <c r="E509" s="435" t="s">
        <v>68</v>
      </c>
      <c r="F509" s="435" t="s">
        <v>274</v>
      </c>
      <c r="G509" s="435" t="s">
        <v>86</v>
      </c>
      <c r="H509" s="435" t="s">
        <v>264</v>
      </c>
      <c r="I509" s="435" t="s">
        <v>7</v>
      </c>
      <c r="J509" s="435" t="s">
        <v>299</v>
      </c>
      <c r="K509" s="437" t="s">
        <v>310</v>
      </c>
      <c r="L509" s="437" t="s">
        <v>311</v>
      </c>
      <c r="M509" s="435" t="s">
        <v>848</v>
      </c>
      <c r="N509" s="436" t="s">
        <v>2870</v>
      </c>
      <c r="O509" s="435" t="s">
        <v>830</v>
      </c>
      <c r="R509" s="435" t="s">
        <v>617</v>
      </c>
      <c r="S509" s="435" t="s">
        <v>618</v>
      </c>
      <c r="AC509" s="435" t="s">
        <v>3</v>
      </c>
      <c r="AE509" s="438"/>
      <c r="AF509" s="438"/>
      <c r="AG509" s="438"/>
      <c r="AH509" s="438"/>
      <c r="AI509" s="438"/>
    </row>
    <row r="510" spans="4:35">
      <c r="D510" s="435" t="s">
        <v>79</v>
      </c>
      <c r="E510" s="435" t="s">
        <v>68</v>
      </c>
      <c r="F510" s="435" t="s">
        <v>274</v>
      </c>
      <c r="G510" s="435" t="s">
        <v>86</v>
      </c>
      <c r="H510" s="435" t="s">
        <v>264</v>
      </c>
      <c r="I510" s="435" t="s">
        <v>7</v>
      </c>
      <c r="J510" s="435" t="s">
        <v>299</v>
      </c>
      <c r="K510" s="437" t="s">
        <v>310</v>
      </c>
      <c r="L510" s="437" t="s">
        <v>311</v>
      </c>
      <c r="M510" s="435" t="s">
        <v>848</v>
      </c>
      <c r="N510" s="436" t="s">
        <v>2870</v>
      </c>
      <c r="O510" s="435" t="s">
        <v>830</v>
      </c>
      <c r="R510" s="435" t="s">
        <v>619</v>
      </c>
      <c r="S510" s="435" t="s">
        <v>561</v>
      </c>
      <c r="AC510" s="435" t="s">
        <v>3</v>
      </c>
      <c r="AE510" s="438"/>
      <c r="AF510" s="438"/>
      <c r="AG510" s="438"/>
      <c r="AH510" s="438"/>
      <c r="AI510" s="438"/>
    </row>
    <row r="511" spans="4:35">
      <c r="D511" s="435" t="s">
        <v>79</v>
      </c>
      <c r="E511" s="435" t="s">
        <v>68</v>
      </c>
      <c r="F511" s="435" t="s">
        <v>274</v>
      </c>
      <c r="G511" s="435" t="s">
        <v>86</v>
      </c>
      <c r="H511" s="435" t="s">
        <v>264</v>
      </c>
      <c r="I511" s="435" t="s">
        <v>7</v>
      </c>
      <c r="J511" s="435" t="s">
        <v>299</v>
      </c>
      <c r="K511" s="437" t="s">
        <v>310</v>
      </c>
      <c r="L511" s="437" t="s">
        <v>311</v>
      </c>
      <c r="M511" s="435" t="s">
        <v>848</v>
      </c>
      <c r="N511" s="436" t="s">
        <v>2870</v>
      </c>
      <c r="O511" s="435" t="s">
        <v>830</v>
      </c>
      <c r="R511" s="435" t="s">
        <v>620</v>
      </c>
      <c r="S511" s="435" t="s">
        <v>621</v>
      </c>
      <c r="AC511" s="435" t="s">
        <v>3</v>
      </c>
      <c r="AE511" s="438"/>
      <c r="AF511" s="438"/>
      <c r="AG511" s="438"/>
      <c r="AH511" s="438"/>
      <c r="AI511" s="438"/>
    </row>
    <row r="512" spans="4:35">
      <c r="D512" s="435" t="s">
        <v>79</v>
      </c>
      <c r="E512" s="435" t="s">
        <v>68</v>
      </c>
      <c r="F512" s="435" t="s">
        <v>274</v>
      </c>
      <c r="G512" s="435" t="s">
        <v>86</v>
      </c>
      <c r="H512" s="435" t="s">
        <v>264</v>
      </c>
      <c r="I512" s="435" t="s">
        <v>7</v>
      </c>
      <c r="J512" s="435" t="s">
        <v>299</v>
      </c>
      <c r="K512" s="437" t="s">
        <v>310</v>
      </c>
      <c r="L512" s="437" t="s">
        <v>311</v>
      </c>
      <c r="M512" s="435" t="s">
        <v>848</v>
      </c>
      <c r="N512" s="436" t="s">
        <v>2870</v>
      </c>
      <c r="O512" s="435" t="s">
        <v>830</v>
      </c>
      <c r="R512" s="435" t="s">
        <v>622</v>
      </c>
      <c r="S512" s="435" t="s">
        <v>549</v>
      </c>
      <c r="AC512" s="435" t="s">
        <v>3</v>
      </c>
      <c r="AE512" s="438"/>
      <c r="AF512" s="438"/>
      <c r="AG512" s="438"/>
      <c r="AH512" s="438"/>
      <c r="AI512" s="438"/>
    </row>
    <row r="513" spans="4:35">
      <c r="D513" s="435" t="s">
        <v>79</v>
      </c>
      <c r="E513" s="435" t="s">
        <v>68</v>
      </c>
      <c r="F513" s="435" t="s">
        <v>274</v>
      </c>
      <c r="G513" s="435" t="s">
        <v>86</v>
      </c>
      <c r="H513" s="435" t="s">
        <v>264</v>
      </c>
      <c r="I513" s="435" t="s">
        <v>7</v>
      </c>
      <c r="J513" s="435" t="s">
        <v>299</v>
      </c>
      <c r="K513" s="437" t="s">
        <v>310</v>
      </c>
      <c r="L513" s="437" t="s">
        <v>311</v>
      </c>
      <c r="M513" s="435" t="s">
        <v>848</v>
      </c>
      <c r="N513" s="436" t="s">
        <v>2870</v>
      </c>
      <c r="O513" s="435" t="s">
        <v>830</v>
      </c>
      <c r="R513" s="435" t="s">
        <v>623</v>
      </c>
      <c r="S513" s="435" t="s">
        <v>624</v>
      </c>
      <c r="AC513" s="435" t="s">
        <v>3</v>
      </c>
      <c r="AE513" s="438"/>
      <c r="AF513" s="438"/>
      <c r="AG513" s="438"/>
      <c r="AH513" s="438"/>
      <c r="AI513" s="438"/>
    </row>
    <row r="514" spans="4:35">
      <c r="D514" s="435" t="s">
        <v>79</v>
      </c>
      <c r="E514" s="435" t="s">
        <v>68</v>
      </c>
      <c r="F514" s="435" t="s">
        <v>274</v>
      </c>
      <c r="G514" s="435" t="s">
        <v>86</v>
      </c>
      <c r="H514" s="435" t="s">
        <v>264</v>
      </c>
      <c r="I514" s="435" t="s">
        <v>7</v>
      </c>
      <c r="J514" s="435" t="s">
        <v>299</v>
      </c>
      <c r="K514" s="437" t="s">
        <v>310</v>
      </c>
      <c r="L514" s="437" t="s">
        <v>311</v>
      </c>
      <c r="M514" s="435" t="s">
        <v>848</v>
      </c>
      <c r="N514" s="436" t="s">
        <v>2870</v>
      </c>
      <c r="O514" s="435" t="s">
        <v>830</v>
      </c>
      <c r="R514" s="435" t="s">
        <v>625</v>
      </c>
      <c r="S514" s="435" t="s">
        <v>551</v>
      </c>
      <c r="AC514" s="435" t="s">
        <v>3</v>
      </c>
      <c r="AE514" s="438"/>
      <c r="AF514" s="438"/>
      <c r="AG514" s="438"/>
      <c r="AH514" s="438"/>
      <c r="AI514" s="438"/>
    </row>
    <row r="515" spans="4:35">
      <c r="D515" s="435" t="s">
        <v>79</v>
      </c>
      <c r="E515" s="435" t="s">
        <v>68</v>
      </c>
      <c r="F515" s="435" t="s">
        <v>274</v>
      </c>
      <c r="G515" s="435" t="s">
        <v>86</v>
      </c>
      <c r="H515" s="435" t="s">
        <v>264</v>
      </c>
      <c r="I515" s="435" t="s">
        <v>7</v>
      </c>
      <c r="J515" s="435" t="s">
        <v>299</v>
      </c>
      <c r="K515" s="437" t="s">
        <v>310</v>
      </c>
      <c r="L515" s="437" t="s">
        <v>311</v>
      </c>
      <c r="M515" s="435" t="s">
        <v>848</v>
      </c>
      <c r="N515" s="436" t="s">
        <v>2870</v>
      </c>
      <c r="O515" s="435" t="s">
        <v>830</v>
      </c>
      <c r="R515" s="435" t="s">
        <v>626</v>
      </c>
      <c r="S515" s="435" t="s">
        <v>523</v>
      </c>
      <c r="AC515" s="435" t="s">
        <v>3</v>
      </c>
      <c r="AE515" s="438"/>
      <c r="AF515" s="438"/>
      <c r="AG515" s="438"/>
      <c r="AH515" s="438"/>
      <c r="AI515" s="438"/>
    </row>
    <row r="516" spans="4:35">
      <c r="D516" s="435" t="s">
        <v>79</v>
      </c>
      <c r="E516" s="435" t="s">
        <v>68</v>
      </c>
      <c r="F516" s="435" t="s">
        <v>274</v>
      </c>
      <c r="G516" s="435" t="s">
        <v>86</v>
      </c>
      <c r="H516" s="435" t="s">
        <v>264</v>
      </c>
      <c r="I516" s="435" t="s">
        <v>7</v>
      </c>
      <c r="J516" s="435" t="s">
        <v>299</v>
      </c>
      <c r="K516" s="437" t="s">
        <v>310</v>
      </c>
      <c r="L516" s="437" t="s">
        <v>311</v>
      </c>
      <c r="M516" s="435" t="s">
        <v>848</v>
      </c>
      <c r="N516" s="436" t="s">
        <v>2870</v>
      </c>
      <c r="O516" s="435" t="s">
        <v>830</v>
      </c>
      <c r="R516" s="435" t="s">
        <v>627</v>
      </c>
      <c r="S516" s="435" t="s">
        <v>591</v>
      </c>
      <c r="AC516" s="435" t="s">
        <v>3</v>
      </c>
      <c r="AE516" s="438"/>
      <c r="AF516" s="438"/>
      <c r="AG516" s="438"/>
      <c r="AH516" s="438"/>
      <c r="AI516" s="438"/>
    </row>
    <row r="517" spans="4:35">
      <c r="D517" s="435" t="s">
        <v>79</v>
      </c>
      <c r="E517" s="435" t="s">
        <v>68</v>
      </c>
      <c r="F517" s="435" t="s">
        <v>274</v>
      </c>
      <c r="G517" s="435" t="s">
        <v>86</v>
      </c>
      <c r="H517" s="435" t="s">
        <v>264</v>
      </c>
      <c r="I517" s="435" t="s">
        <v>7</v>
      </c>
      <c r="J517" s="435" t="s">
        <v>299</v>
      </c>
      <c r="K517" s="437" t="s">
        <v>310</v>
      </c>
      <c r="L517" s="437" t="s">
        <v>311</v>
      </c>
      <c r="M517" s="435" t="s">
        <v>848</v>
      </c>
      <c r="N517" s="436" t="s">
        <v>2870</v>
      </c>
      <c r="O517" s="435" t="s">
        <v>830</v>
      </c>
      <c r="R517" s="435" t="s">
        <v>628</v>
      </c>
      <c r="S517" s="435" t="s">
        <v>541</v>
      </c>
      <c r="AC517" s="435" t="s">
        <v>3</v>
      </c>
      <c r="AE517" s="438"/>
      <c r="AF517" s="438"/>
      <c r="AG517" s="438"/>
      <c r="AH517" s="438"/>
      <c r="AI517" s="438"/>
    </row>
    <row r="518" spans="4:35">
      <c r="D518" s="435" t="s">
        <v>79</v>
      </c>
      <c r="E518" s="435" t="s">
        <v>68</v>
      </c>
      <c r="F518" s="435" t="s">
        <v>274</v>
      </c>
      <c r="G518" s="435" t="s">
        <v>86</v>
      </c>
      <c r="H518" s="435" t="s">
        <v>264</v>
      </c>
      <c r="I518" s="435" t="s">
        <v>7</v>
      </c>
      <c r="J518" s="435" t="s">
        <v>299</v>
      </c>
      <c r="K518" s="437" t="s">
        <v>310</v>
      </c>
      <c r="L518" s="437" t="s">
        <v>311</v>
      </c>
      <c r="M518" s="435" t="s">
        <v>848</v>
      </c>
      <c r="N518" s="436" t="s">
        <v>2870</v>
      </c>
      <c r="O518" s="435" t="s">
        <v>830</v>
      </c>
      <c r="R518" s="435" t="s">
        <v>629</v>
      </c>
      <c r="S518" s="435" t="s">
        <v>539</v>
      </c>
      <c r="AC518" s="435" t="s">
        <v>3</v>
      </c>
      <c r="AE518" s="438"/>
      <c r="AF518" s="438"/>
      <c r="AG518" s="438"/>
      <c r="AH518" s="438"/>
      <c r="AI518" s="438"/>
    </row>
    <row r="519" spans="4:35">
      <c r="D519" s="435" t="s">
        <v>79</v>
      </c>
      <c r="E519" s="435" t="s">
        <v>68</v>
      </c>
      <c r="F519" s="435" t="s">
        <v>274</v>
      </c>
      <c r="G519" s="435" t="s">
        <v>86</v>
      </c>
      <c r="H519" s="435" t="s">
        <v>264</v>
      </c>
      <c r="I519" s="435" t="s">
        <v>7</v>
      </c>
      <c r="J519" s="435" t="s">
        <v>299</v>
      </c>
      <c r="K519" s="437" t="s">
        <v>310</v>
      </c>
      <c r="L519" s="437" t="s">
        <v>311</v>
      </c>
      <c r="M519" s="435" t="s">
        <v>848</v>
      </c>
      <c r="N519" s="436" t="s">
        <v>2870</v>
      </c>
      <c r="O519" s="435" t="s">
        <v>830</v>
      </c>
      <c r="R519" s="435" t="s">
        <v>630</v>
      </c>
      <c r="S519" s="435" t="s">
        <v>545</v>
      </c>
      <c r="AC519" s="435" t="s">
        <v>3</v>
      </c>
      <c r="AE519" s="438"/>
      <c r="AF519" s="438"/>
      <c r="AG519" s="438"/>
      <c r="AH519" s="438"/>
      <c r="AI519" s="438"/>
    </row>
    <row r="520" spans="4:35">
      <c r="D520" s="435" t="s">
        <v>79</v>
      </c>
      <c r="E520" s="435" t="s">
        <v>68</v>
      </c>
      <c r="F520" s="435" t="s">
        <v>274</v>
      </c>
      <c r="G520" s="435" t="s">
        <v>86</v>
      </c>
      <c r="H520" s="435" t="s">
        <v>264</v>
      </c>
      <c r="I520" s="435" t="s">
        <v>7</v>
      </c>
      <c r="J520" s="435" t="s">
        <v>299</v>
      </c>
      <c r="K520" s="437" t="s">
        <v>310</v>
      </c>
      <c r="L520" s="437" t="s">
        <v>311</v>
      </c>
      <c r="M520" s="435" t="s">
        <v>848</v>
      </c>
      <c r="N520" s="435" t="s">
        <v>829</v>
      </c>
      <c r="O520" s="435" t="s">
        <v>214</v>
      </c>
      <c r="R520" s="435" t="s">
        <v>631</v>
      </c>
      <c r="S520" s="435" t="s">
        <v>596</v>
      </c>
      <c r="AC520" s="435" t="s">
        <v>3</v>
      </c>
      <c r="AE520" s="438"/>
      <c r="AF520" s="438"/>
      <c r="AG520" s="438"/>
      <c r="AH520" s="438"/>
      <c r="AI520" s="438"/>
    </row>
    <row r="521" spans="4:35">
      <c r="D521" s="435" t="s">
        <v>79</v>
      </c>
      <c r="E521" s="435" t="s">
        <v>68</v>
      </c>
      <c r="F521" s="435" t="s">
        <v>274</v>
      </c>
      <c r="G521" s="435" t="s">
        <v>86</v>
      </c>
      <c r="H521" s="435" t="s">
        <v>264</v>
      </c>
      <c r="I521" s="435" t="s">
        <v>7</v>
      </c>
      <c r="J521" s="435" t="s">
        <v>299</v>
      </c>
      <c r="K521" s="437" t="s">
        <v>310</v>
      </c>
      <c r="L521" s="437" t="s">
        <v>311</v>
      </c>
      <c r="M521" s="435" t="s">
        <v>848</v>
      </c>
      <c r="N521" s="436" t="s">
        <v>2870</v>
      </c>
      <c r="O521" s="435" t="s">
        <v>830</v>
      </c>
      <c r="R521" s="435" t="s">
        <v>632</v>
      </c>
      <c r="S521" s="435" t="s">
        <v>598</v>
      </c>
      <c r="AC521" s="435" t="s">
        <v>3</v>
      </c>
      <c r="AE521" s="438"/>
      <c r="AF521" s="438"/>
      <c r="AG521" s="438"/>
      <c r="AH521" s="438"/>
      <c r="AI521" s="438"/>
    </row>
    <row r="522" spans="4:35">
      <c r="D522" s="435" t="s">
        <v>79</v>
      </c>
      <c r="E522" s="435" t="s">
        <v>68</v>
      </c>
      <c r="F522" s="435" t="s">
        <v>274</v>
      </c>
      <c r="G522" s="435" t="s">
        <v>86</v>
      </c>
      <c r="H522" s="435" t="s">
        <v>264</v>
      </c>
      <c r="I522" s="435" t="s">
        <v>7</v>
      </c>
      <c r="J522" s="435" t="s">
        <v>299</v>
      </c>
      <c r="K522" s="437" t="s">
        <v>310</v>
      </c>
      <c r="L522" s="437" t="s">
        <v>311</v>
      </c>
      <c r="M522" s="435" t="s">
        <v>848</v>
      </c>
      <c r="N522" s="436" t="s">
        <v>2870</v>
      </c>
      <c r="O522" s="435" t="s">
        <v>830</v>
      </c>
      <c r="R522" s="435" t="s">
        <v>633</v>
      </c>
      <c r="S522" s="435" t="s">
        <v>563</v>
      </c>
      <c r="AC522" s="435" t="s">
        <v>3</v>
      </c>
      <c r="AE522" s="438"/>
      <c r="AF522" s="438"/>
      <c r="AG522" s="438"/>
      <c r="AH522" s="438"/>
      <c r="AI522" s="438"/>
    </row>
    <row r="523" spans="4:35">
      <c r="D523" s="435" t="s">
        <v>79</v>
      </c>
      <c r="E523" s="435" t="s">
        <v>68</v>
      </c>
      <c r="F523" s="435" t="s">
        <v>274</v>
      </c>
      <c r="G523" s="435" t="s">
        <v>86</v>
      </c>
      <c r="H523" s="435" t="s">
        <v>264</v>
      </c>
      <c r="I523" s="435" t="s">
        <v>7</v>
      </c>
      <c r="J523" s="435" t="s">
        <v>299</v>
      </c>
      <c r="K523" s="437" t="s">
        <v>310</v>
      </c>
      <c r="L523" s="437" t="s">
        <v>312</v>
      </c>
      <c r="M523" s="435" t="s">
        <v>849</v>
      </c>
      <c r="N523" s="435" t="s">
        <v>829</v>
      </c>
      <c r="O523" s="435" t="s">
        <v>214</v>
      </c>
      <c r="R523" s="435" t="s">
        <v>634</v>
      </c>
      <c r="S523" s="435" t="s">
        <v>635</v>
      </c>
      <c r="AC523" s="435" t="s">
        <v>3</v>
      </c>
      <c r="AE523" s="438"/>
      <c r="AF523" s="438"/>
      <c r="AG523" s="438"/>
      <c r="AH523" s="438"/>
      <c r="AI523" s="438"/>
    </row>
    <row r="524" spans="4:35">
      <c r="D524" s="435" t="s">
        <v>79</v>
      </c>
      <c r="E524" s="435" t="s">
        <v>68</v>
      </c>
      <c r="F524" s="435" t="s">
        <v>274</v>
      </c>
      <c r="G524" s="435" t="s">
        <v>86</v>
      </c>
      <c r="H524" s="435" t="s">
        <v>264</v>
      </c>
      <c r="I524" s="435" t="s">
        <v>7</v>
      </c>
      <c r="J524" s="435" t="s">
        <v>299</v>
      </c>
      <c r="K524" s="437" t="s">
        <v>310</v>
      </c>
      <c r="L524" s="437" t="s">
        <v>312</v>
      </c>
      <c r="M524" s="435" t="s">
        <v>849</v>
      </c>
      <c r="N524" s="435" t="s">
        <v>829</v>
      </c>
      <c r="O524" s="435" t="s">
        <v>214</v>
      </c>
      <c r="R524" s="435" t="s">
        <v>636</v>
      </c>
      <c r="S524" s="435" t="s">
        <v>637</v>
      </c>
      <c r="AC524" s="435" t="s">
        <v>3</v>
      </c>
      <c r="AE524" s="438"/>
      <c r="AF524" s="438"/>
      <c r="AG524" s="438"/>
      <c r="AH524" s="438"/>
      <c r="AI524" s="438"/>
    </row>
    <row r="525" spans="4:35">
      <c r="D525" s="435" t="s">
        <v>79</v>
      </c>
      <c r="E525" s="435" t="s">
        <v>68</v>
      </c>
      <c r="F525" s="435" t="s">
        <v>274</v>
      </c>
      <c r="G525" s="435" t="s">
        <v>86</v>
      </c>
      <c r="H525" s="435" t="s">
        <v>264</v>
      </c>
      <c r="I525" s="435" t="s">
        <v>7</v>
      </c>
      <c r="J525" s="435" t="s">
        <v>299</v>
      </c>
      <c r="K525" s="437" t="s">
        <v>310</v>
      </c>
      <c r="L525" s="437" t="s">
        <v>312</v>
      </c>
      <c r="M525" s="435" t="s">
        <v>849</v>
      </c>
      <c r="N525" s="436" t="s">
        <v>2870</v>
      </c>
      <c r="O525" s="435" t="s">
        <v>830</v>
      </c>
      <c r="R525" s="435" t="s">
        <v>638</v>
      </c>
      <c r="S525" s="435" t="s">
        <v>639</v>
      </c>
      <c r="AC525" s="435" t="s">
        <v>3</v>
      </c>
      <c r="AE525" s="438"/>
      <c r="AF525" s="438"/>
      <c r="AG525" s="438"/>
      <c r="AH525" s="438"/>
      <c r="AI525" s="438"/>
    </row>
    <row r="526" spans="4:35">
      <c r="D526" s="435" t="s">
        <v>79</v>
      </c>
      <c r="E526" s="435" t="s">
        <v>68</v>
      </c>
      <c r="F526" s="435" t="s">
        <v>274</v>
      </c>
      <c r="G526" s="435" t="s">
        <v>86</v>
      </c>
      <c r="H526" s="435" t="s">
        <v>264</v>
      </c>
      <c r="I526" s="435" t="s">
        <v>7</v>
      </c>
      <c r="J526" s="435" t="s">
        <v>299</v>
      </c>
      <c r="K526" s="437" t="s">
        <v>310</v>
      </c>
      <c r="L526" s="437" t="s">
        <v>312</v>
      </c>
      <c r="M526" s="435" t="s">
        <v>849</v>
      </c>
      <c r="N526" s="435" t="s">
        <v>829</v>
      </c>
      <c r="O526" s="435" t="s">
        <v>214</v>
      </c>
      <c r="R526" s="435" t="s">
        <v>640</v>
      </c>
      <c r="S526" s="435" t="s">
        <v>641</v>
      </c>
      <c r="AC526" s="435" t="s">
        <v>3</v>
      </c>
      <c r="AE526" s="438"/>
      <c r="AF526" s="438"/>
      <c r="AG526" s="438"/>
      <c r="AH526" s="438"/>
      <c r="AI526" s="438"/>
    </row>
    <row r="527" spans="4:35">
      <c r="D527" s="435" t="s">
        <v>79</v>
      </c>
      <c r="E527" s="435" t="s">
        <v>68</v>
      </c>
      <c r="F527" s="435" t="s">
        <v>274</v>
      </c>
      <c r="G527" s="435" t="s">
        <v>86</v>
      </c>
      <c r="H527" s="435" t="s">
        <v>264</v>
      </c>
      <c r="I527" s="435" t="s">
        <v>7</v>
      </c>
      <c r="J527" s="435" t="s">
        <v>299</v>
      </c>
      <c r="K527" s="437" t="s">
        <v>310</v>
      </c>
      <c r="L527" s="437" t="s">
        <v>312</v>
      </c>
      <c r="M527" s="435" t="s">
        <v>849</v>
      </c>
      <c r="N527" s="436" t="s">
        <v>2870</v>
      </c>
      <c r="O527" s="435" t="s">
        <v>830</v>
      </c>
      <c r="R527" s="435" t="s">
        <v>642</v>
      </c>
      <c r="S527" s="435" t="s">
        <v>643</v>
      </c>
      <c r="AC527" s="435" t="s">
        <v>3</v>
      </c>
      <c r="AE527" s="438"/>
      <c r="AF527" s="438"/>
      <c r="AG527" s="438"/>
      <c r="AH527" s="438"/>
      <c r="AI527" s="438"/>
    </row>
    <row r="528" spans="4:35">
      <c r="D528" s="435" t="s">
        <v>79</v>
      </c>
      <c r="E528" s="435" t="s">
        <v>68</v>
      </c>
      <c r="F528" s="435" t="s">
        <v>274</v>
      </c>
      <c r="G528" s="435" t="s">
        <v>86</v>
      </c>
      <c r="H528" s="435" t="s">
        <v>264</v>
      </c>
      <c r="I528" s="435" t="s">
        <v>7</v>
      </c>
      <c r="J528" s="435" t="s">
        <v>299</v>
      </c>
      <c r="K528" s="437" t="s">
        <v>310</v>
      </c>
      <c r="L528" s="437" t="s">
        <v>312</v>
      </c>
      <c r="M528" s="435" t="s">
        <v>849</v>
      </c>
      <c r="N528" s="435" t="s">
        <v>829</v>
      </c>
      <c r="O528" s="435" t="s">
        <v>214</v>
      </c>
      <c r="R528" s="435" t="s">
        <v>644</v>
      </c>
      <c r="S528" s="435" t="s">
        <v>645</v>
      </c>
      <c r="AC528" s="435" t="s">
        <v>3</v>
      </c>
      <c r="AE528" s="438"/>
      <c r="AF528" s="438"/>
      <c r="AG528" s="438"/>
      <c r="AH528" s="438"/>
      <c r="AI528" s="438"/>
    </row>
    <row r="529" spans="4:35">
      <c r="D529" s="435" t="s">
        <v>79</v>
      </c>
      <c r="E529" s="435" t="s">
        <v>68</v>
      </c>
      <c r="F529" s="435" t="s">
        <v>274</v>
      </c>
      <c r="G529" s="435" t="s">
        <v>86</v>
      </c>
      <c r="H529" s="435" t="s">
        <v>264</v>
      </c>
      <c r="I529" s="435" t="s">
        <v>7</v>
      </c>
      <c r="J529" s="435" t="s">
        <v>299</v>
      </c>
      <c r="K529" s="437" t="s">
        <v>310</v>
      </c>
      <c r="L529" s="437" t="s">
        <v>312</v>
      </c>
      <c r="M529" s="435" t="s">
        <v>849</v>
      </c>
      <c r="N529" s="435" t="s">
        <v>829</v>
      </c>
      <c r="O529" s="435" t="s">
        <v>214</v>
      </c>
      <c r="R529" s="435" t="s">
        <v>646</v>
      </c>
      <c r="S529" s="435" t="s">
        <v>647</v>
      </c>
      <c r="AC529" s="435" t="s">
        <v>3</v>
      </c>
      <c r="AE529" s="438"/>
      <c r="AF529" s="438"/>
      <c r="AG529" s="438"/>
      <c r="AH529" s="438"/>
      <c r="AI529" s="438"/>
    </row>
    <row r="530" spans="4:35">
      <c r="D530" s="435" t="s">
        <v>79</v>
      </c>
      <c r="E530" s="435" t="s">
        <v>68</v>
      </c>
      <c r="F530" s="435" t="s">
        <v>274</v>
      </c>
      <c r="G530" s="435" t="s">
        <v>86</v>
      </c>
      <c r="H530" s="435" t="s">
        <v>264</v>
      </c>
      <c r="I530" s="435" t="s">
        <v>7</v>
      </c>
      <c r="J530" s="435" t="s">
        <v>299</v>
      </c>
      <c r="K530" s="437" t="s">
        <v>310</v>
      </c>
      <c r="L530" s="437" t="s">
        <v>312</v>
      </c>
      <c r="M530" s="435" t="s">
        <v>849</v>
      </c>
      <c r="N530" s="436" t="s">
        <v>2870</v>
      </c>
      <c r="O530" s="435" t="s">
        <v>830</v>
      </c>
      <c r="R530" s="435" t="s">
        <v>648</v>
      </c>
      <c r="S530" s="435" t="s">
        <v>649</v>
      </c>
      <c r="AC530" s="435" t="s">
        <v>3</v>
      </c>
      <c r="AE530" s="438"/>
      <c r="AF530" s="438"/>
      <c r="AG530" s="438"/>
      <c r="AH530" s="438"/>
      <c r="AI530" s="438"/>
    </row>
    <row r="531" spans="4:35">
      <c r="D531" s="435" t="s">
        <v>79</v>
      </c>
      <c r="E531" s="435" t="s">
        <v>68</v>
      </c>
      <c r="F531" s="435" t="s">
        <v>274</v>
      </c>
      <c r="G531" s="435" t="s">
        <v>86</v>
      </c>
      <c r="H531" s="435" t="s">
        <v>264</v>
      </c>
      <c r="I531" s="435" t="s">
        <v>7</v>
      </c>
      <c r="J531" s="435" t="s">
        <v>299</v>
      </c>
      <c r="K531" s="437" t="s">
        <v>310</v>
      </c>
      <c r="L531" s="437" t="s">
        <v>312</v>
      </c>
      <c r="M531" s="435" t="s">
        <v>849</v>
      </c>
      <c r="N531" s="436" t="s">
        <v>2870</v>
      </c>
      <c r="O531" s="435" t="s">
        <v>830</v>
      </c>
      <c r="R531" s="435" t="s">
        <v>650</v>
      </c>
      <c r="S531" s="435" t="s">
        <v>651</v>
      </c>
      <c r="AC531" s="435" t="s">
        <v>3</v>
      </c>
      <c r="AE531" s="438"/>
      <c r="AF531" s="438"/>
      <c r="AG531" s="438"/>
      <c r="AH531" s="438"/>
      <c r="AI531" s="438"/>
    </row>
    <row r="532" spans="4:35">
      <c r="D532" s="435" t="s">
        <v>79</v>
      </c>
      <c r="E532" s="435" t="s">
        <v>68</v>
      </c>
      <c r="F532" s="435" t="s">
        <v>274</v>
      </c>
      <c r="G532" s="435" t="s">
        <v>86</v>
      </c>
      <c r="H532" s="435" t="s">
        <v>264</v>
      </c>
      <c r="I532" s="435" t="s">
        <v>7</v>
      </c>
      <c r="J532" s="435" t="s">
        <v>299</v>
      </c>
      <c r="K532" s="437" t="s">
        <v>310</v>
      </c>
      <c r="L532" s="437" t="s">
        <v>312</v>
      </c>
      <c r="M532" s="435" t="s">
        <v>849</v>
      </c>
      <c r="N532" s="436" t="s">
        <v>2870</v>
      </c>
      <c r="O532" s="435" t="s">
        <v>830</v>
      </c>
      <c r="R532" s="435" t="s">
        <v>652</v>
      </c>
      <c r="S532" s="435" t="s">
        <v>653</v>
      </c>
      <c r="AC532" s="435" t="s">
        <v>3</v>
      </c>
      <c r="AE532" s="438"/>
      <c r="AF532" s="438"/>
      <c r="AG532" s="438"/>
      <c r="AH532" s="438"/>
      <c r="AI532" s="438"/>
    </row>
    <row r="533" spans="4:35">
      <c r="D533" s="435" t="s">
        <v>79</v>
      </c>
      <c r="E533" s="435" t="s">
        <v>68</v>
      </c>
      <c r="F533" s="435" t="s">
        <v>274</v>
      </c>
      <c r="G533" s="435" t="s">
        <v>86</v>
      </c>
      <c r="H533" s="435" t="s">
        <v>264</v>
      </c>
      <c r="I533" s="435" t="s">
        <v>7</v>
      </c>
      <c r="J533" s="435" t="s">
        <v>299</v>
      </c>
      <c r="K533" s="437" t="s">
        <v>310</v>
      </c>
      <c r="L533" s="437" t="s">
        <v>312</v>
      </c>
      <c r="M533" s="435" t="s">
        <v>849</v>
      </c>
      <c r="N533" s="435" t="s">
        <v>829</v>
      </c>
      <c r="O533" s="435" t="s">
        <v>214</v>
      </c>
      <c r="R533" s="435" t="s">
        <v>654</v>
      </c>
      <c r="S533" s="435" t="s">
        <v>655</v>
      </c>
      <c r="AC533" s="435" t="s">
        <v>3</v>
      </c>
      <c r="AE533" s="438"/>
      <c r="AF533" s="438"/>
      <c r="AG533" s="438"/>
      <c r="AH533" s="438"/>
      <c r="AI533" s="438"/>
    </row>
    <row r="534" spans="4:35">
      <c r="D534" s="435" t="s">
        <v>79</v>
      </c>
      <c r="E534" s="435" t="s">
        <v>68</v>
      </c>
      <c r="F534" s="435" t="s">
        <v>274</v>
      </c>
      <c r="G534" s="435" t="s">
        <v>86</v>
      </c>
      <c r="H534" s="435" t="s">
        <v>264</v>
      </c>
      <c r="I534" s="435" t="s">
        <v>7</v>
      </c>
      <c r="J534" s="435" t="s">
        <v>299</v>
      </c>
      <c r="K534" s="437" t="s">
        <v>310</v>
      </c>
      <c r="L534" s="437" t="s">
        <v>312</v>
      </c>
      <c r="M534" s="435" t="s">
        <v>849</v>
      </c>
      <c r="N534" s="435" t="s">
        <v>829</v>
      </c>
      <c r="O534" s="435" t="s">
        <v>214</v>
      </c>
      <c r="R534" s="435" t="s">
        <v>656</v>
      </c>
      <c r="S534" s="435" t="s">
        <v>657</v>
      </c>
      <c r="AC534" s="435" t="s">
        <v>3</v>
      </c>
      <c r="AE534" s="438"/>
      <c r="AF534" s="438"/>
      <c r="AG534" s="438"/>
      <c r="AH534" s="438"/>
      <c r="AI534" s="438"/>
    </row>
    <row r="535" spans="4:35">
      <c r="D535" s="435" t="s">
        <v>79</v>
      </c>
      <c r="E535" s="435" t="s">
        <v>68</v>
      </c>
      <c r="F535" s="435" t="s">
        <v>274</v>
      </c>
      <c r="G535" s="435" t="s">
        <v>86</v>
      </c>
      <c r="H535" s="435" t="s">
        <v>264</v>
      </c>
      <c r="I535" s="435" t="s">
        <v>7</v>
      </c>
      <c r="J535" s="435" t="s">
        <v>299</v>
      </c>
      <c r="K535" s="437" t="s">
        <v>310</v>
      </c>
      <c r="L535" s="437" t="s">
        <v>312</v>
      </c>
      <c r="M535" s="435" t="s">
        <v>849</v>
      </c>
      <c r="N535" s="436" t="s">
        <v>2870</v>
      </c>
      <c r="O535" s="435" t="s">
        <v>830</v>
      </c>
      <c r="R535" s="435" t="s">
        <v>658</v>
      </c>
      <c r="S535" s="435" t="s">
        <v>659</v>
      </c>
      <c r="AC535" s="435" t="s">
        <v>3</v>
      </c>
      <c r="AE535" s="438"/>
      <c r="AF535" s="438"/>
      <c r="AG535" s="438"/>
      <c r="AH535" s="438"/>
      <c r="AI535" s="438"/>
    </row>
    <row r="536" spans="4:35">
      <c r="D536" s="435" t="s">
        <v>79</v>
      </c>
      <c r="E536" s="435" t="s">
        <v>68</v>
      </c>
      <c r="F536" s="435" t="s">
        <v>274</v>
      </c>
      <c r="G536" s="435" t="s">
        <v>86</v>
      </c>
      <c r="H536" s="435" t="s">
        <v>264</v>
      </c>
      <c r="I536" s="435" t="s">
        <v>7</v>
      </c>
      <c r="J536" s="435" t="s">
        <v>299</v>
      </c>
      <c r="K536" s="437" t="s">
        <v>310</v>
      </c>
      <c r="L536" s="437" t="s">
        <v>312</v>
      </c>
      <c r="M536" s="435" t="s">
        <v>849</v>
      </c>
      <c r="N536" s="436" t="s">
        <v>2870</v>
      </c>
      <c r="O536" s="435" t="s">
        <v>830</v>
      </c>
      <c r="R536" s="435" t="s">
        <v>660</v>
      </c>
      <c r="S536" s="435" t="s">
        <v>661</v>
      </c>
      <c r="AC536" s="435" t="s">
        <v>3</v>
      </c>
      <c r="AE536" s="438"/>
      <c r="AF536" s="438"/>
      <c r="AG536" s="438"/>
      <c r="AH536" s="438"/>
      <c r="AI536" s="438"/>
    </row>
    <row r="537" spans="4:35">
      <c r="D537" s="435" t="s">
        <v>79</v>
      </c>
      <c r="E537" s="435" t="s">
        <v>68</v>
      </c>
      <c r="F537" s="435" t="s">
        <v>274</v>
      </c>
      <c r="G537" s="435" t="s">
        <v>86</v>
      </c>
      <c r="H537" s="435" t="s">
        <v>264</v>
      </c>
      <c r="I537" s="435" t="s">
        <v>7</v>
      </c>
      <c r="J537" s="435" t="s">
        <v>299</v>
      </c>
      <c r="K537" s="437" t="s">
        <v>310</v>
      </c>
      <c r="L537" s="437" t="s">
        <v>312</v>
      </c>
      <c r="M537" s="435" t="s">
        <v>849</v>
      </c>
      <c r="N537" s="435" t="s">
        <v>829</v>
      </c>
      <c r="O537" s="435" t="s">
        <v>214</v>
      </c>
      <c r="R537" s="435" t="s">
        <v>662</v>
      </c>
      <c r="S537" s="435" t="s">
        <v>663</v>
      </c>
      <c r="AC537" s="435" t="s">
        <v>3</v>
      </c>
      <c r="AE537" s="438"/>
      <c r="AF537" s="438"/>
      <c r="AG537" s="438"/>
      <c r="AH537" s="438"/>
      <c r="AI537" s="438"/>
    </row>
    <row r="538" spans="4:35">
      <c r="D538" s="435" t="s">
        <v>79</v>
      </c>
      <c r="E538" s="435" t="s">
        <v>68</v>
      </c>
      <c r="F538" s="435" t="s">
        <v>274</v>
      </c>
      <c r="G538" s="435" t="s">
        <v>86</v>
      </c>
      <c r="H538" s="435" t="s">
        <v>264</v>
      </c>
      <c r="I538" s="435" t="s">
        <v>7</v>
      </c>
      <c r="J538" s="435" t="s">
        <v>299</v>
      </c>
      <c r="K538" s="437" t="s">
        <v>310</v>
      </c>
      <c r="L538" s="437" t="s">
        <v>312</v>
      </c>
      <c r="M538" s="435" t="s">
        <v>849</v>
      </c>
      <c r="N538" s="436" t="s">
        <v>2870</v>
      </c>
      <c r="O538" s="435" t="s">
        <v>830</v>
      </c>
      <c r="R538" s="435" t="s">
        <v>664</v>
      </c>
      <c r="S538" s="435" t="s">
        <v>665</v>
      </c>
      <c r="AC538" s="435" t="s">
        <v>3</v>
      </c>
      <c r="AE538" s="438"/>
      <c r="AF538" s="438"/>
      <c r="AG538" s="438"/>
      <c r="AH538" s="438"/>
      <c r="AI538" s="438"/>
    </row>
    <row r="539" spans="4:35">
      <c r="D539" s="435" t="s">
        <v>79</v>
      </c>
      <c r="E539" s="435" t="s">
        <v>68</v>
      </c>
      <c r="F539" s="435" t="s">
        <v>274</v>
      </c>
      <c r="G539" s="435" t="s">
        <v>86</v>
      </c>
      <c r="H539" s="435" t="s">
        <v>264</v>
      </c>
      <c r="I539" s="435" t="s">
        <v>7</v>
      </c>
      <c r="J539" s="435" t="s">
        <v>299</v>
      </c>
      <c r="K539" s="437" t="s">
        <v>310</v>
      </c>
      <c r="L539" s="437" t="s">
        <v>312</v>
      </c>
      <c r="M539" s="435" t="s">
        <v>849</v>
      </c>
      <c r="N539" s="436" t="s">
        <v>2870</v>
      </c>
      <c r="O539" s="435" t="s">
        <v>830</v>
      </c>
      <c r="R539" s="435" t="s">
        <v>666</v>
      </c>
      <c r="S539" s="435" t="s">
        <v>667</v>
      </c>
      <c r="AC539" s="435" t="s">
        <v>3</v>
      </c>
      <c r="AE539" s="438"/>
      <c r="AF539" s="438"/>
      <c r="AG539" s="438"/>
      <c r="AH539" s="438"/>
      <c r="AI539" s="438"/>
    </row>
    <row r="540" spans="4:35">
      <c r="D540" s="435" t="s">
        <v>79</v>
      </c>
      <c r="E540" s="435" t="s">
        <v>68</v>
      </c>
      <c r="F540" s="435" t="s">
        <v>274</v>
      </c>
      <c r="G540" s="435" t="s">
        <v>86</v>
      </c>
      <c r="H540" s="435" t="s">
        <v>264</v>
      </c>
      <c r="I540" s="435" t="s">
        <v>7</v>
      </c>
      <c r="J540" s="435" t="s">
        <v>299</v>
      </c>
      <c r="K540" s="437" t="s">
        <v>310</v>
      </c>
      <c r="L540" s="437" t="s">
        <v>312</v>
      </c>
      <c r="M540" s="435" t="s">
        <v>849</v>
      </c>
      <c r="N540" s="435" t="s">
        <v>829</v>
      </c>
      <c r="O540" s="435" t="s">
        <v>214</v>
      </c>
      <c r="R540" s="435" t="s">
        <v>668</v>
      </c>
      <c r="S540" s="435" t="s">
        <v>669</v>
      </c>
      <c r="AC540" s="435" t="s">
        <v>3</v>
      </c>
      <c r="AE540" s="438"/>
      <c r="AF540" s="438"/>
      <c r="AG540" s="438"/>
      <c r="AH540" s="438"/>
      <c r="AI540" s="438"/>
    </row>
    <row r="541" spans="4:35">
      <c r="D541" s="435" t="s">
        <v>79</v>
      </c>
      <c r="E541" s="435" t="s">
        <v>68</v>
      </c>
      <c r="F541" s="435" t="s">
        <v>274</v>
      </c>
      <c r="G541" s="435" t="s">
        <v>86</v>
      </c>
      <c r="H541" s="435" t="s">
        <v>264</v>
      </c>
      <c r="I541" s="435" t="s">
        <v>7</v>
      </c>
      <c r="J541" s="435" t="s">
        <v>299</v>
      </c>
      <c r="K541" s="437" t="s">
        <v>310</v>
      </c>
      <c r="L541" s="437" t="s">
        <v>312</v>
      </c>
      <c r="M541" s="435" t="s">
        <v>849</v>
      </c>
      <c r="N541" s="436" t="s">
        <v>2870</v>
      </c>
      <c r="O541" s="435" t="s">
        <v>830</v>
      </c>
      <c r="R541" s="435" t="s">
        <v>670</v>
      </c>
      <c r="S541" s="435" t="s">
        <v>645</v>
      </c>
      <c r="AC541" s="435" t="s">
        <v>3</v>
      </c>
      <c r="AE541" s="438"/>
      <c r="AF541" s="438"/>
      <c r="AG541" s="438"/>
      <c r="AH541" s="438"/>
      <c r="AI541" s="438"/>
    </row>
    <row r="542" spans="4:35">
      <c r="D542" s="435" t="s">
        <v>79</v>
      </c>
      <c r="E542" s="435" t="s">
        <v>68</v>
      </c>
      <c r="F542" s="435" t="s">
        <v>274</v>
      </c>
      <c r="G542" s="435" t="s">
        <v>86</v>
      </c>
      <c r="H542" s="435" t="s">
        <v>264</v>
      </c>
      <c r="I542" s="435" t="s">
        <v>7</v>
      </c>
      <c r="J542" s="435" t="s">
        <v>299</v>
      </c>
      <c r="K542" s="437" t="s">
        <v>310</v>
      </c>
      <c r="L542" s="437" t="s">
        <v>312</v>
      </c>
      <c r="M542" s="435" t="s">
        <v>849</v>
      </c>
      <c r="N542" s="436" t="s">
        <v>2870</v>
      </c>
      <c r="O542" s="435" t="s">
        <v>830</v>
      </c>
      <c r="R542" s="435" t="s">
        <v>671</v>
      </c>
      <c r="S542" s="435" t="s">
        <v>643</v>
      </c>
      <c r="AC542" s="435" t="s">
        <v>3</v>
      </c>
      <c r="AE542" s="438"/>
      <c r="AF542" s="438"/>
      <c r="AG542" s="438"/>
      <c r="AH542" s="438"/>
      <c r="AI542" s="438"/>
    </row>
    <row r="543" spans="4:35">
      <c r="D543" s="435" t="s">
        <v>79</v>
      </c>
      <c r="E543" s="435" t="s">
        <v>68</v>
      </c>
      <c r="F543" s="435" t="s">
        <v>274</v>
      </c>
      <c r="G543" s="435" t="s">
        <v>86</v>
      </c>
      <c r="H543" s="435" t="s">
        <v>264</v>
      </c>
      <c r="I543" s="435" t="s">
        <v>7</v>
      </c>
      <c r="J543" s="435" t="s">
        <v>299</v>
      </c>
      <c r="K543" s="437" t="s">
        <v>310</v>
      </c>
      <c r="L543" s="437" t="s">
        <v>312</v>
      </c>
      <c r="M543" s="435" t="s">
        <v>849</v>
      </c>
      <c r="N543" s="436" t="s">
        <v>2870</v>
      </c>
      <c r="O543" s="435" t="s">
        <v>830</v>
      </c>
      <c r="R543" s="435" t="s">
        <v>672</v>
      </c>
      <c r="S543" s="435" t="s">
        <v>647</v>
      </c>
      <c r="AC543" s="435" t="s">
        <v>3</v>
      </c>
      <c r="AE543" s="438"/>
      <c r="AF543" s="438"/>
      <c r="AG543" s="438"/>
      <c r="AH543" s="438"/>
      <c r="AI543" s="438"/>
    </row>
    <row r="544" spans="4:35">
      <c r="D544" s="435" t="s">
        <v>79</v>
      </c>
      <c r="E544" s="435" t="s">
        <v>68</v>
      </c>
      <c r="F544" s="435" t="s">
        <v>274</v>
      </c>
      <c r="G544" s="435" t="s">
        <v>86</v>
      </c>
      <c r="H544" s="435" t="s">
        <v>264</v>
      </c>
      <c r="I544" s="435" t="s">
        <v>7</v>
      </c>
      <c r="J544" s="435" t="s">
        <v>299</v>
      </c>
      <c r="K544" s="437" t="s">
        <v>310</v>
      </c>
      <c r="L544" s="437" t="s">
        <v>312</v>
      </c>
      <c r="M544" s="435" t="s">
        <v>849</v>
      </c>
      <c r="N544" s="436" t="s">
        <v>2870</v>
      </c>
      <c r="O544" s="435" t="s">
        <v>830</v>
      </c>
      <c r="R544" s="435" t="s">
        <v>673</v>
      </c>
      <c r="S544" s="435" t="s">
        <v>661</v>
      </c>
      <c r="AC544" s="435" t="s">
        <v>3</v>
      </c>
      <c r="AE544" s="438"/>
      <c r="AF544" s="438"/>
      <c r="AG544" s="438"/>
      <c r="AH544" s="438"/>
      <c r="AI544" s="438"/>
    </row>
    <row r="545" spans="4:35">
      <c r="D545" s="435" t="s">
        <v>79</v>
      </c>
      <c r="E545" s="435" t="s">
        <v>68</v>
      </c>
      <c r="F545" s="435" t="s">
        <v>274</v>
      </c>
      <c r="G545" s="435" t="s">
        <v>86</v>
      </c>
      <c r="H545" s="435" t="s">
        <v>264</v>
      </c>
      <c r="I545" s="435" t="s">
        <v>7</v>
      </c>
      <c r="J545" s="435" t="s">
        <v>299</v>
      </c>
      <c r="K545" s="437" t="s">
        <v>310</v>
      </c>
      <c r="L545" s="437" t="s">
        <v>312</v>
      </c>
      <c r="M545" s="435" t="s">
        <v>849</v>
      </c>
      <c r="N545" s="436" t="s">
        <v>2870</v>
      </c>
      <c r="O545" s="435" t="s">
        <v>830</v>
      </c>
      <c r="R545" s="435" t="s">
        <v>674</v>
      </c>
      <c r="S545" s="435" t="s">
        <v>659</v>
      </c>
      <c r="AC545" s="435" t="s">
        <v>3</v>
      </c>
      <c r="AE545" s="438"/>
      <c r="AF545" s="438"/>
      <c r="AG545" s="438"/>
      <c r="AH545" s="438"/>
      <c r="AI545" s="438"/>
    </row>
    <row r="546" spans="4:35">
      <c r="D546" s="435" t="s">
        <v>79</v>
      </c>
      <c r="E546" s="435" t="s">
        <v>68</v>
      </c>
      <c r="F546" s="435" t="s">
        <v>274</v>
      </c>
      <c r="G546" s="435" t="s">
        <v>86</v>
      </c>
      <c r="H546" s="435" t="s">
        <v>264</v>
      </c>
      <c r="I546" s="435" t="s">
        <v>7</v>
      </c>
      <c r="J546" s="435" t="s">
        <v>299</v>
      </c>
      <c r="K546" s="437" t="s">
        <v>310</v>
      </c>
      <c r="L546" s="437" t="s">
        <v>312</v>
      </c>
      <c r="M546" s="435" t="s">
        <v>849</v>
      </c>
      <c r="N546" s="436" t="s">
        <v>2870</v>
      </c>
      <c r="O546" s="435" t="s">
        <v>830</v>
      </c>
      <c r="R546" s="435" t="s">
        <v>675</v>
      </c>
      <c r="S546" s="435" t="s">
        <v>663</v>
      </c>
      <c r="AC546" s="435" t="s">
        <v>3</v>
      </c>
      <c r="AE546" s="438"/>
      <c r="AF546" s="438"/>
      <c r="AG546" s="438"/>
      <c r="AH546" s="438"/>
      <c r="AI546" s="438"/>
    </row>
    <row r="547" spans="4:35">
      <c r="D547" s="435" t="s">
        <v>79</v>
      </c>
      <c r="E547" s="435" t="s">
        <v>68</v>
      </c>
      <c r="F547" s="435" t="s">
        <v>274</v>
      </c>
      <c r="G547" s="435" t="s">
        <v>86</v>
      </c>
      <c r="H547" s="435" t="s">
        <v>264</v>
      </c>
      <c r="I547" s="435" t="s">
        <v>7</v>
      </c>
      <c r="J547" s="435" t="s">
        <v>299</v>
      </c>
      <c r="K547" s="437" t="s">
        <v>310</v>
      </c>
      <c r="L547" s="437" t="s">
        <v>312</v>
      </c>
      <c r="M547" s="435" t="s">
        <v>849</v>
      </c>
      <c r="N547" s="436" t="s">
        <v>2870</v>
      </c>
      <c r="O547" s="435" t="s">
        <v>830</v>
      </c>
      <c r="R547" s="435" t="s">
        <v>676</v>
      </c>
      <c r="S547" s="435" t="s">
        <v>655</v>
      </c>
      <c r="AC547" s="435" t="s">
        <v>3</v>
      </c>
      <c r="AE547" s="438"/>
      <c r="AF547" s="438"/>
      <c r="AG547" s="438"/>
      <c r="AH547" s="438"/>
      <c r="AI547" s="438"/>
    </row>
    <row r="548" spans="4:35">
      <c r="D548" s="435" t="s">
        <v>79</v>
      </c>
      <c r="E548" s="435" t="s">
        <v>68</v>
      </c>
      <c r="F548" s="435" t="s">
        <v>274</v>
      </c>
      <c r="G548" s="435" t="s">
        <v>86</v>
      </c>
      <c r="H548" s="435" t="s">
        <v>264</v>
      </c>
      <c r="I548" s="435" t="s">
        <v>7</v>
      </c>
      <c r="J548" s="435" t="s">
        <v>299</v>
      </c>
      <c r="K548" s="437" t="s">
        <v>310</v>
      </c>
      <c r="L548" s="437" t="s">
        <v>312</v>
      </c>
      <c r="M548" s="435" t="s">
        <v>849</v>
      </c>
      <c r="N548" s="436" t="s">
        <v>2870</v>
      </c>
      <c r="O548" s="435" t="s">
        <v>830</v>
      </c>
      <c r="R548" s="435" t="s">
        <v>677</v>
      </c>
      <c r="S548" s="435" t="s">
        <v>635</v>
      </c>
      <c r="AC548" s="435" t="s">
        <v>3</v>
      </c>
      <c r="AE548" s="438"/>
      <c r="AF548" s="438"/>
      <c r="AG548" s="438"/>
      <c r="AH548" s="438"/>
      <c r="AI548" s="438"/>
    </row>
    <row r="549" spans="4:35">
      <c r="D549" s="435" t="s">
        <v>79</v>
      </c>
      <c r="E549" s="435" t="s">
        <v>68</v>
      </c>
      <c r="F549" s="435" t="s">
        <v>274</v>
      </c>
      <c r="G549" s="435" t="s">
        <v>86</v>
      </c>
      <c r="H549" s="435" t="s">
        <v>264</v>
      </c>
      <c r="I549" s="435" t="s">
        <v>7</v>
      </c>
      <c r="J549" s="435" t="s">
        <v>299</v>
      </c>
      <c r="K549" s="437" t="s">
        <v>313</v>
      </c>
      <c r="L549" s="437" t="s">
        <v>314</v>
      </c>
      <c r="M549" s="435" t="s">
        <v>850</v>
      </c>
      <c r="N549" s="436" t="s">
        <v>2870</v>
      </c>
      <c r="O549" s="435" t="s">
        <v>830</v>
      </c>
      <c r="R549" s="435" t="s">
        <v>678</v>
      </c>
      <c r="S549" s="435" t="s">
        <v>679</v>
      </c>
      <c r="AC549" s="435" t="s">
        <v>3</v>
      </c>
      <c r="AE549" s="438"/>
      <c r="AF549" s="438"/>
      <c r="AG549" s="438"/>
      <c r="AH549" s="438"/>
      <c r="AI549" s="438"/>
    </row>
    <row r="550" spans="4:35">
      <c r="D550" s="435" t="s">
        <v>79</v>
      </c>
      <c r="E550" s="435" t="s">
        <v>68</v>
      </c>
      <c r="F550" s="435" t="s">
        <v>274</v>
      </c>
      <c r="G550" s="435" t="s">
        <v>86</v>
      </c>
      <c r="H550" s="435" t="s">
        <v>264</v>
      </c>
      <c r="I550" s="435" t="s">
        <v>7</v>
      </c>
      <c r="J550" s="435" t="s">
        <v>299</v>
      </c>
      <c r="K550" s="437" t="s">
        <v>313</v>
      </c>
      <c r="L550" s="437" t="s">
        <v>315</v>
      </c>
      <c r="M550" s="435" t="s">
        <v>850</v>
      </c>
      <c r="N550" s="436" t="s">
        <v>2870</v>
      </c>
      <c r="O550" s="435" t="s">
        <v>830</v>
      </c>
      <c r="R550" s="435" t="s">
        <v>680</v>
      </c>
      <c r="S550" s="435" t="s">
        <v>681</v>
      </c>
      <c r="AC550" s="435" t="s">
        <v>3</v>
      </c>
      <c r="AE550" s="438"/>
      <c r="AF550" s="438"/>
      <c r="AG550" s="438"/>
      <c r="AH550" s="438"/>
      <c r="AI550" s="438"/>
    </row>
    <row r="551" spans="4:35">
      <c r="D551" s="435" t="s">
        <v>79</v>
      </c>
      <c r="E551" s="435" t="s">
        <v>68</v>
      </c>
      <c r="F551" s="435" t="s">
        <v>274</v>
      </c>
      <c r="G551" s="435" t="s">
        <v>86</v>
      </c>
      <c r="H551" s="435" t="s">
        <v>264</v>
      </c>
      <c r="I551" s="435" t="s">
        <v>7</v>
      </c>
      <c r="J551" s="435" t="s">
        <v>299</v>
      </c>
      <c r="K551" s="437" t="s">
        <v>313</v>
      </c>
      <c r="L551" s="437" t="s">
        <v>315</v>
      </c>
      <c r="M551" s="435" t="s">
        <v>850</v>
      </c>
      <c r="N551" s="436" t="s">
        <v>2870</v>
      </c>
      <c r="O551" s="435" t="s">
        <v>830</v>
      </c>
      <c r="R551" s="435" t="s">
        <v>682</v>
      </c>
      <c r="S551" s="435" t="s">
        <v>683</v>
      </c>
      <c r="AC551" s="435" t="s">
        <v>3</v>
      </c>
      <c r="AE551" s="438"/>
      <c r="AF551" s="438"/>
      <c r="AG551" s="438"/>
      <c r="AH551" s="438"/>
      <c r="AI551" s="438"/>
    </row>
    <row r="552" spans="4:35">
      <c r="D552" s="435" t="s">
        <v>79</v>
      </c>
      <c r="E552" s="435" t="s">
        <v>68</v>
      </c>
      <c r="F552" s="435" t="s">
        <v>274</v>
      </c>
      <c r="G552" s="435" t="s">
        <v>86</v>
      </c>
      <c r="H552" s="435" t="s">
        <v>264</v>
      </c>
      <c r="I552" s="435" t="s">
        <v>7</v>
      </c>
      <c r="J552" s="435" t="s">
        <v>299</v>
      </c>
      <c r="K552" s="437" t="s">
        <v>313</v>
      </c>
      <c r="L552" s="437" t="s">
        <v>315</v>
      </c>
      <c r="M552" s="435" t="s">
        <v>850</v>
      </c>
      <c r="N552" s="436" t="s">
        <v>2870</v>
      </c>
      <c r="O552" s="435" t="s">
        <v>830</v>
      </c>
      <c r="R552" s="435" t="s">
        <v>684</v>
      </c>
      <c r="S552" s="435" t="s">
        <v>685</v>
      </c>
      <c r="AC552" s="435" t="s">
        <v>3</v>
      </c>
      <c r="AE552" s="438"/>
      <c r="AF552" s="438"/>
      <c r="AG552" s="438"/>
      <c r="AH552" s="438"/>
      <c r="AI552" s="438"/>
    </row>
    <row r="553" spans="4:35">
      <c r="D553" s="435" t="s">
        <v>79</v>
      </c>
      <c r="E553" s="435" t="s">
        <v>68</v>
      </c>
      <c r="F553" s="435" t="s">
        <v>274</v>
      </c>
      <c r="G553" s="435" t="s">
        <v>86</v>
      </c>
      <c r="H553" s="435" t="s">
        <v>264</v>
      </c>
      <c r="I553" s="435" t="s">
        <v>7</v>
      </c>
      <c r="J553" s="435" t="s">
        <v>299</v>
      </c>
      <c r="K553" s="437" t="s">
        <v>313</v>
      </c>
      <c r="L553" s="437" t="s">
        <v>316</v>
      </c>
      <c r="M553" s="435" t="s">
        <v>851</v>
      </c>
      <c r="N553" s="435" t="s">
        <v>829</v>
      </c>
      <c r="O553" s="435" t="s">
        <v>214</v>
      </c>
      <c r="R553" s="435" t="s">
        <v>686</v>
      </c>
      <c r="S553" s="435" t="s">
        <v>687</v>
      </c>
      <c r="AC553" s="435" t="s">
        <v>3</v>
      </c>
      <c r="AE553" s="438"/>
      <c r="AF553" s="438"/>
      <c r="AG553" s="438"/>
      <c r="AH553" s="438"/>
      <c r="AI553" s="438"/>
    </row>
    <row r="554" spans="4:35">
      <c r="D554" s="435" t="s">
        <v>79</v>
      </c>
      <c r="E554" s="435" t="s">
        <v>68</v>
      </c>
      <c r="F554" s="435" t="s">
        <v>274</v>
      </c>
      <c r="G554" s="435" t="s">
        <v>86</v>
      </c>
      <c r="H554" s="435" t="s">
        <v>264</v>
      </c>
      <c r="I554" s="435" t="s">
        <v>7</v>
      </c>
      <c r="J554" s="435" t="s">
        <v>299</v>
      </c>
      <c r="K554" s="437" t="s">
        <v>313</v>
      </c>
      <c r="L554" s="437" t="s">
        <v>316</v>
      </c>
      <c r="M554" s="435" t="s">
        <v>851</v>
      </c>
      <c r="N554" s="435" t="s">
        <v>829</v>
      </c>
      <c r="O554" s="435" t="s">
        <v>214</v>
      </c>
      <c r="R554" s="435" t="s">
        <v>688</v>
      </c>
      <c r="S554" s="435" t="s">
        <v>689</v>
      </c>
      <c r="AC554" s="435" t="s">
        <v>3</v>
      </c>
      <c r="AE554" s="438"/>
      <c r="AF554" s="438"/>
      <c r="AG554" s="438"/>
      <c r="AH554" s="438"/>
      <c r="AI554" s="438"/>
    </row>
    <row r="555" spans="4:35">
      <c r="D555" s="435" t="s">
        <v>79</v>
      </c>
      <c r="E555" s="435" t="s">
        <v>68</v>
      </c>
      <c r="F555" s="435" t="s">
        <v>274</v>
      </c>
      <c r="G555" s="435" t="s">
        <v>86</v>
      </c>
      <c r="H555" s="435" t="s">
        <v>264</v>
      </c>
      <c r="I555" s="435" t="s">
        <v>7</v>
      </c>
      <c r="J555" s="435" t="s">
        <v>299</v>
      </c>
      <c r="K555" s="437" t="s">
        <v>313</v>
      </c>
      <c r="L555" s="437" t="s">
        <v>316</v>
      </c>
      <c r="M555" s="435" t="s">
        <v>851</v>
      </c>
      <c r="N555" s="435" t="s">
        <v>829</v>
      </c>
      <c r="O555" s="435" t="s">
        <v>214</v>
      </c>
      <c r="R555" s="435" t="s">
        <v>690</v>
      </c>
      <c r="S555" s="435" t="s">
        <v>691</v>
      </c>
      <c r="AC555" s="435" t="s">
        <v>3</v>
      </c>
      <c r="AE555" s="438"/>
      <c r="AF555" s="438"/>
      <c r="AG555" s="438"/>
      <c r="AH555" s="438"/>
      <c r="AI555" s="438"/>
    </row>
    <row r="556" spans="4:35">
      <c r="D556" s="435" t="s">
        <v>79</v>
      </c>
      <c r="E556" s="435" t="s">
        <v>68</v>
      </c>
      <c r="F556" s="435" t="s">
        <v>274</v>
      </c>
      <c r="G556" s="435" t="s">
        <v>86</v>
      </c>
      <c r="H556" s="435" t="s">
        <v>264</v>
      </c>
      <c r="I556" s="435" t="s">
        <v>7</v>
      </c>
      <c r="J556" s="435" t="s">
        <v>299</v>
      </c>
      <c r="K556" s="437" t="s">
        <v>313</v>
      </c>
      <c r="L556" s="437" t="s">
        <v>317</v>
      </c>
      <c r="M556" s="435" t="s">
        <v>852</v>
      </c>
      <c r="N556" s="435" t="s">
        <v>829</v>
      </c>
      <c r="O556" s="435" t="s">
        <v>214</v>
      </c>
      <c r="R556" s="435" t="s">
        <v>692</v>
      </c>
      <c r="S556" s="435" t="s">
        <v>693</v>
      </c>
      <c r="AC556" s="435" t="s">
        <v>3</v>
      </c>
      <c r="AE556" s="438"/>
      <c r="AF556" s="438"/>
      <c r="AG556" s="438"/>
      <c r="AH556" s="438"/>
      <c r="AI556" s="438"/>
    </row>
    <row r="557" spans="4:35">
      <c r="D557" s="435" t="s">
        <v>79</v>
      </c>
      <c r="E557" s="435" t="s">
        <v>68</v>
      </c>
      <c r="F557" s="435" t="s">
        <v>274</v>
      </c>
      <c r="G557" s="435" t="s">
        <v>86</v>
      </c>
      <c r="H557" s="435" t="s">
        <v>264</v>
      </c>
      <c r="I557" s="435" t="s">
        <v>7</v>
      </c>
      <c r="J557" s="435" t="s">
        <v>299</v>
      </c>
      <c r="K557" s="437" t="s">
        <v>313</v>
      </c>
      <c r="L557" s="437" t="s">
        <v>317</v>
      </c>
      <c r="M557" s="435" t="s">
        <v>852</v>
      </c>
      <c r="N557" s="435" t="s">
        <v>829</v>
      </c>
      <c r="O557" s="435" t="s">
        <v>214</v>
      </c>
      <c r="R557" s="435" t="s">
        <v>694</v>
      </c>
      <c r="S557" s="435" t="s">
        <v>695</v>
      </c>
      <c r="AC557" s="435" t="s">
        <v>3</v>
      </c>
      <c r="AE557" s="438"/>
      <c r="AF557" s="438"/>
      <c r="AG557" s="438"/>
      <c r="AH557" s="438"/>
      <c r="AI557" s="438"/>
    </row>
    <row r="558" spans="4:35">
      <c r="D558" s="435" t="s">
        <v>79</v>
      </c>
      <c r="E558" s="435" t="s">
        <v>68</v>
      </c>
      <c r="F558" s="435" t="s">
        <v>274</v>
      </c>
      <c r="G558" s="435" t="s">
        <v>86</v>
      </c>
      <c r="H558" s="435" t="s">
        <v>264</v>
      </c>
      <c r="I558" s="435" t="s">
        <v>7</v>
      </c>
      <c r="J558" s="435" t="s">
        <v>299</v>
      </c>
      <c r="K558" s="437" t="s">
        <v>313</v>
      </c>
      <c r="L558" s="437" t="s">
        <v>317</v>
      </c>
      <c r="M558" s="435" t="s">
        <v>852</v>
      </c>
      <c r="N558" s="435" t="s">
        <v>829</v>
      </c>
      <c r="O558" s="435" t="s">
        <v>214</v>
      </c>
      <c r="R558" s="435" t="s">
        <v>696</v>
      </c>
      <c r="S558" s="435" t="s">
        <v>697</v>
      </c>
      <c r="AC558" s="435" t="s">
        <v>3</v>
      </c>
      <c r="AE558" s="438"/>
      <c r="AF558" s="438"/>
      <c r="AG558" s="438"/>
      <c r="AH558" s="438"/>
      <c r="AI558" s="438"/>
    </row>
    <row r="559" spans="4:35">
      <c r="D559" s="435" t="s">
        <v>79</v>
      </c>
      <c r="E559" s="435" t="s">
        <v>68</v>
      </c>
      <c r="F559" s="435" t="s">
        <v>274</v>
      </c>
      <c r="G559" s="435" t="s">
        <v>86</v>
      </c>
      <c r="H559" s="435" t="s">
        <v>264</v>
      </c>
      <c r="I559" s="435" t="s">
        <v>7</v>
      </c>
      <c r="J559" s="435" t="s">
        <v>299</v>
      </c>
      <c r="K559" s="437" t="s">
        <v>313</v>
      </c>
      <c r="L559" s="437" t="s">
        <v>317</v>
      </c>
      <c r="M559" s="435" t="s">
        <v>852</v>
      </c>
      <c r="N559" s="435" t="s">
        <v>829</v>
      </c>
      <c r="O559" s="435" t="s">
        <v>214</v>
      </c>
      <c r="R559" s="435" t="s">
        <v>698</v>
      </c>
      <c r="S559" s="435" t="s">
        <v>699</v>
      </c>
      <c r="AC559" s="435" t="s">
        <v>3</v>
      </c>
      <c r="AE559" s="438"/>
      <c r="AF559" s="438"/>
      <c r="AG559" s="438"/>
      <c r="AH559" s="438"/>
      <c r="AI559" s="438"/>
    </row>
    <row r="560" spans="4:35">
      <c r="D560" s="435" t="s">
        <v>79</v>
      </c>
      <c r="E560" s="435" t="s">
        <v>68</v>
      </c>
      <c r="F560" s="435" t="s">
        <v>274</v>
      </c>
      <c r="G560" s="435" t="s">
        <v>86</v>
      </c>
      <c r="H560" s="435" t="s">
        <v>264</v>
      </c>
      <c r="I560" s="435" t="s">
        <v>7</v>
      </c>
      <c r="J560" s="435" t="s">
        <v>299</v>
      </c>
      <c r="K560" s="437" t="s">
        <v>313</v>
      </c>
      <c r="L560" s="437" t="s">
        <v>317</v>
      </c>
      <c r="M560" s="435" t="s">
        <v>852</v>
      </c>
      <c r="N560" s="435" t="s">
        <v>829</v>
      </c>
      <c r="O560" s="435" t="s">
        <v>214</v>
      </c>
      <c r="R560" s="435" t="s">
        <v>700</v>
      </c>
      <c r="S560" s="435" t="s">
        <v>701</v>
      </c>
      <c r="AC560" s="435" t="s">
        <v>3</v>
      </c>
      <c r="AE560" s="438"/>
      <c r="AF560" s="438"/>
      <c r="AG560" s="438"/>
      <c r="AH560" s="438"/>
      <c r="AI560" s="438"/>
    </row>
    <row r="561" spans="4:35">
      <c r="D561" s="435" t="s">
        <v>79</v>
      </c>
      <c r="E561" s="435" t="s">
        <v>68</v>
      </c>
      <c r="F561" s="435" t="s">
        <v>274</v>
      </c>
      <c r="G561" s="435" t="s">
        <v>86</v>
      </c>
      <c r="H561" s="435" t="s">
        <v>264</v>
      </c>
      <c r="I561" s="435" t="s">
        <v>7</v>
      </c>
      <c r="J561" s="435" t="s">
        <v>299</v>
      </c>
      <c r="K561" s="437" t="s">
        <v>313</v>
      </c>
      <c r="L561" s="437" t="s">
        <v>317</v>
      </c>
      <c r="M561" s="435" t="s">
        <v>852</v>
      </c>
      <c r="N561" s="435" t="s">
        <v>829</v>
      </c>
      <c r="O561" s="435" t="s">
        <v>214</v>
      </c>
      <c r="R561" s="435" t="s">
        <v>702</v>
      </c>
      <c r="S561" s="435" t="s">
        <v>703</v>
      </c>
      <c r="AC561" s="435" t="s">
        <v>3</v>
      </c>
      <c r="AE561" s="438"/>
      <c r="AF561" s="438"/>
      <c r="AG561" s="438"/>
      <c r="AH561" s="438"/>
      <c r="AI561" s="438"/>
    </row>
    <row r="562" spans="4:35">
      <c r="D562" s="435" t="s">
        <v>79</v>
      </c>
      <c r="E562" s="435" t="s">
        <v>68</v>
      </c>
      <c r="F562" s="435" t="s">
        <v>274</v>
      </c>
      <c r="G562" s="435" t="s">
        <v>86</v>
      </c>
      <c r="H562" s="435" t="s">
        <v>264</v>
      </c>
      <c r="I562" s="435" t="s">
        <v>7</v>
      </c>
      <c r="J562" s="435" t="s">
        <v>299</v>
      </c>
      <c r="K562" s="437" t="s">
        <v>313</v>
      </c>
      <c r="L562" s="437" t="s">
        <v>317</v>
      </c>
      <c r="M562" s="435" t="s">
        <v>852</v>
      </c>
      <c r="N562" s="435" t="s">
        <v>829</v>
      </c>
      <c r="O562" s="435" t="s">
        <v>214</v>
      </c>
      <c r="R562" s="435" t="s">
        <v>704</v>
      </c>
      <c r="S562" s="435" t="s">
        <v>705</v>
      </c>
      <c r="AC562" s="435" t="s">
        <v>3</v>
      </c>
      <c r="AE562" s="438"/>
      <c r="AF562" s="438"/>
      <c r="AG562" s="438"/>
      <c r="AH562" s="438"/>
      <c r="AI562" s="438"/>
    </row>
    <row r="563" spans="4:35">
      <c r="D563" s="435" t="s">
        <v>79</v>
      </c>
      <c r="E563" s="435" t="s">
        <v>68</v>
      </c>
      <c r="F563" s="435" t="s">
        <v>274</v>
      </c>
      <c r="G563" s="435" t="s">
        <v>86</v>
      </c>
      <c r="H563" s="435" t="s">
        <v>264</v>
      </c>
      <c r="I563" s="435" t="s">
        <v>7</v>
      </c>
      <c r="J563" s="435" t="s">
        <v>299</v>
      </c>
      <c r="K563" s="437" t="s">
        <v>313</v>
      </c>
      <c r="L563" s="437" t="s">
        <v>317</v>
      </c>
      <c r="M563" s="435" t="s">
        <v>853</v>
      </c>
      <c r="N563" s="435" t="s">
        <v>829</v>
      </c>
      <c r="O563" s="435" t="s">
        <v>214</v>
      </c>
      <c r="R563" s="435" t="s">
        <v>706</v>
      </c>
      <c r="S563" s="435" t="s">
        <v>707</v>
      </c>
      <c r="AC563" s="435" t="s">
        <v>3</v>
      </c>
      <c r="AE563" s="438"/>
      <c r="AF563" s="438"/>
      <c r="AG563" s="438"/>
      <c r="AH563" s="438"/>
      <c r="AI563" s="438"/>
    </row>
    <row r="564" spans="4:35">
      <c r="D564" s="435" t="s">
        <v>79</v>
      </c>
      <c r="E564" s="435" t="s">
        <v>68</v>
      </c>
      <c r="F564" s="435" t="s">
        <v>274</v>
      </c>
      <c r="G564" s="435" t="s">
        <v>86</v>
      </c>
      <c r="H564" s="435" t="s">
        <v>264</v>
      </c>
      <c r="I564" s="435" t="s">
        <v>7</v>
      </c>
      <c r="J564" s="435" t="s">
        <v>299</v>
      </c>
      <c r="K564" s="437" t="s">
        <v>313</v>
      </c>
      <c r="L564" s="437" t="s">
        <v>317</v>
      </c>
      <c r="M564" s="435" t="s">
        <v>853</v>
      </c>
      <c r="N564" s="435" t="s">
        <v>829</v>
      </c>
      <c r="O564" s="435" t="s">
        <v>214</v>
      </c>
      <c r="R564" s="435" t="s">
        <v>708</v>
      </c>
      <c r="S564" s="435" t="s">
        <v>709</v>
      </c>
      <c r="AC564" s="435" t="s">
        <v>3</v>
      </c>
      <c r="AE564" s="438"/>
      <c r="AF564" s="438"/>
      <c r="AG564" s="438"/>
      <c r="AH564" s="438"/>
      <c r="AI564" s="438"/>
    </row>
    <row r="565" spans="4:35">
      <c r="D565" s="435" t="s">
        <v>79</v>
      </c>
      <c r="E565" s="435" t="s">
        <v>68</v>
      </c>
      <c r="F565" s="435" t="s">
        <v>274</v>
      </c>
      <c r="G565" s="435" t="s">
        <v>86</v>
      </c>
      <c r="H565" s="435" t="s">
        <v>264</v>
      </c>
      <c r="I565" s="435" t="s">
        <v>7</v>
      </c>
      <c r="J565" s="435" t="s">
        <v>299</v>
      </c>
      <c r="K565" s="437" t="s">
        <v>313</v>
      </c>
      <c r="L565" s="437" t="s">
        <v>317</v>
      </c>
      <c r="M565" s="435" t="s">
        <v>853</v>
      </c>
      <c r="N565" s="435" t="s">
        <v>829</v>
      </c>
      <c r="O565" s="435" t="s">
        <v>214</v>
      </c>
      <c r="R565" s="435" t="s">
        <v>710</v>
      </c>
      <c r="S565" s="435" t="s">
        <v>711</v>
      </c>
      <c r="AC565" s="435" t="s">
        <v>3</v>
      </c>
      <c r="AE565" s="438"/>
      <c r="AF565" s="438"/>
      <c r="AG565" s="438"/>
      <c r="AH565" s="438"/>
      <c r="AI565" s="438"/>
    </row>
    <row r="566" spans="4:35">
      <c r="D566" s="435" t="s">
        <v>79</v>
      </c>
      <c r="E566" s="435" t="s">
        <v>68</v>
      </c>
      <c r="F566" s="435" t="s">
        <v>274</v>
      </c>
      <c r="G566" s="435" t="s">
        <v>86</v>
      </c>
      <c r="H566" s="435" t="s">
        <v>264</v>
      </c>
      <c r="I566" s="435" t="s">
        <v>7</v>
      </c>
      <c r="J566" s="435" t="s">
        <v>299</v>
      </c>
      <c r="K566" s="437" t="s">
        <v>313</v>
      </c>
      <c r="L566" s="437" t="s">
        <v>317</v>
      </c>
      <c r="M566" s="435" t="s">
        <v>853</v>
      </c>
      <c r="N566" s="435" t="s">
        <v>829</v>
      </c>
      <c r="O566" s="435" t="s">
        <v>214</v>
      </c>
      <c r="P566" s="99"/>
      <c r="R566" s="435" t="s">
        <v>712</v>
      </c>
      <c r="S566" s="435" t="s">
        <v>713</v>
      </c>
      <c r="X566" s="99"/>
      <c r="AC566" s="435" t="s">
        <v>3</v>
      </c>
      <c r="AE566" s="438"/>
      <c r="AF566" s="438"/>
      <c r="AG566" s="438"/>
      <c r="AH566" s="438"/>
      <c r="AI566" s="438"/>
    </row>
    <row r="567" spans="4:35">
      <c r="D567" s="435" t="s">
        <v>79</v>
      </c>
      <c r="E567" s="435" t="s">
        <v>68</v>
      </c>
      <c r="F567" s="435" t="s">
        <v>274</v>
      </c>
      <c r="G567" s="435" t="s">
        <v>86</v>
      </c>
      <c r="H567" s="435" t="s">
        <v>264</v>
      </c>
      <c r="I567" s="435" t="s">
        <v>7</v>
      </c>
      <c r="J567" s="435" t="s">
        <v>299</v>
      </c>
      <c r="K567" s="437" t="s">
        <v>313</v>
      </c>
      <c r="L567" s="439" t="s">
        <v>318</v>
      </c>
      <c r="M567" s="435" t="s">
        <v>854</v>
      </c>
      <c r="N567" s="436" t="s">
        <v>2870</v>
      </c>
      <c r="O567" s="435" t="s">
        <v>830</v>
      </c>
      <c r="R567" s="435" t="s">
        <v>714</v>
      </c>
      <c r="S567" s="435" t="s">
        <v>715</v>
      </c>
      <c r="X567" s="99"/>
      <c r="AC567" s="435" t="s">
        <v>3</v>
      </c>
      <c r="AE567" s="438"/>
      <c r="AF567" s="438"/>
      <c r="AG567" s="438"/>
      <c r="AH567" s="438"/>
      <c r="AI567" s="438"/>
    </row>
    <row r="568" spans="4:35">
      <c r="D568" s="435" t="s">
        <v>79</v>
      </c>
      <c r="E568" s="435" t="s">
        <v>68</v>
      </c>
      <c r="F568" s="435" t="s">
        <v>274</v>
      </c>
      <c r="G568" s="435" t="s">
        <v>86</v>
      </c>
      <c r="H568" s="435" t="s">
        <v>264</v>
      </c>
      <c r="I568" s="435" t="s">
        <v>7</v>
      </c>
      <c r="J568" s="435" t="s">
        <v>299</v>
      </c>
      <c r="K568" s="437" t="s">
        <v>313</v>
      </c>
      <c r="L568" s="439" t="s">
        <v>318</v>
      </c>
      <c r="M568" s="435" t="s">
        <v>854</v>
      </c>
      <c r="N568" s="436" t="s">
        <v>2870</v>
      </c>
      <c r="O568" s="435" t="s">
        <v>830</v>
      </c>
      <c r="R568" s="435" t="s">
        <v>716</v>
      </c>
      <c r="S568" s="435" t="s">
        <v>717</v>
      </c>
      <c r="X568" s="99"/>
      <c r="AC568" s="435" t="s">
        <v>3</v>
      </c>
      <c r="AE568" s="438"/>
      <c r="AF568" s="438"/>
      <c r="AG568" s="438"/>
      <c r="AH568" s="438"/>
      <c r="AI568" s="438"/>
    </row>
    <row r="569" spans="4:35">
      <c r="D569" s="435" t="s">
        <v>79</v>
      </c>
      <c r="E569" s="435" t="s">
        <v>68</v>
      </c>
      <c r="F569" s="435" t="s">
        <v>274</v>
      </c>
      <c r="G569" s="435" t="s">
        <v>86</v>
      </c>
      <c r="H569" s="435" t="s">
        <v>264</v>
      </c>
      <c r="I569" s="435" t="s">
        <v>7</v>
      </c>
      <c r="J569" s="435" t="s">
        <v>299</v>
      </c>
      <c r="K569" s="439" t="s">
        <v>319</v>
      </c>
      <c r="L569" s="439" t="s">
        <v>320</v>
      </c>
      <c r="M569" s="435" t="s">
        <v>855</v>
      </c>
      <c r="N569" s="435" t="s">
        <v>829</v>
      </c>
      <c r="O569" s="435" t="s">
        <v>214</v>
      </c>
      <c r="R569" s="435" t="s">
        <v>718</v>
      </c>
      <c r="S569" s="435" t="s">
        <v>719</v>
      </c>
      <c r="AC569" s="435" t="s">
        <v>3</v>
      </c>
      <c r="AE569" s="438"/>
      <c r="AF569" s="438"/>
      <c r="AG569" s="438"/>
      <c r="AH569" s="438"/>
      <c r="AI569" s="438"/>
    </row>
    <row r="570" spans="4:35">
      <c r="D570" s="435" t="s">
        <v>79</v>
      </c>
      <c r="E570" s="435" t="s">
        <v>68</v>
      </c>
      <c r="F570" s="435" t="s">
        <v>274</v>
      </c>
      <c r="G570" s="435" t="s">
        <v>86</v>
      </c>
      <c r="H570" s="435" t="s">
        <v>264</v>
      </c>
      <c r="I570" s="435" t="s">
        <v>7</v>
      </c>
      <c r="J570" s="435" t="s">
        <v>299</v>
      </c>
      <c r="K570" s="439" t="s">
        <v>319</v>
      </c>
      <c r="L570" s="439" t="s">
        <v>320</v>
      </c>
      <c r="M570" s="435" t="s">
        <v>852</v>
      </c>
      <c r="N570" s="435" t="s">
        <v>829</v>
      </c>
      <c r="O570" s="435" t="s">
        <v>214</v>
      </c>
      <c r="R570" s="435" t="s">
        <v>720</v>
      </c>
      <c r="S570" s="435" t="s">
        <v>721</v>
      </c>
      <c r="AC570" s="435" t="s">
        <v>3</v>
      </c>
      <c r="AE570" s="438"/>
      <c r="AF570" s="438"/>
      <c r="AG570" s="438"/>
      <c r="AH570" s="438"/>
      <c r="AI570" s="438"/>
    </row>
    <row r="571" spans="4:35">
      <c r="D571" s="435" t="s">
        <v>79</v>
      </c>
      <c r="E571" s="435" t="s">
        <v>68</v>
      </c>
      <c r="F571" s="435" t="s">
        <v>274</v>
      </c>
      <c r="G571" s="435" t="s">
        <v>86</v>
      </c>
      <c r="H571" s="435" t="s">
        <v>264</v>
      </c>
      <c r="I571" s="435" t="s">
        <v>7</v>
      </c>
      <c r="J571" s="435" t="s">
        <v>299</v>
      </c>
      <c r="K571" s="439" t="s">
        <v>319</v>
      </c>
      <c r="L571" s="439" t="s">
        <v>320</v>
      </c>
      <c r="M571" s="435" t="s">
        <v>852</v>
      </c>
      <c r="N571" s="435" t="s">
        <v>829</v>
      </c>
      <c r="O571" s="435" t="s">
        <v>214</v>
      </c>
      <c r="R571" s="435" t="s">
        <v>722</v>
      </c>
      <c r="S571" s="435" t="s">
        <v>723</v>
      </c>
      <c r="U571" s="440"/>
      <c r="AC571" s="435" t="s">
        <v>3</v>
      </c>
      <c r="AE571" s="438"/>
      <c r="AF571" s="438"/>
      <c r="AG571" s="438"/>
      <c r="AH571" s="438"/>
      <c r="AI571" s="438"/>
    </row>
    <row r="572" spans="4:35">
      <c r="D572" s="435" t="s">
        <v>79</v>
      </c>
      <c r="E572" s="435" t="s">
        <v>68</v>
      </c>
      <c r="F572" s="435" t="s">
        <v>274</v>
      </c>
      <c r="G572" s="435" t="s">
        <v>86</v>
      </c>
      <c r="H572" s="435" t="s">
        <v>264</v>
      </c>
      <c r="I572" s="435" t="s">
        <v>7</v>
      </c>
      <c r="J572" s="435" t="s">
        <v>299</v>
      </c>
      <c r="K572" s="439" t="s">
        <v>319</v>
      </c>
      <c r="L572" s="439" t="s">
        <v>320</v>
      </c>
      <c r="M572" s="435" t="s">
        <v>852</v>
      </c>
      <c r="N572" s="435" t="s">
        <v>829</v>
      </c>
      <c r="O572" s="435" t="s">
        <v>214</v>
      </c>
      <c r="R572" s="435" t="s">
        <v>724</v>
      </c>
      <c r="S572" s="435" t="s">
        <v>725</v>
      </c>
      <c r="AC572" s="435" t="s">
        <v>3</v>
      </c>
      <c r="AE572" s="438"/>
      <c r="AF572" s="438"/>
      <c r="AG572" s="438"/>
      <c r="AH572" s="438"/>
      <c r="AI572" s="438"/>
    </row>
    <row r="573" spans="4:35">
      <c r="D573" s="435" t="s">
        <v>79</v>
      </c>
      <c r="E573" s="435" t="s">
        <v>68</v>
      </c>
      <c r="F573" s="435" t="s">
        <v>274</v>
      </c>
      <c r="G573" s="435" t="s">
        <v>86</v>
      </c>
      <c r="H573" s="435" t="s">
        <v>264</v>
      </c>
      <c r="I573" s="435" t="s">
        <v>7</v>
      </c>
      <c r="J573" s="435" t="s">
        <v>299</v>
      </c>
      <c r="K573" s="439" t="s">
        <v>319</v>
      </c>
      <c r="L573" s="439" t="s">
        <v>320</v>
      </c>
      <c r="M573" s="435" t="s">
        <v>852</v>
      </c>
      <c r="N573" s="435" t="s">
        <v>829</v>
      </c>
      <c r="O573" s="435" t="s">
        <v>214</v>
      </c>
      <c r="R573" s="435" t="s">
        <v>726</v>
      </c>
      <c r="S573" s="435" t="s">
        <v>727</v>
      </c>
      <c r="AC573" s="435" t="s">
        <v>3</v>
      </c>
      <c r="AE573" s="438"/>
      <c r="AF573" s="438"/>
      <c r="AG573" s="438"/>
      <c r="AH573" s="438"/>
      <c r="AI573" s="438"/>
    </row>
    <row r="574" spans="4:35">
      <c r="D574" s="435" t="s">
        <v>79</v>
      </c>
      <c r="E574" s="435" t="s">
        <v>68</v>
      </c>
      <c r="F574" s="435" t="s">
        <v>274</v>
      </c>
      <c r="G574" s="435" t="s">
        <v>86</v>
      </c>
      <c r="H574" s="435" t="s">
        <v>264</v>
      </c>
      <c r="I574" s="435" t="s">
        <v>7</v>
      </c>
      <c r="J574" s="435" t="s">
        <v>299</v>
      </c>
      <c r="K574" s="439" t="s">
        <v>319</v>
      </c>
      <c r="L574" s="439" t="s">
        <v>320</v>
      </c>
      <c r="M574" s="435" t="s">
        <v>856</v>
      </c>
      <c r="N574" s="435" t="s">
        <v>829</v>
      </c>
      <c r="O574" s="435" t="s">
        <v>214</v>
      </c>
      <c r="R574" s="435" t="s">
        <v>728</v>
      </c>
      <c r="S574" s="435" t="s">
        <v>729</v>
      </c>
      <c r="AC574" s="435" t="s">
        <v>3</v>
      </c>
      <c r="AE574" s="438"/>
      <c r="AF574" s="438"/>
      <c r="AG574" s="438"/>
      <c r="AH574" s="438"/>
      <c r="AI574" s="438"/>
    </row>
    <row r="575" spans="4:35">
      <c r="D575" s="435" t="s">
        <v>79</v>
      </c>
      <c r="E575" s="435" t="s">
        <v>68</v>
      </c>
      <c r="F575" s="435" t="s">
        <v>274</v>
      </c>
      <c r="G575" s="435" t="s">
        <v>86</v>
      </c>
      <c r="H575" s="435" t="s">
        <v>264</v>
      </c>
      <c r="I575" s="435" t="s">
        <v>7</v>
      </c>
      <c r="J575" s="435" t="s">
        <v>299</v>
      </c>
      <c r="K575" s="439" t="s">
        <v>319</v>
      </c>
      <c r="L575" s="439" t="s">
        <v>320</v>
      </c>
      <c r="M575" s="435" t="s">
        <v>856</v>
      </c>
      <c r="N575" s="435" t="s">
        <v>829</v>
      </c>
      <c r="O575" s="435" t="s">
        <v>214</v>
      </c>
      <c r="R575" s="435" t="s">
        <v>730</v>
      </c>
      <c r="S575" s="435" t="s">
        <v>731</v>
      </c>
      <c r="AC575" s="435" t="s">
        <v>3</v>
      </c>
      <c r="AE575" s="438"/>
      <c r="AF575" s="438"/>
      <c r="AG575" s="438"/>
      <c r="AH575" s="438"/>
      <c r="AI575" s="438"/>
    </row>
    <row r="576" spans="4:35">
      <c r="D576" s="435" t="s">
        <v>79</v>
      </c>
      <c r="E576" s="435" t="s">
        <v>68</v>
      </c>
      <c r="F576" s="435" t="s">
        <v>274</v>
      </c>
      <c r="G576" s="435" t="s">
        <v>86</v>
      </c>
      <c r="H576" s="435" t="s">
        <v>264</v>
      </c>
      <c r="I576" s="435" t="s">
        <v>7</v>
      </c>
      <c r="J576" s="435" t="s">
        <v>299</v>
      </c>
      <c r="K576" s="439" t="s">
        <v>319</v>
      </c>
      <c r="L576" s="439" t="s">
        <v>320</v>
      </c>
      <c r="M576" s="435" t="s">
        <v>856</v>
      </c>
      <c r="N576" s="435" t="s">
        <v>829</v>
      </c>
      <c r="O576" s="435" t="s">
        <v>214</v>
      </c>
      <c r="R576" s="435" t="s">
        <v>732</v>
      </c>
      <c r="S576" s="435" t="s">
        <v>731</v>
      </c>
      <c r="AC576" s="435" t="s">
        <v>3</v>
      </c>
      <c r="AE576" s="438"/>
      <c r="AF576" s="438"/>
      <c r="AG576" s="438"/>
      <c r="AH576" s="438"/>
      <c r="AI576" s="438"/>
    </row>
    <row r="577" spans="4:35">
      <c r="D577" s="435" t="s">
        <v>79</v>
      </c>
      <c r="E577" s="435" t="s">
        <v>68</v>
      </c>
      <c r="F577" s="435" t="s">
        <v>274</v>
      </c>
      <c r="G577" s="435" t="s">
        <v>86</v>
      </c>
      <c r="H577" s="435" t="s">
        <v>264</v>
      </c>
      <c r="I577" s="435" t="s">
        <v>7</v>
      </c>
      <c r="J577" s="435" t="s">
        <v>299</v>
      </c>
      <c r="K577" s="439" t="s">
        <v>319</v>
      </c>
      <c r="L577" s="439" t="s">
        <v>320</v>
      </c>
      <c r="M577" s="435" t="s">
        <v>856</v>
      </c>
      <c r="N577" s="435" t="s">
        <v>829</v>
      </c>
      <c r="O577" s="435" t="s">
        <v>214</v>
      </c>
      <c r="R577" s="435" t="s">
        <v>733</v>
      </c>
      <c r="S577" s="435" t="s">
        <v>734</v>
      </c>
      <c r="AC577" s="435" t="s">
        <v>3</v>
      </c>
      <c r="AE577" s="438"/>
      <c r="AF577" s="438"/>
      <c r="AG577" s="438"/>
      <c r="AH577" s="438"/>
      <c r="AI577" s="438"/>
    </row>
    <row r="578" spans="4:35">
      <c r="D578" s="435" t="s">
        <v>79</v>
      </c>
      <c r="E578" s="435" t="s">
        <v>68</v>
      </c>
      <c r="F578" s="435" t="s">
        <v>274</v>
      </c>
      <c r="G578" s="435" t="s">
        <v>86</v>
      </c>
      <c r="H578" s="435" t="s">
        <v>264</v>
      </c>
      <c r="I578" s="435" t="s">
        <v>7</v>
      </c>
      <c r="J578" s="435" t="s">
        <v>299</v>
      </c>
      <c r="K578" s="439" t="s">
        <v>319</v>
      </c>
      <c r="L578" s="439" t="s">
        <v>320</v>
      </c>
      <c r="M578" s="435" t="s">
        <v>856</v>
      </c>
      <c r="N578" s="435" t="s">
        <v>829</v>
      </c>
      <c r="O578" s="435" t="s">
        <v>214</v>
      </c>
      <c r="R578" s="435" t="s">
        <v>735</v>
      </c>
      <c r="S578" s="435" t="s">
        <v>729</v>
      </c>
      <c r="AC578" s="435" t="s">
        <v>3</v>
      </c>
      <c r="AE578" s="438"/>
      <c r="AF578" s="438"/>
      <c r="AG578" s="438"/>
      <c r="AH578" s="438"/>
      <c r="AI578" s="438"/>
    </row>
    <row r="579" spans="4:35">
      <c r="D579" s="435" t="s">
        <v>79</v>
      </c>
      <c r="E579" s="435" t="s">
        <v>68</v>
      </c>
      <c r="F579" s="435" t="s">
        <v>274</v>
      </c>
      <c r="G579" s="435" t="s">
        <v>86</v>
      </c>
      <c r="H579" s="435" t="s">
        <v>264</v>
      </c>
      <c r="I579" s="435" t="s">
        <v>7</v>
      </c>
      <c r="J579" s="435" t="s">
        <v>299</v>
      </c>
      <c r="K579" s="439" t="s">
        <v>319</v>
      </c>
      <c r="L579" s="439" t="s">
        <v>320</v>
      </c>
      <c r="M579" s="435" t="s">
        <v>856</v>
      </c>
      <c r="N579" s="435" t="s">
        <v>829</v>
      </c>
      <c r="O579" s="435" t="s">
        <v>214</v>
      </c>
      <c r="R579" s="435" t="s">
        <v>736</v>
      </c>
      <c r="S579" s="435" t="s">
        <v>737</v>
      </c>
      <c r="AC579" s="435" t="s">
        <v>3</v>
      </c>
      <c r="AE579" s="438"/>
      <c r="AF579" s="438"/>
      <c r="AG579" s="438"/>
      <c r="AH579" s="438"/>
      <c r="AI579" s="438"/>
    </row>
    <row r="580" spans="4:35">
      <c r="D580" s="435" t="s">
        <v>79</v>
      </c>
      <c r="E580" s="435" t="s">
        <v>68</v>
      </c>
      <c r="F580" s="435" t="s">
        <v>274</v>
      </c>
      <c r="G580" s="435" t="s">
        <v>86</v>
      </c>
      <c r="H580" s="435" t="s">
        <v>264</v>
      </c>
      <c r="I580" s="435" t="s">
        <v>7</v>
      </c>
      <c r="J580" s="435" t="s">
        <v>299</v>
      </c>
      <c r="K580" s="439" t="s">
        <v>319</v>
      </c>
      <c r="L580" s="439" t="s">
        <v>320</v>
      </c>
      <c r="M580" s="435" t="s">
        <v>856</v>
      </c>
      <c r="N580" s="436" t="s">
        <v>2870</v>
      </c>
      <c r="O580" s="435" t="s">
        <v>830</v>
      </c>
      <c r="R580" s="435" t="s">
        <v>738</v>
      </c>
      <c r="S580" s="435" t="s">
        <v>739</v>
      </c>
      <c r="AC580" s="435" t="s">
        <v>3</v>
      </c>
      <c r="AE580" s="438"/>
      <c r="AF580" s="438"/>
      <c r="AG580" s="438"/>
      <c r="AH580" s="438"/>
      <c r="AI580" s="438"/>
    </row>
    <row r="581" spans="4:35">
      <c r="D581" s="435" t="s">
        <v>79</v>
      </c>
      <c r="E581" s="435" t="s">
        <v>68</v>
      </c>
      <c r="F581" s="435" t="s">
        <v>274</v>
      </c>
      <c r="G581" s="435" t="s">
        <v>86</v>
      </c>
      <c r="H581" s="435" t="s">
        <v>264</v>
      </c>
      <c r="I581" s="435" t="s">
        <v>7</v>
      </c>
      <c r="J581" s="435" t="s">
        <v>299</v>
      </c>
      <c r="K581" s="439" t="s">
        <v>319</v>
      </c>
      <c r="L581" s="439" t="s">
        <v>320</v>
      </c>
      <c r="M581" s="435" t="s">
        <v>856</v>
      </c>
      <c r="N581" s="435" t="s">
        <v>829</v>
      </c>
      <c r="O581" s="435" t="s">
        <v>214</v>
      </c>
      <c r="R581" s="435" t="s">
        <v>740</v>
      </c>
      <c r="S581" s="435" t="s">
        <v>741</v>
      </c>
      <c r="AC581" s="435" t="s">
        <v>3</v>
      </c>
      <c r="AE581" s="438"/>
      <c r="AF581" s="438"/>
      <c r="AG581" s="438"/>
      <c r="AH581" s="438"/>
      <c r="AI581" s="438"/>
    </row>
    <row r="582" spans="4:35">
      <c r="D582" s="435" t="s">
        <v>79</v>
      </c>
      <c r="E582" s="435" t="s">
        <v>68</v>
      </c>
      <c r="F582" s="435" t="s">
        <v>274</v>
      </c>
      <c r="G582" s="435" t="s">
        <v>86</v>
      </c>
      <c r="H582" s="435" t="s">
        <v>264</v>
      </c>
      <c r="I582" s="435" t="s">
        <v>7</v>
      </c>
      <c r="J582" s="435" t="s">
        <v>299</v>
      </c>
      <c r="K582" s="439" t="s">
        <v>319</v>
      </c>
      <c r="L582" s="439" t="s">
        <v>320</v>
      </c>
      <c r="M582" s="435" t="s">
        <v>856</v>
      </c>
      <c r="N582" s="436" t="s">
        <v>2870</v>
      </c>
      <c r="O582" s="435" t="s">
        <v>830</v>
      </c>
      <c r="R582" s="435" t="s">
        <v>742</v>
      </c>
      <c r="S582" s="435" t="s">
        <v>743</v>
      </c>
      <c r="AC582" s="435" t="s">
        <v>3</v>
      </c>
      <c r="AE582" s="438"/>
      <c r="AF582" s="438"/>
      <c r="AG582" s="438"/>
      <c r="AH582" s="438"/>
      <c r="AI582" s="438"/>
    </row>
    <row r="583" spans="4:35">
      <c r="D583" s="435" t="s">
        <v>79</v>
      </c>
      <c r="E583" s="435" t="s">
        <v>68</v>
      </c>
      <c r="F583" s="435" t="s">
        <v>274</v>
      </c>
      <c r="G583" s="435" t="s">
        <v>86</v>
      </c>
      <c r="H583" s="435" t="s">
        <v>264</v>
      </c>
      <c r="I583" s="435" t="s">
        <v>7</v>
      </c>
      <c r="J583" s="435" t="s">
        <v>299</v>
      </c>
      <c r="K583" s="439" t="s">
        <v>319</v>
      </c>
      <c r="L583" s="439" t="s">
        <v>321</v>
      </c>
      <c r="M583" s="435" t="s">
        <v>857</v>
      </c>
      <c r="N583" s="435" t="s">
        <v>829</v>
      </c>
      <c r="O583" s="435" t="s">
        <v>214</v>
      </c>
      <c r="R583" s="435" t="s">
        <v>744</v>
      </c>
      <c r="S583" s="435" t="s">
        <v>745</v>
      </c>
      <c r="AC583" s="435" t="s">
        <v>3</v>
      </c>
      <c r="AE583" s="438"/>
      <c r="AF583" s="438"/>
      <c r="AG583" s="438"/>
      <c r="AH583" s="438"/>
      <c r="AI583" s="438"/>
    </row>
    <row r="584" spans="4:35">
      <c r="D584" s="435" t="s">
        <v>79</v>
      </c>
      <c r="E584" s="435" t="s">
        <v>68</v>
      </c>
      <c r="F584" s="435" t="s">
        <v>274</v>
      </c>
      <c r="G584" s="435" t="s">
        <v>86</v>
      </c>
      <c r="H584" s="435" t="s">
        <v>264</v>
      </c>
      <c r="I584" s="435" t="s">
        <v>7</v>
      </c>
      <c r="J584" s="435" t="s">
        <v>299</v>
      </c>
      <c r="K584" s="439" t="s">
        <v>319</v>
      </c>
      <c r="L584" s="439" t="s">
        <v>321</v>
      </c>
      <c r="M584" s="435" t="s">
        <v>857</v>
      </c>
      <c r="N584" s="435" t="s">
        <v>829</v>
      </c>
      <c r="O584" s="435" t="s">
        <v>214</v>
      </c>
      <c r="R584" s="435" t="s">
        <v>746</v>
      </c>
      <c r="S584" s="435" t="s">
        <v>745</v>
      </c>
      <c r="AC584" s="435" t="s">
        <v>3</v>
      </c>
      <c r="AE584" s="438"/>
      <c r="AF584" s="438"/>
      <c r="AG584" s="438"/>
      <c r="AH584" s="438"/>
      <c r="AI584" s="438"/>
    </row>
    <row r="585" spans="4:35">
      <c r="D585" s="435" t="s">
        <v>79</v>
      </c>
      <c r="E585" s="435" t="s">
        <v>68</v>
      </c>
      <c r="F585" s="435" t="s">
        <v>274</v>
      </c>
      <c r="G585" s="435" t="s">
        <v>86</v>
      </c>
      <c r="H585" s="435" t="s">
        <v>264</v>
      </c>
      <c r="I585" s="435" t="s">
        <v>7</v>
      </c>
      <c r="J585" s="435" t="s">
        <v>299</v>
      </c>
      <c r="K585" s="439" t="s">
        <v>319</v>
      </c>
      <c r="L585" s="439" t="s">
        <v>321</v>
      </c>
      <c r="M585" s="435" t="s">
        <v>857</v>
      </c>
      <c r="N585" s="435" t="s">
        <v>829</v>
      </c>
      <c r="O585" s="435" t="s">
        <v>214</v>
      </c>
      <c r="R585" s="435" t="s">
        <v>747</v>
      </c>
      <c r="S585" s="435" t="s">
        <v>748</v>
      </c>
      <c r="AC585" s="435" t="s">
        <v>3</v>
      </c>
      <c r="AE585" s="438"/>
      <c r="AF585" s="438"/>
      <c r="AG585" s="438"/>
      <c r="AH585" s="438"/>
      <c r="AI585" s="438"/>
    </row>
    <row r="586" spans="4:35">
      <c r="D586" s="435" t="s">
        <v>79</v>
      </c>
      <c r="E586" s="435" t="s">
        <v>68</v>
      </c>
      <c r="F586" s="435" t="s">
        <v>274</v>
      </c>
      <c r="G586" s="435" t="s">
        <v>86</v>
      </c>
      <c r="H586" s="435" t="s">
        <v>264</v>
      </c>
      <c r="I586" s="435" t="s">
        <v>7</v>
      </c>
      <c r="J586" s="435" t="s">
        <v>299</v>
      </c>
      <c r="K586" s="439" t="s">
        <v>319</v>
      </c>
      <c r="L586" s="439" t="s">
        <v>321</v>
      </c>
      <c r="M586" s="435" t="s">
        <v>857</v>
      </c>
      <c r="N586" s="435" t="s">
        <v>829</v>
      </c>
      <c r="O586" s="435" t="s">
        <v>214</v>
      </c>
      <c r="R586" s="435" t="s">
        <v>749</v>
      </c>
      <c r="S586" s="435" t="s">
        <v>750</v>
      </c>
      <c r="AC586" s="435" t="s">
        <v>3</v>
      </c>
      <c r="AE586" s="438"/>
      <c r="AF586" s="438"/>
      <c r="AG586" s="438"/>
      <c r="AH586" s="438"/>
      <c r="AI586" s="438"/>
    </row>
    <row r="587" spans="4:35">
      <c r="D587" s="435" t="s">
        <v>79</v>
      </c>
      <c r="E587" s="435" t="s">
        <v>68</v>
      </c>
      <c r="F587" s="435" t="s">
        <v>274</v>
      </c>
      <c r="G587" s="435" t="s">
        <v>86</v>
      </c>
      <c r="H587" s="435" t="s">
        <v>264</v>
      </c>
      <c r="I587" s="435" t="s">
        <v>7</v>
      </c>
      <c r="J587" s="435" t="s">
        <v>299</v>
      </c>
      <c r="K587" s="439" t="s">
        <v>319</v>
      </c>
      <c r="L587" s="439" t="s">
        <v>321</v>
      </c>
      <c r="M587" s="435" t="s">
        <v>858</v>
      </c>
      <c r="N587" s="435" t="s">
        <v>829</v>
      </c>
      <c r="O587" s="435" t="s">
        <v>214</v>
      </c>
      <c r="R587" s="435" t="s">
        <v>751</v>
      </c>
      <c r="S587" s="435" t="s">
        <v>752</v>
      </c>
      <c r="AC587" s="435" t="s">
        <v>3</v>
      </c>
      <c r="AE587" s="438"/>
      <c r="AF587" s="438"/>
      <c r="AG587" s="438"/>
      <c r="AH587" s="438"/>
      <c r="AI587" s="438"/>
    </row>
    <row r="588" spans="4:35">
      <c r="D588" s="435" t="s">
        <v>79</v>
      </c>
      <c r="E588" s="435" t="s">
        <v>68</v>
      </c>
      <c r="F588" s="435" t="s">
        <v>274</v>
      </c>
      <c r="G588" s="435" t="s">
        <v>86</v>
      </c>
      <c r="H588" s="435" t="s">
        <v>264</v>
      </c>
      <c r="I588" s="435" t="s">
        <v>7</v>
      </c>
      <c r="J588" s="435" t="s">
        <v>299</v>
      </c>
      <c r="K588" s="439" t="s">
        <v>319</v>
      </c>
      <c r="L588" s="439" t="s">
        <v>321</v>
      </c>
      <c r="M588" s="435" t="s">
        <v>858</v>
      </c>
      <c r="N588" s="435" t="s">
        <v>829</v>
      </c>
      <c r="O588" s="435" t="s">
        <v>214</v>
      </c>
      <c r="R588" s="435" t="s">
        <v>753</v>
      </c>
      <c r="S588" s="435" t="s">
        <v>754</v>
      </c>
      <c r="AC588" s="435" t="s">
        <v>3</v>
      </c>
      <c r="AE588" s="438"/>
      <c r="AF588" s="438"/>
      <c r="AG588" s="438"/>
      <c r="AH588" s="438"/>
      <c r="AI588" s="438"/>
    </row>
    <row r="589" spans="4:35">
      <c r="D589" s="435" t="s">
        <v>79</v>
      </c>
      <c r="E589" s="435" t="s">
        <v>68</v>
      </c>
      <c r="F589" s="435" t="s">
        <v>274</v>
      </c>
      <c r="G589" s="435" t="s">
        <v>86</v>
      </c>
      <c r="H589" s="435" t="s">
        <v>264</v>
      </c>
      <c r="I589" s="435" t="s">
        <v>7</v>
      </c>
      <c r="J589" s="435" t="s">
        <v>299</v>
      </c>
      <c r="K589" s="439" t="s">
        <v>319</v>
      </c>
      <c r="L589" s="439" t="s">
        <v>321</v>
      </c>
      <c r="M589" s="435" t="s">
        <v>858</v>
      </c>
      <c r="N589" s="435" t="s">
        <v>829</v>
      </c>
      <c r="O589" s="435" t="s">
        <v>214</v>
      </c>
      <c r="R589" s="435" t="s">
        <v>755</v>
      </c>
      <c r="S589" s="435" t="s">
        <v>756</v>
      </c>
      <c r="AC589" s="435" t="s">
        <v>3</v>
      </c>
      <c r="AE589" s="438"/>
      <c r="AF589" s="438"/>
      <c r="AG589" s="438"/>
      <c r="AH589" s="438"/>
      <c r="AI589" s="438"/>
    </row>
    <row r="590" spans="4:35">
      <c r="D590" s="435" t="s">
        <v>79</v>
      </c>
      <c r="E590" s="435" t="s">
        <v>68</v>
      </c>
      <c r="F590" s="435" t="s">
        <v>274</v>
      </c>
      <c r="G590" s="435" t="s">
        <v>86</v>
      </c>
      <c r="H590" s="435" t="s">
        <v>264</v>
      </c>
      <c r="I590" s="435" t="s">
        <v>7</v>
      </c>
      <c r="J590" s="435" t="s">
        <v>299</v>
      </c>
      <c r="K590" s="439" t="s">
        <v>319</v>
      </c>
      <c r="L590" s="439" t="s">
        <v>321</v>
      </c>
      <c r="M590" s="435" t="s">
        <v>858</v>
      </c>
      <c r="N590" s="435" t="s">
        <v>829</v>
      </c>
      <c r="O590" s="435" t="s">
        <v>214</v>
      </c>
      <c r="R590" s="435" t="s">
        <v>757</v>
      </c>
      <c r="S590" s="435" t="s">
        <v>752</v>
      </c>
      <c r="AC590" s="435" t="s">
        <v>3</v>
      </c>
      <c r="AE590" s="438"/>
      <c r="AF590" s="438"/>
      <c r="AG590" s="438"/>
      <c r="AH590" s="438"/>
      <c r="AI590" s="438"/>
    </row>
    <row r="591" spans="4:35">
      <c r="D591" s="435" t="s">
        <v>79</v>
      </c>
      <c r="E591" s="435" t="s">
        <v>68</v>
      </c>
      <c r="F591" s="435" t="s">
        <v>274</v>
      </c>
      <c r="G591" s="435" t="s">
        <v>86</v>
      </c>
      <c r="H591" s="435" t="s">
        <v>264</v>
      </c>
      <c r="I591" s="435" t="s">
        <v>7</v>
      </c>
      <c r="J591" s="435" t="s">
        <v>299</v>
      </c>
      <c r="K591" s="439" t="s">
        <v>319</v>
      </c>
      <c r="L591" s="439" t="s">
        <v>321</v>
      </c>
      <c r="M591" s="435" t="s">
        <v>858</v>
      </c>
      <c r="N591" s="435" t="s">
        <v>829</v>
      </c>
      <c r="O591" s="435" t="s">
        <v>214</v>
      </c>
      <c r="R591" s="435" t="s">
        <v>758</v>
      </c>
      <c r="S591" s="435" t="s">
        <v>759</v>
      </c>
      <c r="AC591" s="435" t="s">
        <v>3</v>
      </c>
      <c r="AE591" s="438"/>
      <c r="AF591" s="438"/>
      <c r="AG591" s="438"/>
      <c r="AH591" s="438"/>
      <c r="AI591" s="438"/>
    </row>
    <row r="592" spans="4:35">
      <c r="D592" s="435" t="s">
        <v>79</v>
      </c>
      <c r="E592" s="435" t="s">
        <v>68</v>
      </c>
      <c r="F592" s="435" t="s">
        <v>274</v>
      </c>
      <c r="G592" s="435" t="s">
        <v>86</v>
      </c>
      <c r="H592" s="435" t="s">
        <v>264</v>
      </c>
      <c r="I592" s="435" t="s">
        <v>7</v>
      </c>
      <c r="J592" s="435" t="s">
        <v>299</v>
      </c>
      <c r="K592" s="439" t="s">
        <v>319</v>
      </c>
      <c r="L592" s="439" t="s">
        <v>322</v>
      </c>
      <c r="M592" s="435" t="s">
        <v>859</v>
      </c>
      <c r="N592" s="435" t="s">
        <v>829</v>
      </c>
      <c r="O592" s="435" t="s">
        <v>214</v>
      </c>
      <c r="R592" s="435" t="s">
        <v>760</v>
      </c>
      <c r="S592" s="435" t="s">
        <v>761</v>
      </c>
      <c r="AC592" s="435" t="s">
        <v>3</v>
      </c>
      <c r="AE592" s="438"/>
      <c r="AF592" s="438"/>
      <c r="AG592" s="438"/>
      <c r="AH592" s="438"/>
      <c r="AI592" s="438"/>
    </row>
    <row r="593" spans="4:35">
      <c r="D593" s="435" t="s">
        <v>79</v>
      </c>
      <c r="E593" s="435" t="s">
        <v>68</v>
      </c>
      <c r="F593" s="435" t="s">
        <v>274</v>
      </c>
      <c r="G593" s="435" t="s">
        <v>86</v>
      </c>
      <c r="H593" s="435" t="s">
        <v>264</v>
      </c>
      <c r="I593" s="435" t="s">
        <v>7</v>
      </c>
      <c r="J593" s="435" t="s">
        <v>299</v>
      </c>
      <c r="K593" s="439" t="s">
        <v>319</v>
      </c>
      <c r="L593" s="439" t="s">
        <v>322</v>
      </c>
      <c r="M593" s="435" t="s">
        <v>859</v>
      </c>
      <c r="N593" s="435" t="s">
        <v>829</v>
      </c>
      <c r="O593" s="435" t="s">
        <v>214</v>
      </c>
      <c r="R593" s="435" t="s">
        <v>762</v>
      </c>
      <c r="S593" s="435" t="s">
        <v>763</v>
      </c>
      <c r="AC593" s="435" t="s">
        <v>3</v>
      </c>
      <c r="AE593" s="438"/>
      <c r="AF593" s="438"/>
      <c r="AG593" s="438"/>
      <c r="AH593" s="438"/>
      <c r="AI593" s="438"/>
    </row>
    <row r="594" spans="4:35">
      <c r="D594" s="435" t="s">
        <v>79</v>
      </c>
      <c r="E594" s="435" t="s">
        <v>68</v>
      </c>
      <c r="F594" s="435" t="s">
        <v>274</v>
      </c>
      <c r="G594" s="435" t="s">
        <v>86</v>
      </c>
      <c r="H594" s="435" t="s">
        <v>264</v>
      </c>
      <c r="I594" s="435" t="s">
        <v>7</v>
      </c>
      <c r="J594" s="435" t="s">
        <v>299</v>
      </c>
      <c r="K594" s="439" t="s">
        <v>319</v>
      </c>
      <c r="L594" s="439" t="s">
        <v>322</v>
      </c>
      <c r="M594" s="435" t="s">
        <v>859</v>
      </c>
      <c r="N594" s="435" t="s">
        <v>829</v>
      </c>
      <c r="O594" s="435" t="s">
        <v>214</v>
      </c>
      <c r="R594" s="435" t="s">
        <v>764</v>
      </c>
      <c r="S594" s="435" t="s">
        <v>765</v>
      </c>
      <c r="AC594" s="435" t="s">
        <v>3</v>
      </c>
      <c r="AE594" s="438"/>
      <c r="AF594" s="438"/>
      <c r="AG594" s="438"/>
      <c r="AH594" s="438"/>
      <c r="AI594" s="438"/>
    </row>
    <row r="595" spans="4:35">
      <c r="D595" s="435" t="s">
        <v>79</v>
      </c>
      <c r="E595" s="435" t="s">
        <v>68</v>
      </c>
      <c r="F595" s="435" t="s">
        <v>274</v>
      </c>
      <c r="G595" s="435" t="s">
        <v>86</v>
      </c>
      <c r="H595" s="435" t="s">
        <v>264</v>
      </c>
      <c r="I595" s="435" t="s">
        <v>7</v>
      </c>
      <c r="J595" s="435" t="s">
        <v>299</v>
      </c>
      <c r="K595" s="439" t="s">
        <v>319</v>
      </c>
      <c r="L595" s="439" t="s">
        <v>322</v>
      </c>
      <c r="M595" s="435" t="s">
        <v>859</v>
      </c>
      <c r="N595" s="435" t="s">
        <v>829</v>
      </c>
      <c r="O595" s="435" t="s">
        <v>214</v>
      </c>
      <c r="R595" s="435" t="s">
        <v>766</v>
      </c>
      <c r="S595" s="435" t="s">
        <v>767</v>
      </c>
      <c r="AC595" s="435" t="s">
        <v>3</v>
      </c>
      <c r="AE595" s="438"/>
      <c r="AF595" s="438"/>
      <c r="AG595" s="438"/>
      <c r="AH595" s="438"/>
      <c r="AI595" s="438"/>
    </row>
    <row r="596" spans="4:35">
      <c r="D596" s="435" t="s">
        <v>79</v>
      </c>
      <c r="E596" s="435" t="s">
        <v>68</v>
      </c>
      <c r="F596" s="435" t="s">
        <v>274</v>
      </c>
      <c r="G596" s="435" t="s">
        <v>86</v>
      </c>
      <c r="H596" s="435" t="s">
        <v>264</v>
      </c>
      <c r="I596" s="435" t="s">
        <v>7</v>
      </c>
      <c r="J596" s="435" t="s">
        <v>299</v>
      </c>
      <c r="K596" s="439" t="s">
        <v>319</v>
      </c>
      <c r="L596" s="439" t="s">
        <v>322</v>
      </c>
      <c r="M596" s="435" t="s">
        <v>860</v>
      </c>
      <c r="N596" s="435" t="s">
        <v>829</v>
      </c>
      <c r="O596" s="435" t="s">
        <v>214</v>
      </c>
      <c r="R596" s="435" t="s">
        <v>768</v>
      </c>
      <c r="S596" s="435" t="s">
        <v>761</v>
      </c>
      <c r="AC596" s="435" t="s">
        <v>3</v>
      </c>
      <c r="AE596" s="438"/>
      <c r="AF596" s="438"/>
      <c r="AG596" s="438"/>
      <c r="AH596" s="438"/>
      <c r="AI596" s="438"/>
    </row>
    <row r="597" spans="4:35">
      <c r="D597" s="435" t="s">
        <v>79</v>
      </c>
      <c r="E597" s="435" t="s">
        <v>68</v>
      </c>
      <c r="F597" s="435" t="s">
        <v>274</v>
      </c>
      <c r="G597" s="435" t="s">
        <v>86</v>
      </c>
      <c r="H597" s="435" t="s">
        <v>264</v>
      </c>
      <c r="I597" s="435" t="s">
        <v>7</v>
      </c>
      <c r="J597" s="435" t="s">
        <v>299</v>
      </c>
      <c r="K597" s="439" t="s">
        <v>319</v>
      </c>
      <c r="L597" s="439" t="s">
        <v>322</v>
      </c>
      <c r="M597" s="435" t="s">
        <v>860</v>
      </c>
      <c r="N597" s="436" t="s">
        <v>2870</v>
      </c>
      <c r="O597" s="435" t="s">
        <v>830</v>
      </c>
      <c r="R597" s="435" t="s">
        <v>769</v>
      </c>
      <c r="S597" s="435" t="s">
        <v>763</v>
      </c>
      <c r="AC597" s="435" t="s">
        <v>3</v>
      </c>
      <c r="AE597" s="438"/>
      <c r="AF597" s="438"/>
      <c r="AG597" s="438"/>
      <c r="AH597" s="438"/>
      <c r="AI597" s="438"/>
    </row>
    <row r="598" spans="4:35">
      <c r="D598" s="435" t="s">
        <v>79</v>
      </c>
      <c r="E598" s="435" t="s">
        <v>68</v>
      </c>
      <c r="F598" s="435" t="s">
        <v>274</v>
      </c>
      <c r="G598" s="435" t="s">
        <v>86</v>
      </c>
      <c r="H598" s="435" t="s">
        <v>264</v>
      </c>
      <c r="I598" s="435" t="s">
        <v>7</v>
      </c>
      <c r="J598" s="435" t="s">
        <v>299</v>
      </c>
      <c r="K598" s="439" t="s">
        <v>319</v>
      </c>
      <c r="L598" s="439" t="s">
        <v>322</v>
      </c>
      <c r="M598" s="435" t="s">
        <v>860</v>
      </c>
      <c r="N598" s="435" t="s">
        <v>829</v>
      </c>
      <c r="O598" s="435" t="s">
        <v>214</v>
      </c>
      <c r="R598" s="435" t="s">
        <v>770</v>
      </c>
      <c r="S598" s="435" t="s">
        <v>765</v>
      </c>
      <c r="AC598" s="435" t="s">
        <v>3</v>
      </c>
      <c r="AE598" s="438"/>
      <c r="AF598" s="438"/>
      <c r="AG598" s="438"/>
      <c r="AH598" s="438"/>
      <c r="AI598" s="438"/>
    </row>
    <row r="599" spans="4:35">
      <c r="D599" s="435" t="s">
        <v>79</v>
      </c>
      <c r="E599" s="435" t="s">
        <v>68</v>
      </c>
      <c r="F599" s="435" t="s">
        <v>274</v>
      </c>
      <c r="G599" s="435" t="s">
        <v>86</v>
      </c>
      <c r="H599" s="435" t="s">
        <v>264</v>
      </c>
      <c r="I599" s="435" t="s">
        <v>7</v>
      </c>
      <c r="J599" s="435" t="s">
        <v>299</v>
      </c>
      <c r="K599" s="439" t="s">
        <v>319</v>
      </c>
      <c r="L599" s="439" t="s">
        <v>322</v>
      </c>
      <c r="M599" s="435" t="s">
        <v>860</v>
      </c>
      <c r="N599" s="435" t="s">
        <v>829</v>
      </c>
      <c r="O599" s="435" t="s">
        <v>214</v>
      </c>
      <c r="R599" s="435" t="s">
        <v>771</v>
      </c>
      <c r="S599" s="435" t="s">
        <v>772</v>
      </c>
      <c r="AC599" s="435" t="s">
        <v>3</v>
      </c>
      <c r="AE599" s="438"/>
      <c r="AF599" s="438"/>
      <c r="AG599" s="438"/>
      <c r="AH599" s="438"/>
      <c r="AI599" s="438"/>
    </row>
    <row r="600" spans="4:35">
      <c r="D600" s="435" t="s">
        <v>79</v>
      </c>
      <c r="E600" s="435" t="s">
        <v>68</v>
      </c>
      <c r="F600" s="435" t="s">
        <v>274</v>
      </c>
      <c r="G600" s="435" t="s">
        <v>86</v>
      </c>
      <c r="H600" s="435" t="s">
        <v>264</v>
      </c>
      <c r="I600" s="435" t="s">
        <v>7</v>
      </c>
      <c r="J600" s="435" t="s">
        <v>299</v>
      </c>
      <c r="K600" s="437" t="s">
        <v>323</v>
      </c>
      <c r="L600" s="437" t="s">
        <v>323</v>
      </c>
      <c r="M600" s="435" t="s">
        <v>861</v>
      </c>
      <c r="N600" s="435" t="s">
        <v>829</v>
      </c>
      <c r="O600" s="435" t="s">
        <v>214</v>
      </c>
      <c r="R600" s="435" t="s">
        <v>773</v>
      </c>
      <c r="S600" s="435" t="s">
        <v>774</v>
      </c>
      <c r="AC600" s="435" t="s">
        <v>3</v>
      </c>
      <c r="AE600" s="438"/>
      <c r="AF600" s="438"/>
      <c r="AG600" s="438"/>
      <c r="AH600" s="438"/>
      <c r="AI600" s="438"/>
    </row>
    <row r="601" spans="4:35">
      <c r="D601" s="435" t="s">
        <v>79</v>
      </c>
      <c r="E601" s="435" t="s">
        <v>68</v>
      </c>
      <c r="F601" s="435" t="s">
        <v>274</v>
      </c>
      <c r="G601" s="435" t="s">
        <v>86</v>
      </c>
      <c r="H601" s="435" t="s">
        <v>264</v>
      </c>
      <c r="I601" s="435" t="s">
        <v>7</v>
      </c>
      <c r="J601" s="435" t="s">
        <v>299</v>
      </c>
      <c r="K601" s="437" t="s">
        <v>323</v>
      </c>
      <c r="L601" s="437" t="s">
        <v>323</v>
      </c>
      <c r="M601" s="435" t="s">
        <v>861</v>
      </c>
      <c r="N601" s="435" t="s">
        <v>829</v>
      </c>
      <c r="O601" s="435" t="s">
        <v>214</v>
      </c>
      <c r="R601" s="435" t="s">
        <v>775</v>
      </c>
      <c r="S601" s="435" t="s">
        <v>776</v>
      </c>
      <c r="AC601" s="435" t="s">
        <v>3</v>
      </c>
      <c r="AE601" s="438"/>
      <c r="AF601" s="438"/>
      <c r="AG601" s="438"/>
      <c r="AH601" s="438"/>
      <c r="AI601" s="438"/>
    </row>
    <row r="602" spans="4:35">
      <c r="D602" s="435" t="s">
        <v>79</v>
      </c>
      <c r="E602" s="435" t="s">
        <v>68</v>
      </c>
      <c r="F602" s="435" t="s">
        <v>274</v>
      </c>
      <c r="G602" s="435" t="s">
        <v>86</v>
      </c>
      <c r="H602" s="435" t="s">
        <v>264</v>
      </c>
      <c r="I602" s="435" t="s">
        <v>7</v>
      </c>
      <c r="J602" s="435" t="s">
        <v>299</v>
      </c>
      <c r="K602" s="437" t="s">
        <v>323</v>
      </c>
      <c r="L602" s="437" t="s">
        <v>323</v>
      </c>
      <c r="M602" s="435" t="s">
        <v>861</v>
      </c>
      <c r="N602" s="435" t="s">
        <v>829</v>
      </c>
      <c r="O602" s="435" t="s">
        <v>214</v>
      </c>
      <c r="R602" s="435" t="s">
        <v>777</v>
      </c>
      <c r="S602" s="435" t="s">
        <v>778</v>
      </c>
      <c r="AC602" s="435" t="s">
        <v>3</v>
      </c>
      <c r="AE602" s="438"/>
      <c r="AF602" s="438"/>
      <c r="AG602" s="438"/>
      <c r="AH602" s="438"/>
      <c r="AI602" s="438"/>
    </row>
    <row r="603" spans="4:35">
      <c r="D603" s="435" t="s">
        <v>79</v>
      </c>
      <c r="E603" s="435" t="s">
        <v>68</v>
      </c>
      <c r="F603" s="435" t="s">
        <v>274</v>
      </c>
      <c r="G603" s="435" t="s">
        <v>86</v>
      </c>
      <c r="H603" s="435" t="s">
        <v>264</v>
      </c>
      <c r="I603" s="435" t="s">
        <v>7</v>
      </c>
      <c r="J603" s="435" t="s">
        <v>299</v>
      </c>
      <c r="K603" s="437" t="s">
        <v>323</v>
      </c>
      <c r="L603" s="437" t="s">
        <v>323</v>
      </c>
      <c r="M603" s="435" t="s">
        <v>861</v>
      </c>
      <c r="N603" s="435" t="s">
        <v>829</v>
      </c>
      <c r="O603" s="435" t="s">
        <v>214</v>
      </c>
      <c r="R603" s="435" t="s">
        <v>779</v>
      </c>
      <c r="S603" s="435" t="s">
        <v>780</v>
      </c>
      <c r="AC603" s="435" t="s">
        <v>3</v>
      </c>
      <c r="AE603" s="438"/>
      <c r="AF603" s="438"/>
      <c r="AG603" s="438"/>
      <c r="AH603" s="438"/>
      <c r="AI603" s="438"/>
    </row>
    <row r="604" spans="4:35">
      <c r="D604" s="435" t="s">
        <v>79</v>
      </c>
      <c r="E604" s="435" t="s">
        <v>68</v>
      </c>
      <c r="F604" s="435" t="s">
        <v>274</v>
      </c>
      <c r="G604" s="435" t="s">
        <v>86</v>
      </c>
      <c r="H604" s="435" t="s">
        <v>264</v>
      </c>
      <c r="I604" s="435" t="s">
        <v>7</v>
      </c>
      <c r="J604" s="435" t="s">
        <v>299</v>
      </c>
      <c r="K604" s="437" t="s">
        <v>323</v>
      </c>
      <c r="L604" s="437" t="s">
        <v>323</v>
      </c>
      <c r="M604" s="435" t="s">
        <v>861</v>
      </c>
      <c r="N604" s="435" t="s">
        <v>829</v>
      </c>
      <c r="O604" s="435" t="s">
        <v>214</v>
      </c>
      <c r="R604" s="435" t="s">
        <v>781</v>
      </c>
      <c r="S604" s="435" t="s">
        <v>782</v>
      </c>
      <c r="AC604" s="435" t="s">
        <v>3</v>
      </c>
      <c r="AE604" s="438"/>
      <c r="AF604" s="438"/>
      <c r="AG604" s="438"/>
      <c r="AH604" s="438"/>
      <c r="AI604" s="438"/>
    </row>
    <row r="605" spans="4:35">
      <c r="D605" s="435" t="s">
        <v>79</v>
      </c>
      <c r="E605" s="435" t="s">
        <v>68</v>
      </c>
      <c r="F605" s="435" t="s">
        <v>274</v>
      </c>
      <c r="G605" s="435" t="s">
        <v>86</v>
      </c>
      <c r="H605" s="435" t="s">
        <v>264</v>
      </c>
      <c r="I605" s="435" t="s">
        <v>7</v>
      </c>
      <c r="J605" s="435" t="s">
        <v>299</v>
      </c>
      <c r="K605" s="437" t="s">
        <v>323</v>
      </c>
      <c r="L605" s="437" t="s">
        <v>323</v>
      </c>
      <c r="M605" s="435" t="s">
        <v>861</v>
      </c>
      <c r="N605" s="435" t="s">
        <v>829</v>
      </c>
      <c r="O605" s="435" t="s">
        <v>214</v>
      </c>
      <c r="R605" s="435" t="s">
        <v>783</v>
      </c>
      <c r="S605" s="435" t="s">
        <v>784</v>
      </c>
      <c r="AC605" s="435" t="s">
        <v>3</v>
      </c>
      <c r="AE605" s="438"/>
      <c r="AF605" s="438"/>
      <c r="AG605" s="438"/>
      <c r="AH605" s="438"/>
      <c r="AI605" s="438"/>
    </row>
    <row r="606" spans="4:35">
      <c r="D606" s="435" t="s">
        <v>79</v>
      </c>
      <c r="E606" s="435" t="s">
        <v>68</v>
      </c>
      <c r="F606" s="435" t="s">
        <v>274</v>
      </c>
      <c r="G606" s="435" t="s">
        <v>86</v>
      </c>
      <c r="H606" s="435" t="s">
        <v>264</v>
      </c>
      <c r="I606" s="435" t="s">
        <v>7</v>
      </c>
      <c r="J606" s="435" t="s">
        <v>299</v>
      </c>
      <c r="K606" s="437" t="s">
        <v>323</v>
      </c>
      <c r="L606" s="437" t="s">
        <v>323</v>
      </c>
      <c r="M606" s="435" t="s">
        <v>861</v>
      </c>
      <c r="N606" s="435" t="s">
        <v>829</v>
      </c>
      <c r="O606" s="435" t="s">
        <v>214</v>
      </c>
      <c r="R606" s="435" t="s">
        <v>785</v>
      </c>
      <c r="S606" s="435" t="s">
        <v>786</v>
      </c>
      <c r="AC606" s="435" t="s">
        <v>3</v>
      </c>
      <c r="AE606" s="438"/>
      <c r="AF606" s="438"/>
      <c r="AG606" s="438"/>
      <c r="AH606" s="438"/>
      <c r="AI606" s="438"/>
    </row>
    <row r="607" spans="4:35">
      <c r="D607" s="435" t="s">
        <v>79</v>
      </c>
      <c r="E607" s="435" t="s">
        <v>68</v>
      </c>
      <c r="F607" s="435" t="s">
        <v>274</v>
      </c>
      <c r="G607" s="435" t="s">
        <v>86</v>
      </c>
      <c r="H607" s="435" t="s">
        <v>264</v>
      </c>
      <c r="I607" s="435" t="s">
        <v>7</v>
      </c>
      <c r="J607" s="435" t="s">
        <v>299</v>
      </c>
      <c r="K607" s="437" t="s">
        <v>323</v>
      </c>
      <c r="L607" s="437" t="s">
        <v>323</v>
      </c>
      <c r="M607" s="435" t="s">
        <v>861</v>
      </c>
      <c r="N607" s="436" t="s">
        <v>2870</v>
      </c>
      <c r="O607" s="435" t="s">
        <v>830</v>
      </c>
      <c r="R607" s="435" t="s">
        <v>787</v>
      </c>
      <c r="S607" s="435" t="s">
        <v>778</v>
      </c>
      <c r="AC607" s="435" t="s">
        <v>3</v>
      </c>
      <c r="AE607" s="438"/>
      <c r="AF607" s="438"/>
      <c r="AG607" s="438"/>
      <c r="AH607" s="438"/>
      <c r="AI607" s="438"/>
    </row>
    <row r="608" spans="4:35">
      <c r="D608" s="435" t="s">
        <v>79</v>
      </c>
      <c r="E608" s="435" t="s">
        <v>68</v>
      </c>
      <c r="F608" s="435" t="s">
        <v>274</v>
      </c>
      <c r="G608" s="435" t="s">
        <v>86</v>
      </c>
      <c r="H608" s="435" t="s">
        <v>264</v>
      </c>
      <c r="I608" s="435" t="s">
        <v>7</v>
      </c>
      <c r="J608" s="435" t="s">
        <v>299</v>
      </c>
      <c r="K608" s="437" t="s">
        <v>323</v>
      </c>
      <c r="L608" s="437" t="s">
        <v>323</v>
      </c>
      <c r="M608" s="435" t="s">
        <v>861</v>
      </c>
      <c r="N608" s="435" t="s">
        <v>829</v>
      </c>
      <c r="O608" s="435" t="s">
        <v>214</v>
      </c>
      <c r="R608" s="435" t="s">
        <v>788</v>
      </c>
      <c r="S608" s="435" t="s">
        <v>784</v>
      </c>
      <c r="AC608" s="435" t="s">
        <v>3</v>
      </c>
      <c r="AE608" s="438"/>
      <c r="AF608" s="438"/>
      <c r="AG608" s="438"/>
      <c r="AH608" s="438"/>
      <c r="AI608" s="438"/>
    </row>
    <row r="609" spans="4:35">
      <c r="D609" s="435" t="s">
        <v>79</v>
      </c>
      <c r="E609" s="435" t="s">
        <v>68</v>
      </c>
      <c r="F609" s="435" t="s">
        <v>274</v>
      </c>
      <c r="G609" s="435" t="s">
        <v>86</v>
      </c>
      <c r="H609" s="435" t="s">
        <v>264</v>
      </c>
      <c r="I609" s="435" t="s">
        <v>7</v>
      </c>
      <c r="J609" s="435" t="s">
        <v>299</v>
      </c>
      <c r="K609" s="437" t="s">
        <v>323</v>
      </c>
      <c r="L609" s="437" t="s">
        <v>323</v>
      </c>
      <c r="M609" s="435" t="s">
        <v>861</v>
      </c>
      <c r="N609" s="435" t="s">
        <v>829</v>
      </c>
      <c r="O609" s="435" t="s">
        <v>214</v>
      </c>
      <c r="R609" s="435" t="s">
        <v>789</v>
      </c>
      <c r="S609" s="435" t="s">
        <v>790</v>
      </c>
      <c r="AC609" s="435" t="s">
        <v>3</v>
      </c>
      <c r="AE609" s="438"/>
      <c r="AF609" s="438"/>
      <c r="AG609" s="438"/>
      <c r="AH609" s="438"/>
      <c r="AI609" s="438"/>
    </row>
    <row r="610" spans="4:35">
      <c r="D610" s="435" t="s">
        <v>79</v>
      </c>
      <c r="E610" s="435" t="s">
        <v>68</v>
      </c>
      <c r="F610" s="435" t="s">
        <v>274</v>
      </c>
      <c r="G610" s="435" t="s">
        <v>86</v>
      </c>
      <c r="H610" s="435" t="s">
        <v>264</v>
      </c>
      <c r="I610" s="435" t="s">
        <v>7</v>
      </c>
      <c r="J610" s="435" t="s">
        <v>299</v>
      </c>
      <c r="K610" s="437" t="s">
        <v>323</v>
      </c>
      <c r="L610" s="437" t="s">
        <v>323</v>
      </c>
      <c r="M610" s="435" t="s">
        <v>861</v>
      </c>
      <c r="N610" s="435" t="s">
        <v>829</v>
      </c>
      <c r="O610" s="435" t="s">
        <v>214</v>
      </c>
      <c r="R610" s="435" t="s">
        <v>791</v>
      </c>
      <c r="S610" s="435" t="s">
        <v>790</v>
      </c>
      <c r="AC610" s="435" t="s">
        <v>3</v>
      </c>
      <c r="AE610" s="438"/>
      <c r="AF610" s="438"/>
      <c r="AG610" s="438"/>
      <c r="AH610" s="438"/>
      <c r="AI610" s="438"/>
    </row>
    <row r="611" spans="4:35">
      <c r="D611" s="435" t="s">
        <v>79</v>
      </c>
      <c r="E611" s="435" t="s">
        <v>68</v>
      </c>
      <c r="F611" s="435" t="s">
        <v>274</v>
      </c>
      <c r="G611" s="435" t="s">
        <v>86</v>
      </c>
      <c r="H611" s="435" t="s">
        <v>264</v>
      </c>
      <c r="I611" s="435" t="s">
        <v>7</v>
      </c>
      <c r="J611" s="435" t="s">
        <v>299</v>
      </c>
      <c r="K611" s="437" t="s">
        <v>323</v>
      </c>
      <c r="L611" s="437" t="s">
        <v>323</v>
      </c>
      <c r="M611" s="435" t="s">
        <v>862</v>
      </c>
      <c r="N611" s="435" t="s">
        <v>829</v>
      </c>
      <c r="O611" s="435" t="s">
        <v>214</v>
      </c>
      <c r="R611" s="435" t="s">
        <v>792</v>
      </c>
      <c r="S611" s="435" t="s">
        <v>793</v>
      </c>
      <c r="AC611" s="435" t="s">
        <v>3</v>
      </c>
      <c r="AE611" s="438"/>
      <c r="AF611" s="438"/>
      <c r="AG611" s="438"/>
      <c r="AH611" s="438"/>
      <c r="AI611" s="438"/>
    </row>
    <row r="612" spans="4:35">
      <c r="D612" s="435" t="s">
        <v>79</v>
      </c>
      <c r="E612" s="435" t="s">
        <v>68</v>
      </c>
      <c r="F612" s="435" t="s">
        <v>274</v>
      </c>
      <c r="G612" s="435" t="s">
        <v>86</v>
      </c>
      <c r="H612" s="435" t="s">
        <v>264</v>
      </c>
      <c r="I612" s="435" t="s">
        <v>7</v>
      </c>
      <c r="J612" s="435" t="s">
        <v>299</v>
      </c>
      <c r="K612" s="437" t="s">
        <v>323</v>
      </c>
      <c r="L612" s="437" t="s">
        <v>323</v>
      </c>
      <c r="M612" s="435" t="s">
        <v>862</v>
      </c>
      <c r="N612" s="435" t="s">
        <v>829</v>
      </c>
      <c r="O612" s="435" t="s">
        <v>214</v>
      </c>
      <c r="R612" s="435" t="s">
        <v>794</v>
      </c>
      <c r="S612" s="435" t="s">
        <v>795</v>
      </c>
      <c r="AC612" s="435" t="s">
        <v>3</v>
      </c>
      <c r="AE612" s="438"/>
      <c r="AF612" s="438"/>
      <c r="AG612" s="438"/>
      <c r="AH612" s="438"/>
      <c r="AI612" s="438"/>
    </row>
    <row r="613" spans="4:35">
      <c r="D613" s="435" t="s">
        <v>79</v>
      </c>
      <c r="E613" s="435" t="s">
        <v>68</v>
      </c>
      <c r="F613" s="435" t="s">
        <v>274</v>
      </c>
      <c r="G613" s="435" t="s">
        <v>86</v>
      </c>
      <c r="H613" s="435" t="s">
        <v>264</v>
      </c>
      <c r="I613" s="435" t="s">
        <v>7</v>
      </c>
      <c r="J613" s="435" t="s">
        <v>299</v>
      </c>
      <c r="K613" s="437" t="s">
        <v>323</v>
      </c>
      <c r="L613" s="437" t="s">
        <v>323</v>
      </c>
      <c r="M613" s="435" t="s">
        <v>862</v>
      </c>
      <c r="N613" s="436" t="s">
        <v>2870</v>
      </c>
      <c r="O613" s="435" t="s">
        <v>830</v>
      </c>
      <c r="R613" s="435" t="s">
        <v>796</v>
      </c>
      <c r="S613" s="435" t="s">
        <v>795</v>
      </c>
      <c r="AC613" s="435" t="s">
        <v>3</v>
      </c>
      <c r="AE613" s="438"/>
      <c r="AF613" s="438"/>
      <c r="AG613" s="438"/>
      <c r="AH613" s="438"/>
      <c r="AI613" s="438"/>
    </row>
    <row r="614" spans="4:35">
      <c r="D614" s="435" t="s">
        <v>79</v>
      </c>
      <c r="E614" s="435" t="s">
        <v>68</v>
      </c>
      <c r="F614" s="435" t="s">
        <v>274</v>
      </c>
      <c r="G614" s="435" t="s">
        <v>86</v>
      </c>
      <c r="H614" s="435" t="s">
        <v>264</v>
      </c>
      <c r="I614" s="435" t="s">
        <v>7</v>
      </c>
      <c r="J614" s="435" t="s">
        <v>299</v>
      </c>
      <c r="K614" s="437" t="s">
        <v>323</v>
      </c>
      <c r="L614" s="437" t="s">
        <v>323</v>
      </c>
      <c r="M614" s="435" t="s">
        <v>862</v>
      </c>
      <c r="N614" s="435" t="s">
        <v>829</v>
      </c>
      <c r="O614" s="435" t="s">
        <v>214</v>
      </c>
      <c r="R614" s="435" t="s">
        <v>797</v>
      </c>
      <c r="S614" s="435" t="s">
        <v>793</v>
      </c>
      <c r="AC614" s="435" t="s">
        <v>3</v>
      </c>
      <c r="AE614" s="438"/>
      <c r="AF614" s="438"/>
      <c r="AG614" s="438"/>
      <c r="AH614" s="438"/>
      <c r="AI614" s="438"/>
    </row>
    <row r="615" spans="4:35">
      <c r="D615" s="435" t="s">
        <v>79</v>
      </c>
      <c r="E615" s="435" t="s">
        <v>68</v>
      </c>
      <c r="F615" s="435" t="s">
        <v>274</v>
      </c>
      <c r="G615" s="435" t="s">
        <v>86</v>
      </c>
      <c r="H615" s="435" t="s">
        <v>264</v>
      </c>
      <c r="I615" s="435" t="s">
        <v>7</v>
      </c>
      <c r="J615" s="435" t="s">
        <v>299</v>
      </c>
      <c r="K615" s="437" t="s">
        <v>323</v>
      </c>
      <c r="L615" s="437" t="s">
        <v>323</v>
      </c>
      <c r="M615" s="435" t="s">
        <v>863</v>
      </c>
      <c r="N615" s="435" t="s">
        <v>829</v>
      </c>
      <c r="O615" s="435" t="s">
        <v>214</v>
      </c>
      <c r="R615" s="435" t="s">
        <v>798</v>
      </c>
      <c r="S615" s="435" t="s">
        <v>799</v>
      </c>
      <c r="AC615" s="435" t="s">
        <v>3</v>
      </c>
      <c r="AE615" s="438"/>
      <c r="AF615" s="438"/>
      <c r="AG615" s="438"/>
      <c r="AH615" s="438"/>
      <c r="AI615" s="438"/>
    </row>
    <row r="616" spans="4:35">
      <c r="D616" s="435" t="s">
        <v>79</v>
      </c>
      <c r="E616" s="435" t="s">
        <v>68</v>
      </c>
      <c r="F616" s="435" t="s">
        <v>274</v>
      </c>
      <c r="G616" s="435" t="s">
        <v>86</v>
      </c>
      <c r="H616" s="435" t="s">
        <v>264</v>
      </c>
      <c r="I616" s="435" t="s">
        <v>7</v>
      </c>
      <c r="J616" s="435" t="s">
        <v>299</v>
      </c>
      <c r="K616" s="437" t="s">
        <v>323</v>
      </c>
      <c r="L616" s="437" t="s">
        <v>323</v>
      </c>
      <c r="M616" s="435" t="s">
        <v>863</v>
      </c>
      <c r="N616" s="435" t="s">
        <v>829</v>
      </c>
      <c r="O616" s="435" t="s">
        <v>214</v>
      </c>
      <c r="R616" s="435" t="s">
        <v>800</v>
      </c>
      <c r="S616" s="435" t="s">
        <v>801</v>
      </c>
      <c r="AC616" s="435" t="s">
        <v>3</v>
      </c>
      <c r="AE616" s="438"/>
      <c r="AF616" s="438"/>
      <c r="AG616" s="438"/>
      <c r="AH616" s="438"/>
      <c r="AI616" s="438"/>
    </row>
    <row r="617" spans="4:35">
      <c r="D617" s="435" t="s">
        <v>79</v>
      </c>
      <c r="E617" s="435" t="s">
        <v>68</v>
      </c>
      <c r="F617" s="435" t="s">
        <v>274</v>
      </c>
      <c r="G617" s="435" t="s">
        <v>86</v>
      </c>
      <c r="H617" s="435" t="s">
        <v>264</v>
      </c>
      <c r="I617" s="435" t="s">
        <v>7</v>
      </c>
      <c r="J617" s="435" t="s">
        <v>299</v>
      </c>
      <c r="K617" s="437" t="s">
        <v>323</v>
      </c>
      <c r="L617" s="437" t="s">
        <v>323</v>
      </c>
      <c r="M617" s="435" t="s">
        <v>863</v>
      </c>
      <c r="N617" s="436" t="s">
        <v>2870</v>
      </c>
      <c r="O617" s="435" t="s">
        <v>830</v>
      </c>
      <c r="R617" s="435" t="s">
        <v>802</v>
      </c>
      <c r="S617" s="435" t="s">
        <v>803</v>
      </c>
      <c r="AC617" s="435" t="s">
        <v>3</v>
      </c>
      <c r="AE617" s="438"/>
      <c r="AF617" s="438"/>
      <c r="AG617" s="438"/>
      <c r="AH617" s="438"/>
      <c r="AI617" s="438"/>
    </row>
    <row r="618" spans="4:35">
      <c r="D618" s="435" t="s">
        <v>79</v>
      </c>
      <c r="E618" s="435" t="s">
        <v>68</v>
      </c>
      <c r="F618" s="435" t="s">
        <v>274</v>
      </c>
      <c r="G618" s="435" t="s">
        <v>86</v>
      </c>
      <c r="H618" s="435" t="s">
        <v>264</v>
      </c>
      <c r="I618" s="435" t="s">
        <v>7</v>
      </c>
      <c r="J618" s="435" t="s">
        <v>299</v>
      </c>
      <c r="K618" s="437" t="s">
        <v>323</v>
      </c>
      <c r="L618" s="437" t="s">
        <v>323</v>
      </c>
      <c r="M618" s="435" t="s">
        <v>863</v>
      </c>
      <c r="N618" s="435" t="s">
        <v>829</v>
      </c>
      <c r="O618" s="435" t="s">
        <v>214</v>
      </c>
      <c r="R618" s="435" t="s">
        <v>804</v>
      </c>
      <c r="S618" s="435" t="s">
        <v>805</v>
      </c>
      <c r="AC618" s="435" t="s">
        <v>3</v>
      </c>
      <c r="AE618" s="438"/>
      <c r="AF618" s="438"/>
      <c r="AG618" s="438"/>
      <c r="AH618" s="438"/>
      <c r="AI618" s="438"/>
    </row>
    <row r="619" spans="4:35">
      <c r="D619" s="435" t="s">
        <v>79</v>
      </c>
      <c r="E619" s="435" t="s">
        <v>68</v>
      </c>
      <c r="F619" s="435" t="s">
        <v>274</v>
      </c>
      <c r="G619" s="435" t="s">
        <v>86</v>
      </c>
      <c r="H619" s="435" t="s">
        <v>264</v>
      </c>
      <c r="I619" s="435" t="s">
        <v>7</v>
      </c>
      <c r="J619" s="435" t="s">
        <v>299</v>
      </c>
      <c r="K619" s="437" t="s">
        <v>323</v>
      </c>
      <c r="L619" s="437" t="s">
        <v>323</v>
      </c>
      <c r="M619" s="435" t="s">
        <v>863</v>
      </c>
      <c r="N619" s="435" t="s">
        <v>829</v>
      </c>
      <c r="O619" s="435" t="s">
        <v>214</v>
      </c>
      <c r="R619" s="435" t="s">
        <v>806</v>
      </c>
      <c r="S619" s="435" t="s">
        <v>807</v>
      </c>
      <c r="AC619" s="435" t="s">
        <v>3</v>
      </c>
      <c r="AE619" s="438"/>
      <c r="AF619" s="438"/>
      <c r="AG619" s="438"/>
      <c r="AH619" s="438"/>
      <c r="AI619" s="438"/>
    </row>
    <row r="620" spans="4:35">
      <c r="D620" s="435" t="s">
        <v>79</v>
      </c>
      <c r="E620" s="435" t="s">
        <v>68</v>
      </c>
      <c r="F620" s="435" t="s">
        <v>274</v>
      </c>
      <c r="G620" s="435" t="s">
        <v>86</v>
      </c>
      <c r="H620" s="435" t="s">
        <v>264</v>
      </c>
      <c r="I620" s="435" t="s">
        <v>7</v>
      </c>
      <c r="J620" s="435" t="s">
        <v>299</v>
      </c>
      <c r="K620" s="437" t="s">
        <v>323</v>
      </c>
      <c r="L620" s="437" t="s">
        <v>323</v>
      </c>
      <c r="M620" s="435" t="s">
        <v>863</v>
      </c>
      <c r="N620" s="435" t="s">
        <v>829</v>
      </c>
      <c r="O620" s="435" t="s">
        <v>214</v>
      </c>
      <c r="R620" s="435" t="s">
        <v>808</v>
      </c>
      <c r="S620" s="435" t="s">
        <v>809</v>
      </c>
      <c r="AC620" s="435" t="s">
        <v>3</v>
      </c>
      <c r="AE620" s="438"/>
      <c r="AF620" s="438"/>
      <c r="AG620" s="438"/>
      <c r="AH620" s="438"/>
      <c r="AI620" s="438"/>
    </row>
    <row r="621" spans="4:35">
      <c r="D621" s="435" t="s">
        <v>79</v>
      </c>
      <c r="E621" s="435" t="s">
        <v>68</v>
      </c>
      <c r="F621" s="435" t="s">
        <v>274</v>
      </c>
      <c r="G621" s="435" t="s">
        <v>86</v>
      </c>
      <c r="H621" s="435" t="s">
        <v>264</v>
      </c>
      <c r="I621" s="435" t="s">
        <v>7</v>
      </c>
      <c r="J621" s="435" t="s">
        <v>299</v>
      </c>
      <c r="K621" s="437" t="s">
        <v>323</v>
      </c>
      <c r="L621" s="437" t="s">
        <v>323</v>
      </c>
      <c r="M621" s="435" t="s">
        <v>863</v>
      </c>
      <c r="N621" s="436" t="s">
        <v>2870</v>
      </c>
      <c r="O621" s="435" t="s">
        <v>830</v>
      </c>
      <c r="R621" s="435" t="s">
        <v>810</v>
      </c>
      <c r="S621" s="435" t="s">
        <v>807</v>
      </c>
      <c r="AC621" s="435" t="s">
        <v>3</v>
      </c>
      <c r="AE621" s="438"/>
      <c r="AF621" s="438"/>
      <c r="AG621" s="438"/>
      <c r="AH621" s="438"/>
      <c r="AI621" s="438"/>
    </row>
    <row r="622" spans="4:35">
      <c r="D622" s="435" t="s">
        <v>79</v>
      </c>
      <c r="E622" s="435" t="s">
        <v>68</v>
      </c>
      <c r="F622" s="435" t="s">
        <v>274</v>
      </c>
      <c r="G622" s="435" t="s">
        <v>86</v>
      </c>
      <c r="H622" s="435" t="s">
        <v>264</v>
      </c>
      <c r="I622" s="435" t="s">
        <v>7</v>
      </c>
      <c r="J622" s="435" t="s">
        <v>299</v>
      </c>
      <c r="K622" s="437" t="s">
        <v>323</v>
      </c>
      <c r="L622" s="437" t="s">
        <v>323</v>
      </c>
      <c r="M622" s="435" t="s">
        <v>863</v>
      </c>
      <c r="N622" s="436" t="s">
        <v>2870</v>
      </c>
      <c r="O622" s="435" t="s">
        <v>830</v>
      </c>
      <c r="R622" s="435" t="s">
        <v>811</v>
      </c>
      <c r="S622" s="435" t="s">
        <v>809</v>
      </c>
      <c r="AC622" s="435" t="s">
        <v>3</v>
      </c>
      <c r="AE622" s="438"/>
      <c r="AF622" s="438"/>
      <c r="AG622" s="438"/>
      <c r="AH622" s="438"/>
      <c r="AI622" s="438"/>
    </row>
    <row r="623" spans="4:35">
      <c r="D623" s="435" t="s">
        <v>79</v>
      </c>
      <c r="E623" s="435" t="s">
        <v>68</v>
      </c>
      <c r="F623" s="435" t="s">
        <v>274</v>
      </c>
      <c r="G623" s="435" t="s">
        <v>86</v>
      </c>
      <c r="H623" s="435" t="s">
        <v>264</v>
      </c>
      <c r="I623" s="435" t="s">
        <v>7</v>
      </c>
      <c r="J623" s="435" t="s">
        <v>299</v>
      </c>
      <c r="K623" s="437" t="s">
        <v>323</v>
      </c>
      <c r="L623" s="437" t="s">
        <v>323</v>
      </c>
      <c r="M623" s="435" t="s">
        <v>863</v>
      </c>
      <c r="N623" s="435" t="s">
        <v>829</v>
      </c>
      <c r="O623" s="435" t="s">
        <v>214</v>
      </c>
      <c r="R623" s="435" t="s">
        <v>812</v>
      </c>
      <c r="S623" s="435" t="s">
        <v>801</v>
      </c>
      <c r="AC623" s="435" t="s">
        <v>3</v>
      </c>
      <c r="AE623" s="438"/>
      <c r="AF623" s="438"/>
      <c r="AG623" s="438"/>
      <c r="AH623" s="438"/>
      <c r="AI623" s="438"/>
    </row>
    <row r="624" spans="4:35">
      <c r="D624" s="435" t="s">
        <v>79</v>
      </c>
      <c r="E624" s="435" t="s">
        <v>68</v>
      </c>
      <c r="F624" s="435" t="s">
        <v>274</v>
      </c>
      <c r="G624" s="435" t="s">
        <v>86</v>
      </c>
      <c r="H624" s="435" t="s">
        <v>264</v>
      </c>
      <c r="I624" s="435" t="s">
        <v>7</v>
      </c>
      <c r="J624" s="435" t="s">
        <v>299</v>
      </c>
      <c r="K624" s="437" t="s">
        <v>323</v>
      </c>
      <c r="L624" s="437" t="s">
        <v>323</v>
      </c>
      <c r="M624" s="435" t="s">
        <v>863</v>
      </c>
      <c r="N624" s="435" t="s">
        <v>829</v>
      </c>
      <c r="O624" s="435" t="s">
        <v>214</v>
      </c>
      <c r="R624" s="435" t="s">
        <v>813</v>
      </c>
      <c r="S624" s="435" t="s">
        <v>805</v>
      </c>
      <c r="AC624" s="435" t="s">
        <v>3</v>
      </c>
      <c r="AE624" s="438"/>
      <c r="AF624" s="438"/>
      <c r="AG624" s="438"/>
      <c r="AH624" s="438"/>
      <c r="AI624" s="438"/>
    </row>
    <row r="625" spans="4:35">
      <c r="D625" s="435" t="s">
        <v>79</v>
      </c>
      <c r="E625" s="435" t="s">
        <v>68</v>
      </c>
      <c r="F625" s="435" t="s">
        <v>274</v>
      </c>
      <c r="G625" s="435" t="s">
        <v>86</v>
      </c>
      <c r="H625" s="435" t="s">
        <v>264</v>
      </c>
      <c r="I625" s="435" t="s">
        <v>7</v>
      </c>
      <c r="J625" s="435" t="s">
        <v>299</v>
      </c>
      <c r="K625" s="437" t="s">
        <v>323</v>
      </c>
      <c r="L625" s="437" t="s">
        <v>323</v>
      </c>
      <c r="M625" s="435" t="s">
        <v>864</v>
      </c>
      <c r="N625" s="435" t="s">
        <v>829</v>
      </c>
      <c r="O625" s="435" t="s">
        <v>214</v>
      </c>
      <c r="R625" s="435" t="s">
        <v>814</v>
      </c>
      <c r="S625" s="435" t="s">
        <v>815</v>
      </c>
      <c r="AC625" s="435" t="s">
        <v>3</v>
      </c>
      <c r="AE625" s="438"/>
      <c r="AF625" s="438"/>
      <c r="AG625" s="438"/>
      <c r="AH625" s="438"/>
      <c r="AI625" s="438"/>
    </row>
    <row r="626" spans="4:35">
      <c r="D626" s="435" t="s">
        <v>79</v>
      </c>
      <c r="E626" s="435" t="s">
        <v>68</v>
      </c>
      <c r="F626" s="435" t="s">
        <v>274</v>
      </c>
      <c r="G626" s="435" t="s">
        <v>86</v>
      </c>
      <c r="H626" s="435" t="s">
        <v>264</v>
      </c>
      <c r="I626" s="435" t="s">
        <v>7</v>
      </c>
      <c r="J626" s="435" t="s">
        <v>299</v>
      </c>
      <c r="K626" s="437" t="s">
        <v>323</v>
      </c>
      <c r="L626" s="437" t="s">
        <v>323</v>
      </c>
      <c r="M626" s="435" t="s">
        <v>864</v>
      </c>
      <c r="N626" s="435" t="s">
        <v>829</v>
      </c>
      <c r="O626" s="435" t="s">
        <v>214</v>
      </c>
      <c r="R626" s="435" t="s">
        <v>816</v>
      </c>
      <c r="S626" s="435" t="s">
        <v>817</v>
      </c>
      <c r="AC626" s="435" t="s">
        <v>3</v>
      </c>
      <c r="AE626" s="438"/>
      <c r="AF626" s="438"/>
      <c r="AG626" s="438"/>
      <c r="AH626" s="438"/>
      <c r="AI626" s="438"/>
    </row>
    <row r="627" spans="4:35">
      <c r="D627" s="435" t="s">
        <v>79</v>
      </c>
      <c r="E627" s="435" t="s">
        <v>68</v>
      </c>
      <c r="F627" s="435" t="s">
        <v>274</v>
      </c>
      <c r="G627" s="435" t="s">
        <v>86</v>
      </c>
      <c r="H627" s="435" t="s">
        <v>264</v>
      </c>
      <c r="I627" s="435" t="s">
        <v>7</v>
      </c>
      <c r="J627" s="435" t="s">
        <v>299</v>
      </c>
      <c r="K627" s="437" t="s">
        <v>323</v>
      </c>
      <c r="L627" s="437" t="s">
        <v>323</v>
      </c>
      <c r="M627" s="435" t="s">
        <v>864</v>
      </c>
      <c r="N627" s="436" t="s">
        <v>2870</v>
      </c>
      <c r="O627" s="435" t="s">
        <v>830</v>
      </c>
      <c r="R627" s="435" t="s">
        <v>818</v>
      </c>
      <c r="S627" s="435" t="s">
        <v>819</v>
      </c>
      <c r="AC627" s="435" t="s">
        <v>3</v>
      </c>
      <c r="AE627" s="438"/>
      <c r="AF627" s="438"/>
      <c r="AG627" s="438"/>
      <c r="AH627" s="438"/>
      <c r="AI627" s="438"/>
    </row>
    <row r="628" spans="4:35">
      <c r="D628" s="435" t="s">
        <v>79</v>
      </c>
      <c r="E628" s="435" t="s">
        <v>68</v>
      </c>
      <c r="F628" s="435" t="s">
        <v>274</v>
      </c>
      <c r="G628" s="435" t="s">
        <v>86</v>
      </c>
      <c r="H628" s="435" t="s">
        <v>264</v>
      </c>
      <c r="I628" s="435" t="s">
        <v>7</v>
      </c>
      <c r="J628" s="435" t="s">
        <v>299</v>
      </c>
      <c r="K628" s="437" t="s">
        <v>323</v>
      </c>
      <c r="L628" s="437" t="s">
        <v>323</v>
      </c>
      <c r="M628" s="435" t="s">
        <v>864</v>
      </c>
      <c r="N628" s="435" t="s">
        <v>829</v>
      </c>
      <c r="O628" s="435" t="s">
        <v>214</v>
      </c>
      <c r="R628" s="435" t="s">
        <v>820</v>
      </c>
      <c r="S628" s="435" t="s">
        <v>821</v>
      </c>
      <c r="AC628" s="435" t="s">
        <v>3</v>
      </c>
      <c r="AE628" s="438"/>
      <c r="AF628" s="438"/>
      <c r="AG628" s="438"/>
      <c r="AH628" s="438"/>
      <c r="AI628" s="438"/>
    </row>
    <row r="629" spans="4:35">
      <c r="D629" s="435" t="s">
        <v>79</v>
      </c>
      <c r="E629" s="435" t="s">
        <v>68</v>
      </c>
      <c r="F629" s="435" t="s">
        <v>274</v>
      </c>
      <c r="G629" s="435" t="s">
        <v>86</v>
      </c>
      <c r="H629" s="435" t="s">
        <v>264</v>
      </c>
      <c r="I629" s="435" t="s">
        <v>7</v>
      </c>
      <c r="J629" s="435" t="s">
        <v>299</v>
      </c>
      <c r="K629" s="437" t="s">
        <v>323</v>
      </c>
      <c r="L629" s="437" t="s">
        <v>323</v>
      </c>
      <c r="M629" s="435" t="s">
        <v>864</v>
      </c>
      <c r="N629" s="435" t="s">
        <v>829</v>
      </c>
      <c r="O629" s="435" t="s">
        <v>214</v>
      </c>
      <c r="R629" s="435" t="s">
        <v>822</v>
      </c>
      <c r="S629" s="435" t="s">
        <v>823</v>
      </c>
      <c r="AC629" s="435" t="s">
        <v>3</v>
      </c>
      <c r="AE629" s="438"/>
      <c r="AF629" s="438"/>
      <c r="AG629" s="438"/>
      <c r="AH629" s="438"/>
      <c r="AI629" s="438"/>
    </row>
    <row r="630" spans="4:35">
      <c r="D630" s="435" t="s">
        <v>79</v>
      </c>
      <c r="E630" s="435" t="s">
        <v>68</v>
      </c>
      <c r="F630" s="435" t="s">
        <v>274</v>
      </c>
      <c r="G630" s="435" t="s">
        <v>86</v>
      </c>
      <c r="H630" s="435" t="s">
        <v>264</v>
      </c>
      <c r="I630" s="435" t="s">
        <v>7</v>
      </c>
      <c r="J630" s="435" t="s">
        <v>299</v>
      </c>
      <c r="K630" s="437" t="s">
        <v>323</v>
      </c>
      <c r="L630" s="437" t="s">
        <v>323</v>
      </c>
      <c r="M630" s="435" t="s">
        <v>864</v>
      </c>
      <c r="N630" s="435" t="s">
        <v>829</v>
      </c>
      <c r="O630" s="435" t="s">
        <v>214</v>
      </c>
      <c r="R630" s="435" t="s">
        <v>824</v>
      </c>
      <c r="S630" s="435" t="s">
        <v>817</v>
      </c>
      <c r="AC630" s="435" t="s">
        <v>3</v>
      </c>
      <c r="AE630" s="438"/>
      <c r="AF630" s="438"/>
      <c r="AG630" s="438"/>
      <c r="AH630" s="438"/>
      <c r="AI630" s="438"/>
    </row>
    <row r="631" spans="4:35">
      <c r="D631" s="435" t="s">
        <v>79</v>
      </c>
      <c r="E631" s="435" t="s">
        <v>68</v>
      </c>
      <c r="F631" s="435" t="s">
        <v>274</v>
      </c>
      <c r="G631" s="435" t="s">
        <v>86</v>
      </c>
      <c r="H631" s="435" t="s">
        <v>264</v>
      </c>
      <c r="I631" s="435" t="s">
        <v>7</v>
      </c>
      <c r="J631" s="435" t="s">
        <v>299</v>
      </c>
      <c r="K631" s="437" t="s">
        <v>323</v>
      </c>
      <c r="L631" s="437" t="s">
        <v>323</v>
      </c>
      <c r="M631" s="435" t="s">
        <v>864</v>
      </c>
      <c r="N631" s="435" t="s">
        <v>829</v>
      </c>
      <c r="O631" s="435" t="s">
        <v>214</v>
      </c>
      <c r="R631" s="435" t="s">
        <v>825</v>
      </c>
      <c r="S631" s="435" t="s">
        <v>819</v>
      </c>
      <c r="AC631" s="435" t="s">
        <v>3</v>
      </c>
      <c r="AE631" s="438"/>
      <c r="AF631" s="438"/>
      <c r="AG631" s="438"/>
      <c r="AH631" s="438"/>
      <c r="AI631" s="438"/>
    </row>
    <row r="632" spans="4:35">
      <c r="D632" s="435" t="s">
        <v>79</v>
      </c>
      <c r="E632" s="435" t="s">
        <v>68</v>
      </c>
      <c r="F632" s="435" t="s">
        <v>274</v>
      </c>
      <c r="G632" s="435" t="s">
        <v>86</v>
      </c>
      <c r="H632" s="435" t="s">
        <v>264</v>
      </c>
      <c r="I632" s="435" t="s">
        <v>7</v>
      </c>
      <c r="J632" s="435" t="s">
        <v>299</v>
      </c>
      <c r="K632" s="437" t="s">
        <v>323</v>
      </c>
      <c r="L632" s="437" t="s">
        <v>323</v>
      </c>
      <c r="M632" s="435" t="s">
        <v>864</v>
      </c>
      <c r="N632" s="435" t="s">
        <v>829</v>
      </c>
      <c r="O632" s="435" t="s">
        <v>214</v>
      </c>
      <c r="R632" s="435" t="s">
        <v>826</v>
      </c>
      <c r="S632" s="435" t="s">
        <v>823</v>
      </c>
      <c r="AC632" s="435" t="s">
        <v>3</v>
      </c>
      <c r="AE632" s="438"/>
      <c r="AF632" s="438"/>
      <c r="AG632" s="438"/>
      <c r="AH632" s="438"/>
      <c r="AI632" s="438"/>
    </row>
    <row r="633" spans="4:35">
      <c r="D633" s="435" t="s">
        <v>79</v>
      </c>
      <c r="E633" s="435" t="s">
        <v>68</v>
      </c>
      <c r="F633" s="435" t="s">
        <v>274</v>
      </c>
      <c r="G633" s="435" t="s">
        <v>86</v>
      </c>
      <c r="H633" s="435" t="s">
        <v>264</v>
      </c>
      <c r="I633" s="435" t="s">
        <v>7</v>
      </c>
      <c r="J633" s="435" t="s">
        <v>299</v>
      </c>
      <c r="K633" s="437" t="s">
        <v>323</v>
      </c>
      <c r="L633" s="437" t="s">
        <v>323</v>
      </c>
      <c r="M633" s="435" t="s">
        <v>864</v>
      </c>
      <c r="N633" s="435" t="s">
        <v>829</v>
      </c>
      <c r="O633" s="435" t="s">
        <v>214</v>
      </c>
      <c r="R633" s="435" t="s">
        <v>827</v>
      </c>
      <c r="S633" s="435" t="s">
        <v>815</v>
      </c>
      <c r="AC633" s="435" t="s">
        <v>3</v>
      </c>
      <c r="AE633" s="438"/>
      <c r="AF633" s="438"/>
      <c r="AG633" s="438"/>
      <c r="AH633" s="438"/>
      <c r="AI633" s="438"/>
    </row>
    <row r="634" spans="4:35">
      <c r="D634" s="435" t="s">
        <v>79</v>
      </c>
      <c r="E634" s="435" t="s">
        <v>68</v>
      </c>
      <c r="F634" s="435" t="s">
        <v>274</v>
      </c>
      <c r="G634" s="435" t="s">
        <v>86</v>
      </c>
      <c r="H634" s="435" t="s">
        <v>264</v>
      </c>
      <c r="I634" s="435" t="s">
        <v>7</v>
      </c>
      <c r="J634" s="435" t="s">
        <v>299</v>
      </c>
      <c r="K634" s="438"/>
      <c r="L634" s="438"/>
      <c r="M634" s="438"/>
      <c r="N634" s="438"/>
      <c r="O634" s="438" t="s">
        <v>830</v>
      </c>
      <c r="R634" s="438"/>
      <c r="S634" s="438"/>
      <c r="AC634" s="435" t="s">
        <v>3</v>
      </c>
      <c r="AE634" s="438"/>
      <c r="AF634" s="438"/>
      <c r="AG634" s="438"/>
      <c r="AH634" s="438"/>
      <c r="AI634" s="438"/>
    </row>
    <row r="635" spans="4:35">
      <c r="D635" s="435" t="s">
        <v>79</v>
      </c>
      <c r="E635" s="435" t="s">
        <v>68</v>
      </c>
      <c r="F635" s="435" t="s">
        <v>274</v>
      </c>
      <c r="G635" s="435" t="s">
        <v>86</v>
      </c>
      <c r="H635" s="435" t="s">
        <v>264</v>
      </c>
      <c r="I635" s="435" t="s">
        <v>7</v>
      </c>
      <c r="J635" s="435" t="s">
        <v>299</v>
      </c>
      <c r="K635" s="438"/>
      <c r="L635" s="438"/>
      <c r="M635" s="438"/>
      <c r="N635" s="438"/>
      <c r="O635" s="438" t="s">
        <v>830</v>
      </c>
      <c r="R635" s="438"/>
      <c r="S635" s="438"/>
      <c r="AC635" s="435" t="s">
        <v>3</v>
      </c>
      <c r="AE635" s="438"/>
      <c r="AF635" s="438"/>
      <c r="AG635" s="438"/>
      <c r="AH635" s="438"/>
      <c r="AI635" s="438"/>
    </row>
    <row r="636" spans="4:35">
      <c r="D636" s="435" t="s">
        <v>79</v>
      </c>
      <c r="E636" s="435" t="s">
        <v>68</v>
      </c>
      <c r="F636" s="435" t="s">
        <v>274</v>
      </c>
      <c r="G636" s="435" t="s">
        <v>86</v>
      </c>
      <c r="H636" s="435" t="s">
        <v>264</v>
      </c>
      <c r="I636" s="435" t="s">
        <v>7</v>
      </c>
      <c r="J636" s="435" t="s">
        <v>299</v>
      </c>
      <c r="K636" s="438"/>
      <c r="L636" s="438"/>
      <c r="M636" s="438"/>
      <c r="N636" s="438"/>
      <c r="O636" s="438" t="s">
        <v>830</v>
      </c>
      <c r="R636" s="438"/>
      <c r="S636" s="438"/>
      <c r="AC636" s="435" t="s">
        <v>3</v>
      </c>
      <c r="AE636" s="438"/>
      <c r="AF636" s="438"/>
      <c r="AG636" s="438"/>
      <c r="AH636" s="438"/>
      <c r="AI636" s="438"/>
    </row>
    <row r="637" spans="4:35">
      <c r="D637" s="435" t="s">
        <v>79</v>
      </c>
      <c r="E637" s="435" t="s">
        <v>68</v>
      </c>
      <c r="F637" s="435" t="s">
        <v>274</v>
      </c>
      <c r="G637" s="435" t="s">
        <v>86</v>
      </c>
      <c r="H637" s="435" t="s">
        <v>264</v>
      </c>
      <c r="I637" s="435" t="s">
        <v>7</v>
      </c>
      <c r="J637" s="435" t="s">
        <v>299</v>
      </c>
      <c r="K637" s="438"/>
      <c r="L637" s="438"/>
      <c r="M637" s="438"/>
      <c r="N637" s="438"/>
      <c r="O637" s="438" t="s">
        <v>830</v>
      </c>
      <c r="R637" s="438"/>
      <c r="S637" s="438"/>
      <c r="AC637" s="435" t="s">
        <v>3</v>
      </c>
      <c r="AE637" s="438"/>
      <c r="AF637" s="438"/>
      <c r="AG637" s="438"/>
      <c r="AH637" s="438"/>
      <c r="AI637" s="438"/>
    </row>
    <row r="638" spans="4:35">
      <c r="D638" s="435" t="s">
        <v>79</v>
      </c>
      <c r="E638" s="435" t="s">
        <v>68</v>
      </c>
      <c r="F638" s="435" t="s">
        <v>274</v>
      </c>
      <c r="G638" s="435" t="s">
        <v>86</v>
      </c>
      <c r="H638" s="435" t="s">
        <v>264</v>
      </c>
      <c r="I638" s="435" t="s">
        <v>7</v>
      </c>
      <c r="J638" s="435" t="s">
        <v>299</v>
      </c>
      <c r="K638" s="438"/>
      <c r="L638" s="438"/>
      <c r="M638" s="438"/>
      <c r="N638" s="438"/>
      <c r="O638" s="438" t="s">
        <v>830</v>
      </c>
      <c r="R638" s="438"/>
      <c r="S638" s="438"/>
      <c r="AC638" s="435" t="s">
        <v>3</v>
      </c>
      <c r="AE638" s="438"/>
      <c r="AF638" s="438"/>
      <c r="AG638" s="438"/>
      <c r="AH638" s="438"/>
      <c r="AI638" s="438"/>
    </row>
    <row r="639" spans="4:35">
      <c r="D639" s="435" t="s">
        <v>79</v>
      </c>
      <c r="E639" s="435" t="s">
        <v>68</v>
      </c>
      <c r="F639" s="435" t="s">
        <v>274</v>
      </c>
      <c r="G639" s="435" t="s">
        <v>86</v>
      </c>
      <c r="H639" s="435" t="s">
        <v>264</v>
      </c>
      <c r="I639" s="435" t="s">
        <v>7</v>
      </c>
      <c r="J639" s="435" t="s">
        <v>299</v>
      </c>
      <c r="K639" s="438"/>
      <c r="L639" s="438"/>
      <c r="M639" s="438"/>
      <c r="N639" s="438"/>
      <c r="O639" s="438" t="s">
        <v>830</v>
      </c>
      <c r="P639" s="441"/>
      <c r="Q639" s="441"/>
      <c r="R639" s="438"/>
      <c r="S639" s="438"/>
      <c r="T639" s="441"/>
      <c r="U639" s="441"/>
      <c r="AC639" s="435" t="s">
        <v>3</v>
      </c>
      <c r="AE639" s="438"/>
      <c r="AF639" s="438"/>
      <c r="AG639" s="438"/>
      <c r="AH639" s="438"/>
      <c r="AI639" s="438"/>
    </row>
    <row r="640" spans="4:35">
      <c r="D640" s="435" t="s">
        <v>79</v>
      </c>
      <c r="E640" s="435" t="s">
        <v>68</v>
      </c>
      <c r="F640" s="435" t="s">
        <v>274</v>
      </c>
      <c r="G640" s="435" t="s">
        <v>86</v>
      </c>
      <c r="H640" s="435" t="s">
        <v>264</v>
      </c>
      <c r="I640" s="435" t="s">
        <v>7</v>
      </c>
      <c r="J640" s="435" t="s">
        <v>299</v>
      </c>
      <c r="K640" s="438"/>
      <c r="L640" s="438"/>
      <c r="M640" s="438"/>
      <c r="N640" s="438"/>
      <c r="O640" s="438" t="s">
        <v>830</v>
      </c>
      <c r="P640" s="441"/>
      <c r="Q640" s="441"/>
      <c r="R640" s="438"/>
      <c r="S640" s="438"/>
      <c r="T640" s="441"/>
      <c r="U640" s="441"/>
      <c r="AC640" s="435" t="s">
        <v>3</v>
      </c>
      <c r="AE640" s="438"/>
      <c r="AF640" s="438"/>
      <c r="AG640" s="438"/>
      <c r="AH640" s="438"/>
      <c r="AI640" s="438"/>
    </row>
    <row r="641" spans="1:35">
      <c r="D641" s="435" t="s">
        <v>79</v>
      </c>
      <c r="E641" s="435" t="s">
        <v>68</v>
      </c>
      <c r="F641" s="435" t="s">
        <v>274</v>
      </c>
      <c r="G641" s="435" t="s">
        <v>86</v>
      </c>
      <c r="H641" s="435" t="s">
        <v>264</v>
      </c>
      <c r="I641" s="435" t="s">
        <v>7</v>
      </c>
      <c r="J641" s="435" t="s">
        <v>299</v>
      </c>
      <c r="K641" s="438"/>
      <c r="L641" s="438"/>
      <c r="M641" s="438"/>
      <c r="N641" s="438"/>
      <c r="O641" s="438" t="s">
        <v>830</v>
      </c>
      <c r="P641" s="441"/>
      <c r="Q641" s="441"/>
      <c r="R641" s="438"/>
      <c r="S641" s="438"/>
      <c r="T641" s="441"/>
      <c r="U641" s="441"/>
      <c r="AC641" s="435" t="s">
        <v>3</v>
      </c>
      <c r="AE641" s="438"/>
      <c r="AF641" s="438"/>
      <c r="AG641" s="438"/>
      <c r="AH641" s="438"/>
      <c r="AI641" s="438"/>
    </row>
    <row r="642" spans="1:35">
      <c r="D642" s="435" t="s">
        <v>79</v>
      </c>
      <c r="E642" s="435" t="s">
        <v>68</v>
      </c>
      <c r="F642" s="435" t="s">
        <v>274</v>
      </c>
      <c r="G642" s="435" t="s">
        <v>86</v>
      </c>
      <c r="H642" s="435" t="s">
        <v>264</v>
      </c>
      <c r="I642" s="435" t="s">
        <v>7</v>
      </c>
      <c r="J642" s="435" t="s">
        <v>299</v>
      </c>
      <c r="K642" s="438"/>
      <c r="L642" s="438"/>
      <c r="M642" s="438"/>
      <c r="N642" s="438"/>
      <c r="O642" s="438" t="s">
        <v>830</v>
      </c>
      <c r="P642" s="441"/>
      <c r="Q642" s="441"/>
      <c r="R642" s="438"/>
      <c r="S642" s="438"/>
      <c r="T642" s="441"/>
      <c r="U642" s="441"/>
      <c r="AC642" s="435" t="s">
        <v>3</v>
      </c>
      <c r="AE642" s="438"/>
      <c r="AF642" s="438"/>
      <c r="AG642" s="438"/>
      <c r="AH642" s="438"/>
      <c r="AI642" s="438"/>
    </row>
    <row r="643" spans="1:35">
      <c r="D643" s="435" t="s">
        <v>79</v>
      </c>
      <c r="E643" s="435" t="s">
        <v>68</v>
      </c>
      <c r="F643" s="435" t="s">
        <v>274</v>
      </c>
      <c r="G643" s="435" t="s">
        <v>86</v>
      </c>
      <c r="H643" s="435" t="s">
        <v>264</v>
      </c>
      <c r="I643" s="435" t="s">
        <v>7</v>
      </c>
      <c r="J643" s="435" t="s">
        <v>299</v>
      </c>
      <c r="K643" s="438"/>
      <c r="L643" s="438"/>
      <c r="M643" s="438"/>
      <c r="N643" s="438"/>
      <c r="O643" s="438" t="s">
        <v>830</v>
      </c>
      <c r="P643" s="441"/>
      <c r="Q643" s="441"/>
      <c r="R643" s="438"/>
      <c r="S643" s="438"/>
      <c r="T643" s="441"/>
      <c r="U643" s="441"/>
      <c r="AC643" s="435" t="s">
        <v>3</v>
      </c>
      <c r="AE643" s="438"/>
      <c r="AF643" s="438"/>
      <c r="AG643" s="438"/>
      <c r="AH643" s="438"/>
      <c r="AI643" s="438"/>
    </row>
    <row r="644" spans="1:35">
      <c r="D644" s="435" t="s">
        <v>79</v>
      </c>
      <c r="E644" s="435" t="s">
        <v>68</v>
      </c>
      <c r="F644" s="435" t="s">
        <v>274</v>
      </c>
      <c r="G644" s="435" t="s">
        <v>86</v>
      </c>
      <c r="H644" s="435" t="s">
        <v>264</v>
      </c>
      <c r="I644" s="435" t="s">
        <v>7</v>
      </c>
      <c r="J644" s="435" t="s">
        <v>299</v>
      </c>
      <c r="K644" s="438"/>
      <c r="L644" s="438"/>
      <c r="M644" s="438"/>
      <c r="N644" s="438"/>
      <c r="O644" s="438" t="s">
        <v>830</v>
      </c>
      <c r="P644" s="441"/>
      <c r="Q644" s="441"/>
      <c r="R644" s="438"/>
      <c r="S644" s="438"/>
      <c r="T644" s="441"/>
      <c r="U644" s="441"/>
      <c r="AC644" s="435" t="s">
        <v>3</v>
      </c>
      <c r="AE644" s="438"/>
      <c r="AF644" s="438"/>
      <c r="AG644" s="438"/>
      <c r="AH644" s="438"/>
      <c r="AI644" s="438"/>
    </row>
    <row r="645" spans="1:35">
      <c r="D645" s="435" t="s">
        <v>79</v>
      </c>
      <c r="E645" s="435" t="s">
        <v>68</v>
      </c>
      <c r="F645" s="435" t="s">
        <v>274</v>
      </c>
      <c r="G645" s="435" t="s">
        <v>86</v>
      </c>
      <c r="H645" s="435" t="s">
        <v>264</v>
      </c>
      <c r="I645" s="435" t="s">
        <v>7</v>
      </c>
      <c r="J645" s="435" t="s">
        <v>299</v>
      </c>
      <c r="K645" s="438"/>
      <c r="L645" s="438"/>
      <c r="M645" s="438"/>
      <c r="N645" s="438"/>
      <c r="O645" s="438" t="s">
        <v>830</v>
      </c>
      <c r="P645" s="441"/>
      <c r="Q645" s="441"/>
      <c r="R645" s="438"/>
      <c r="S645" s="438"/>
      <c r="T645" s="441"/>
      <c r="U645" s="441"/>
      <c r="AC645" s="435" t="s">
        <v>3</v>
      </c>
      <c r="AE645" s="438"/>
      <c r="AF645" s="438"/>
      <c r="AG645" s="438"/>
      <c r="AH645" s="438"/>
      <c r="AI645" s="438"/>
    </row>
    <row r="646" spans="1:35">
      <c r="D646" s="435" t="s">
        <v>79</v>
      </c>
      <c r="E646" s="435" t="s">
        <v>68</v>
      </c>
      <c r="F646" s="435" t="s">
        <v>274</v>
      </c>
      <c r="G646" s="435" t="s">
        <v>86</v>
      </c>
      <c r="H646" s="435" t="s">
        <v>264</v>
      </c>
      <c r="I646" s="435" t="s">
        <v>7</v>
      </c>
      <c r="J646" s="435" t="s">
        <v>299</v>
      </c>
      <c r="K646" s="438"/>
      <c r="L646" s="438"/>
      <c r="M646" s="438"/>
      <c r="N646" s="438"/>
      <c r="O646" s="438" t="s">
        <v>830</v>
      </c>
      <c r="P646" s="441"/>
      <c r="Q646" s="441"/>
      <c r="R646" s="438"/>
      <c r="S646" s="438"/>
      <c r="T646" s="441"/>
      <c r="U646" s="441"/>
      <c r="AC646" s="435" t="s">
        <v>3</v>
      </c>
      <c r="AE646" s="438"/>
      <c r="AF646" s="438"/>
      <c r="AG646" s="438"/>
      <c r="AH646" s="438"/>
      <c r="AI646" s="438"/>
    </row>
    <row r="647" spans="1:35" s="67" customFormat="1">
      <c r="D647" s="435" t="s">
        <v>79</v>
      </c>
      <c r="E647" s="435" t="s">
        <v>68</v>
      </c>
      <c r="F647" s="435" t="s">
        <v>274</v>
      </c>
      <c r="G647" s="435" t="s">
        <v>86</v>
      </c>
      <c r="H647" s="435" t="s">
        <v>264</v>
      </c>
      <c r="I647" s="435" t="s">
        <v>7</v>
      </c>
      <c r="J647" s="435" t="s">
        <v>299</v>
      </c>
      <c r="K647" s="438"/>
      <c r="L647" s="438"/>
      <c r="M647" s="438"/>
      <c r="N647" s="438"/>
      <c r="O647" s="438" t="s">
        <v>830</v>
      </c>
      <c r="P647" s="441"/>
      <c r="Q647" s="441"/>
      <c r="R647" s="438"/>
      <c r="S647" s="438"/>
      <c r="T647" s="441"/>
      <c r="U647" s="441"/>
      <c r="V647" s="435"/>
      <c r="W647" s="435"/>
      <c r="X647" s="435"/>
      <c r="Y647" s="435"/>
      <c r="Z647" s="435"/>
      <c r="AA647" s="435"/>
      <c r="AB647" s="435"/>
      <c r="AC647" s="435" t="s">
        <v>3</v>
      </c>
      <c r="AD647" s="435"/>
      <c r="AE647" s="438"/>
      <c r="AF647" s="438"/>
      <c r="AG647" s="438"/>
      <c r="AH647" s="438"/>
      <c r="AI647" s="438"/>
    </row>
    <row r="649" spans="1:35" s="1" customFormat="1" ht="17.649999999999999">
      <c r="B649" s="2" t="s">
        <v>296</v>
      </c>
    </row>
    <row r="651" spans="1:35" s="1" customFormat="1" ht="13.9">
      <c r="A651" s="66"/>
      <c r="B651" s="78" t="s">
        <v>1413</v>
      </c>
    </row>
    <row r="653" spans="1:35">
      <c r="D653" s="435" t="s">
        <v>79</v>
      </c>
      <c r="E653" s="435" t="s">
        <v>68</v>
      </c>
      <c r="F653" s="435" t="s">
        <v>296</v>
      </c>
      <c r="G653" s="435" t="s">
        <v>12</v>
      </c>
      <c r="H653" s="435" t="s">
        <v>264</v>
      </c>
      <c r="I653" s="435" t="s">
        <v>7</v>
      </c>
      <c r="J653" s="435" t="s">
        <v>299</v>
      </c>
      <c r="K653" s="437" t="s">
        <v>300</v>
      </c>
      <c r="L653" s="437" t="s">
        <v>301</v>
      </c>
      <c r="M653" s="435" t="s">
        <v>832</v>
      </c>
      <c r="N653" s="435" t="s">
        <v>828</v>
      </c>
      <c r="O653" s="435" t="s">
        <v>217</v>
      </c>
      <c r="R653" s="435" t="s">
        <v>324</v>
      </c>
      <c r="S653" s="435" t="s">
        <v>325</v>
      </c>
      <c r="AC653" s="435" t="s">
        <v>2</v>
      </c>
      <c r="AE653" s="438"/>
      <c r="AF653" s="438"/>
      <c r="AG653" s="438"/>
      <c r="AH653" s="438"/>
      <c r="AI653" s="438"/>
    </row>
    <row r="654" spans="1:35">
      <c r="D654" s="435" t="s">
        <v>79</v>
      </c>
      <c r="E654" s="435" t="s">
        <v>68</v>
      </c>
      <c r="F654" s="435" t="s">
        <v>296</v>
      </c>
      <c r="G654" s="435" t="s">
        <v>12</v>
      </c>
      <c r="H654" s="435" t="s">
        <v>264</v>
      </c>
      <c r="I654" s="435" t="s">
        <v>7</v>
      </c>
      <c r="J654" s="435" t="s">
        <v>299</v>
      </c>
      <c r="K654" s="437" t="s">
        <v>300</v>
      </c>
      <c r="L654" s="437" t="s">
        <v>301</v>
      </c>
      <c r="M654" s="435" t="s">
        <v>832</v>
      </c>
      <c r="N654" s="435" t="s">
        <v>828</v>
      </c>
      <c r="O654" s="435" t="s">
        <v>217</v>
      </c>
      <c r="R654" s="435" t="s">
        <v>326</v>
      </c>
      <c r="S654" s="435" t="s">
        <v>327</v>
      </c>
      <c r="AC654" s="435" t="s">
        <v>2</v>
      </c>
      <c r="AE654" s="438"/>
      <c r="AF654" s="438"/>
      <c r="AG654" s="438"/>
      <c r="AH654" s="438"/>
      <c r="AI654" s="438"/>
    </row>
    <row r="655" spans="1:35">
      <c r="D655" s="435" t="s">
        <v>79</v>
      </c>
      <c r="E655" s="435" t="s">
        <v>68</v>
      </c>
      <c r="F655" s="435" t="s">
        <v>296</v>
      </c>
      <c r="G655" s="435" t="s">
        <v>12</v>
      </c>
      <c r="H655" s="435" t="s">
        <v>264</v>
      </c>
      <c r="I655" s="435" t="s">
        <v>7</v>
      </c>
      <c r="J655" s="435" t="s">
        <v>299</v>
      </c>
      <c r="K655" s="437" t="s">
        <v>300</v>
      </c>
      <c r="L655" s="437" t="s">
        <v>301</v>
      </c>
      <c r="M655" s="435" t="s">
        <v>832</v>
      </c>
      <c r="N655" s="435" t="s">
        <v>828</v>
      </c>
      <c r="O655" s="435" t="s">
        <v>217</v>
      </c>
      <c r="R655" s="435" t="s">
        <v>328</v>
      </c>
      <c r="S655" s="435" t="s">
        <v>329</v>
      </c>
      <c r="AC655" s="435" t="s">
        <v>2</v>
      </c>
      <c r="AE655" s="438"/>
      <c r="AF655" s="438"/>
      <c r="AG655" s="438"/>
      <c r="AH655" s="438"/>
      <c r="AI655" s="438"/>
    </row>
    <row r="656" spans="1:35">
      <c r="D656" s="435" t="s">
        <v>79</v>
      </c>
      <c r="E656" s="435" t="s">
        <v>68</v>
      </c>
      <c r="F656" s="435" t="s">
        <v>296</v>
      </c>
      <c r="G656" s="435" t="s">
        <v>12</v>
      </c>
      <c r="H656" s="435" t="s">
        <v>264</v>
      </c>
      <c r="I656" s="435" t="s">
        <v>7</v>
      </c>
      <c r="J656" s="435" t="s">
        <v>299</v>
      </c>
      <c r="K656" s="437" t="s">
        <v>300</v>
      </c>
      <c r="L656" s="437" t="s">
        <v>301</v>
      </c>
      <c r="M656" s="435" t="s">
        <v>833</v>
      </c>
      <c r="N656" s="435" t="s">
        <v>828</v>
      </c>
      <c r="O656" s="435" t="s">
        <v>217</v>
      </c>
      <c r="R656" s="435" t="s">
        <v>330</v>
      </c>
      <c r="S656" s="435" t="s">
        <v>331</v>
      </c>
      <c r="AC656" s="435" t="s">
        <v>2</v>
      </c>
      <c r="AE656" s="438"/>
      <c r="AF656" s="438"/>
      <c r="AG656" s="438"/>
      <c r="AH656" s="438"/>
      <c r="AI656" s="438"/>
    </row>
    <row r="657" spans="4:35">
      <c r="D657" s="435" t="s">
        <v>79</v>
      </c>
      <c r="E657" s="435" t="s">
        <v>68</v>
      </c>
      <c r="F657" s="435" t="s">
        <v>296</v>
      </c>
      <c r="G657" s="435" t="s">
        <v>12</v>
      </c>
      <c r="H657" s="435" t="s">
        <v>264</v>
      </c>
      <c r="I657" s="435" t="s">
        <v>7</v>
      </c>
      <c r="J657" s="435" t="s">
        <v>299</v>
      </c>
      <c r="K657" s="437" t="s">
        <v>300</v>
      </c>
      <c r="L657" s="437" t="s">
        <v>301</v>
      </c>
      <c r="M657" s="435" t="s">
        <v>833</v>
      </c>
      <c r="N657" s="435" t="s">
        <v>828</v>
      </c>
      <c r="O657" s="435" t="s">
        <v>217</v>
      </c>
      <c r="R657" s="435" t="s">
        <v>332</v>
      </c>
      <c r="S657" s="435" t="s">
        <v>333</v>
      </c>
      <c r="AC657" s="435" t="s">
        <v>2</v>
      </c>
      <c r="AE657" s="438"/>
      <c r="AF657" s="438"/>
      <c r="AG657" s="438"/>
      <c r="AH657" s="438"/>
      <c r="AI657" s="438"/>
    </row>
    <row r="658" spans="4:35">
      <c r="D658" s="435" t="s">
        <v>79</v>
      </c>
      <c r="E658" s="435" t="s">
        <v>68</v>
      </c>
      <c r="F658" s="435" t="s">
        <v>296</v>
      </c>
      <c r="G658" s="435" t="s">
        <v>12</v>
      </c>
      <c r="H658" s="435" t="s">
        <v>264</v>
      </c>
      <c r="I658" s="435" t="s">
        <v>7</v>
      </c>
      <c r="J658" s="435" t="s">
        <v>299</v>
      </c>
      <c r="K658" s="437" t="s">
        <v>300</v>
      </c>
      <c r="L658" s="437" t="s">
        <v>301</v>
      </c>
      <c r="M658" s="435" t="s">
        <v>833</v>
      </c>
      <c r="N658" s="435" t="s">
        <v>828</v>
      </c>
      <c r="O658" s="435" t="s">
        <v>217</v>
      </c>
      <c r="R658" s="435" t="s">
        <v>334</v>
      </c>
      <c r="S658" s="435" t="s">
        <v>335</v>
      </c>
      <c r="AC658" s="435" t="s">
        <v>2</v>
      </c>
      <c r="AE658" s="438"/>
      <c r="AF658" s="438"/>
      <c r="AG658" s="438"/>
      <c r="AH658" s="438"/>
      <c r="AI658" s="438"/>
    </row>
    <row r="659" spans="4:35">
      <c r="D659" s="435" t="s">
        <v>79</v>
      </c>
      <c r="E659" s="435" t="s">
        <v>68</v>
      </c>
      <c r="F659" s="435" t="s">
        <v>296</v>
      </c>
      <c r="G659" s="435" t="s">
        <v>12</v>
      </c>
      <c r="H659" s="435" t="s">
        <v>264</v>
      </c>
      <c r="I659" s="435" t="s">
        <v>7</v>
      </c>
      <c r="J659" s="435" t="s">
        <v>299</v>
      </c>
      <c r="K659" s="437" t="s">
        <v>300</v>
      </c>
      <c r="L659" s="437" t="s">
        <v>301</v>
      </c>
      <c r="M659" s="435" t="s">
        <v>834</v>
      </c>
      <c r="N659" s="435" t="s">
        <v>828</v>
      </c>
      <c r="O659" s="435" t="s">
        <v>217</v>
      </c>
      <c r="R659" s="435" t="s">
        <v>336</v>
      </c>
      <c r="S659" s="435" t="s">
        <v>337</v>
      </c>
      <c r="AC659" s="435" t="s">
        <v>2</v>
      </c>
      <c r="AE659" s="438"/>
      <c r="AF659" s="438"/>
      <c r="AG659" s="438"/>
      <c r="AH659" s="438"/>
      <c r="AI659" s="438"/>
    </row>
    <row r="660" spans="4:35">
      <c r="D660" s="435" t="s">
        <v>79</v>
      </c>
      <c r="E660" s="435" t="s">
        <v>68</v>
      </c>
      <c r="F660" s="435" t="s">
        <v>296</v>
      </c>
      <c r="G660" s="435" t="s">
        <v>12</v>
      </c>
      <c r="H660" s="435" t="s">
        <v>264</v>
      </c>
      <c r="I660" s="435" t="s">
        <v>7</v>
      </c>
      <c r="J660" s="435" t="s">
        <v>299</v>
      </c>
      <c r="K660" s="437" t="s">
        <v>300</v>
      </c>
      <c r="L660" s="437" t="s">
        <v>301</v>
      </c>
      <c r="M660" s="435" t="s">
        <v>834</v>
      </c>
      <c r="N660" s="435" t="s">
        <v>828</v>
      </c>
      <c r="O660" s="435" t="s">
        <v>217</v>
      </c>
      <c r="R660" s="435" t="s">
        <v>338</v>
      </c>
      <c r="S660" s="435" t="s">
        <v>339</v>
      </c>
      <c r="AC660" s="435" t="s">
        <v>2</v>
      </c>
      <c r="AE660" s="438"/>
      <c r="AF660" s="438"/>
      <c r="AG660" s="438"/>
      <c r="AH660" s="438"/>
      <c r="AI660" s="438"/>
    </row>
    <row r="661" spans="4:35">
      <c r="D661" s="435" t="s">
        <v>79</v>
      </c>
      <c r="E661" s="435" t="s">
        <v>68</v>
      </c>
      <c r="F661" s="435" t="s">
        <v>296</v>
      </c>
      <c r="G661" s="435" t="s">
        <v>12</v>
      </c>
      <c r="H661" s="435" t="s">
        <v>264</v>
      </c>
      <c r="I661" s="435" t="s">
        <v>7</v>
      </c>
      <c r="J661" s="435" t="s">
        <v>299</v>
      </c>
      <c r="K661" s="437" t="s">
        <v>300</v>
      </c>
      <c r="L661" s="437" t="s">
        <v>301</v>
      </c>
      <c r="M661" s="435" t="s">
        <v>834</v>
      </c>
      <c r="N661" s="435" t="s">
        <v>828</v>
      </c>
      <c r="O661" s="435" t="s">
        <v>217</v>
      </c>
      <c r="R661" s="435" t="s">
        <v>340</v>
      </c>
      <c r="S661" s="435" t="s">
        <v>341</v>
      </c>
      <c r="AC661" s="435" t="s">
        <v>2</v>
      </c>
      <c r="AE661" s="438"/>
      <c r="AF661" s="438"/>
      <c r="AG661" s="438"/>
      <c r="AH661" s="438"/>
      <c r="AI661" s="438"/>
    </row>
    <row r="662" spans="4:35">
      <c r="D662" s="435" t="s">
        <v>79</v>
      </c>
      <c r="E662" s="435" t="s">
        <v>68</v>
      </c>
      <c r="F662" s="435" t="s">
        <v>296</v>
      </c>
      <c r="G662" s="435" t="s">
        <v>12</v>
      </c>
      <c r="H662" s="435" t="s">
        <v>264</v>
      </c>
      <c r="I662" s="435" t="s">
        <v>7</v>
      </c>
      <c r="J662" s="435" t="s">
        <v>299</v>
      </c>
      <c r="K662" s="437" t="s">
        <v>300</v>
      </c>
      <c r="L662" s="437" t="s">
        <v>301</v>
      </c>
      <c r="M662" s="435" t="s">
        <v>834</v>
      </c>
      <c r="N662" s="436" t="s">
        <v>2870</v>
      </c>
      <c r="O662" s="435" t="s">
        <v>830</v>
      </c>
      <c r="R662" s="435" t="s">
        <v>342</v>
      </c>
      <c r="S662" s="435" t="s">
        <v>339</v>
      </c>
      <c r="AC662" s="435" t="s">
        <v>2</v>
      </c>
      <c r="AE662" s="438"/>
      <c r="AF662" s="438"/>
      <c r="AG662" s="438"/>
      <c r="AH662" s="438"/>
      <c r="AI662" s="438"/>
    </row>
    <row r="663" spans="4:35">
      <c r="D663" s="435" t="s">
        <v>79</v>
      </c>
      <c r="E663" s="435" t="s">
        <v>68</v>
      </c>
      <c r="F663" s="435" t="s">
        <v>296</v>
      </c>
      <c r="G663" s="435" t="s">
        <v>12</v>
      </c>
      <c r="H663" s="435" t="s">
        <v>264</v>
      </c>
      <c r="I663" s="435" t="s">
        <v>7</v>
      </c>
      <c r="J663" s="435" t="s">
        <v>299</v>
      </c>
      <c r="K663" s="437" t="s">
        <v>300</v>
      </c>
      <c r="L663" s="437" t="s">
        <v>301</v>
      </c>
      <c r="M663" s="435" t="s">
        <v>835</v>
      </c>
      <c r="N663" s="435" t="s">
        <v>828</v>
      </c>
      <c r="O663" s="435" t="s">
        <v>217</v>
      </c>
      <c r="R663" s="435" t="s">
        <v>343</v>
      </c>
      <c r="S663" s="435" t="s">
        <v>344</v>
      </c>
      <c r="AC663" s="435" t="s">
        <v>2</v>
      </c>
      <c r="AE663" s="438"/>
      <c r="AF663" s="438"/>
      <c r="AG663" s="438"/>
      <c r="AH663" s="438"/>
      <c r="AI663" s="438"/>
    </row>
    <row r="664" spans="4:35">
      <c r="D664" s="435" t="s">
        <v>79</v>
      </c>
      <c r="E664" s="435" t="s">
        <v>68</v>
      </c>
      <c r="F664" s="435" t="s">
        <v>296</v>
      </c>
      <c r="G664" s="435" t="s">
        <v>12</v>
      </c>
      <c r="H664" s="435" t="s">
        <v>264</v>
      </c>
      <c r="I664" s="435" t="s">
        <v>7</v>
      </c>
      <c r="J664" s="435" t="s">
        <v>299</v>
      </c>
      <c r="K664" s="437" t="s">
        <v>300</v>
      </c>
      <c r="L664" s="437" t="s">
        <v>301</v>
      </c>
      <c r="M664" s="435" t="s">
        <v>835</v>
      </c>
      <c r="N664" s="435" t="s">
        <v>828</v>
      </c>
      <c r="O664" s="435" t="s">
        <v>217</v>
      </c>
      <c r="R664" s="435" t="s">
        <v>345</v>
      </c>
      <c r="S664" s="435" t="s">
        <v>346</v>
      </c>
      <c r="AC664" s="435" t="s">
        <v>2</v>
      </c>
      <c r="AE664" s="438"/>
      <c r="AF664" s="438"/>
      <c r="AG664" s="438"/>
      <c r="AH664" s="438"/>
      <c r="AI664" s="438"/>
    </row>
    <row r="665" spans="4:35">
      <c r="D665" s="435" t="s">
        <v>79</v>
      </c>
      <c r="E665" s="435" t="s">
        <v>68</v>
      </c>
      <c r="F665" s="435" t="s">
        <v>296</v>
      </c>
      <c r="G665" s="435" t="s">
        <v>12</v>
      </c>
      <c r="H665" s="435" t="s">
        <v>264</v>
      </c>
      <c r="I665" s="435" t="s">
        <v>7</v>
      </c>
      <c r="J665" s="435" t="s">
        <v>299</v>
      </c>
      <c r="K665" s="437" t="s">
        <v>300</v>
      </c>
      <c r="L665" s="437" t="s">
        <v>301</v>
      </c>
      <c r="M665" s="435" t="s">
        <v>835</v>
      </c>
      <c r="N665" s="435" t="s">
        <v>828</v>
      </c>
      <c r="O665" s="435" t="s">
        <v>217</v>
      </c>
      <c r="R665" s="435" t="s">
        <v>347</v>
      </c>
      <c r="S665" s="435" t="s">
        <v>348</v>
      </c>
      <c r="AC665" s="435" t="s">
        <v>2</v>
      </c>
      <c r="AE665" s="438"/>
      <c r="AF665" s="438"/>
      <c r="AG665" s="438"/>
      <c r="AH665" s="438"/>
      <c r="AI665" s="438"/>
    </row>
    <row r="666" spans="4:35">
      <c r="D666" s="435" t="s">
        <v>79</v>
      </c>
      <c r="E666" s="435" t="s">
        <v>68</v>
      </c>
      <c r="F666" s="435" t="s">
        <v>296</v>
      </c>
      <c r="G666" s="435" t="s">
        <v>12</v>
      </c>
      <c r="H666" s="435" t="s">
        <v>264</v>
      </c>
      <c r="I666" s="435" t="s">
        <v>7</v>
      </c>
      <c r="J666" s="435" t="s">
        <v>299</v>
      </c>
      <c r="K666" s="437" t="s">
        <v>300</v>
      </c>
      <c r="L666" s="437" t="s">
        <v>301</v>
      </c>
      <c r="M666" s="435" t="s">
        <v>835</v>
      </c>
      <c r="N666" s="436" t="s">
        <v>2870</v>
      </c>
      <c r="O666" s="435" t="s">
        <v>830</v>
      </c>
      <c r="R666" s="435" t="s">
        <v>349</v>
      </c>
      <c r="S666" s="435" t="s">
        <v>346</v>
      </c>
      <c r="AC666" s="435" t="s">
        <v>2</v>
      </c>
      <c r="AE666" s="438"/>
      <c r="AF666" s="438"/>
      <c r="AG666" s="438"/>
      <c r="AH666" s="438"/>
      <c r="AI666" s="438"/>
    </row>
    <row r="667" spans="4:35">
      <c r="D667" s="435" t="s">
        <v>79</v>
      </c>
      <c r="E667" s="435" t="s">
        <v>68</v>
      </c>
      <c r="F667" s="435" t="s">
        <v>296</v>
      </c>
      <c r="G667" s="435" t="s">
        <v>12</v>
      </c>
      <c r="H667" s="435" t="s">
        <v>264</v>
      </c>
      <c r="I667" s="435" t="s">
        <v>7</v>
      </c>
      <c r="J667" s="435" t="s">
        <v>299</v>
      </c>
      <c r="K667" s="437" t="s">
        <v>300</v>
      </c>
      <c r="L667" s="437" t="s">
        <v>301</v>
      </c>
      <c r="M667" s="435" t="s">
        <v>835</v>
      </c>
      <c r="N667" s="435" t="s">
        <v>828</v>
      </c>
      <c r="O667" s="435" t="s">
        <v>217</v>
      </c>
      <c r="R667" s="435" t="s">
        <v>350</v>
      </c>
      <c r="S667" s="435" t="s">
        <v>351</v>
      </c>
      <c r="AC667" s="435" t="s">
        <v>2</v>
      </c>
      <c r="AE667" s="438"/>
      <c r="AF667" s="438"/>
      <c r="AG667" s="438"/>
      <c r="AH667" s="438"/>
      <c r="AI667" s="438"/>
    </row>
    <row r="668" spans="4:35">
      <c r="D668" s="435" t="s">
        <v>79</v>
      </c>
      <c r="E668" s="435" t="s">
        <v>68</v>
      </c>
      <c r="F668" s="435" t="s">
        <v>296</v>
      </c>
      <c r="G668" s="435" t="s">
        <v>12</v>
      </c>
      <c r="H668" s="435" t="s">
        <v>264</v>
      </c>
      <c r="I668" s="435" t="s">
        <v>7</v>
      </c>
      <c r="J668" s="435" t="s">
        <v>299</v>
      </c>
      <c r="K668" s="437" t="s">
        <v>300</v>
      </c>
      <c r="L668" s="437" t="s">
        <v>302</v>
      </c>
      <c r="M668" s="435" t="s">
        <v>836</v>
      </c>
      <c r="N668" s="435" t="s">
        <v>829</v>
      </c>
      <c r="O668" s="435" t="s">
        <v>214</v>
      </c>
      <c r="R668" s="435" t="s">
        <v>352</v>
      </c>
      <c r="S668" s="435" t="s">
        <v>353</v>
      </c>
      <c r="AC668" s="435" t="s">
        <v>2</v>
      </c>
      <c r="AE668" s="438"/>
      <c r="AF668" s="438"/>
      <c r="AG668" s="438"/>
      <c r="AH668" s="438"/>
      <c r="AI668" s="438"/>
    </row>
    <row r="669" spans="4:35">
      <c r="D669" s="435" t="s">
        <v>79</v>
      </c>
      <c r="E669" s="435" t="s">
        <v>68</v>
      </c>
      <c r="F669" s="435" t="s">
        <v>296</v>
      </c>
      <c r="G669" s="435" t="s">
        <v>12</v>
      </c>
      <c r="H669" s="435" t="s">
        <v>264</v>
      </c>
      <c r="I669" s="435" t="s">
        <v>7</v>
      </c>
      <c r="J669" s="435" t="s">
        <v>299</v>
      </c>
      <c r="K669" s="437" t="s">
        <v>300</v>
      </c>
      <c r="L669" s="437" t="s">
        <v>302</v>
      </c>
      <c r="M669" s="435" t="s">
        <v>836</v>
      </c>
      <c r="N669" s="435" t="s">
        <v>828</v>
      </c>
      <c r="O669" s="435" t="s">
        <v>217</v>
      </c>
      <c r="R669" s="435" t="s">
        <v>354</v>
      </c>
      <c r="S669" s="435" t="s">
        <v>355</v>
      </c>
      <c r="AC669" s="435" t="s">
        <v>2</v>
      </c>
      <c r="AE669" s="438"/>
      <c r="AF669" s="438"/>
      <c r="AG669" s="438"/>
      <c r="AH669" s="438"/>
      <c r="AI669" s="438"/>
    </row>
    <row r="670" spans="4:35">
      <c r="D670" s="435" t="s">
        <v>79</v>
      </c>
      <c r="E670" s="435" t="s">
        <v>68</v>
      </c>
      <c r="F670" s="435" t="s">
        <v>296</v>
      </c>
      <c r="G670" s="435" t="s">
        <v>12</v>
      </c>
      <c r="H670" s="435" t="s">
        <v>264</v>
      </c>
      <c r="I670" s="435" t="s">
        <v>7</v>
      </c>
      <c r="J670" s="435" t="s">
        <v>299</v>
      </c>
      <c r="K670" s="437" t="s">
        <v>300</v>
      </c>
      <c r="L670" s="437" t="s">
        <v>302</v>
      </c>
      <c r="M670" s="435" t="s">
        <v>836</v>
      </c>
      <c r="N670" s="435" t="s">
        <v>828</v>
      </c>
      <c r="O670" s="435" t="s">
        <v>217</v>
      </c>
      <c r="R670" s="435" t="s">
        <v>356</v>
      </c>
      <c r="S670" s="435" t="s">
        <v>357</v>
      </c>
      <c r="AC670" s="435" t="s">
        <v>2</v>
      </c>
      <c r="AE670" s="438"/>
      <c r="AF670" s="438"/>
      <c r="AG670" s="438"/>
      <c r="AH670" s="438"/>
      <c r="AI670" s="438"/>
    </row>
    <row r="671" spans="4:35">
      <c r="D671" s="435" t="s">
        <v>79</v>
      </c>
      <c r="E671" s="435" t="s">
        <v>68</v>
      </c>
      <c r="F671" s="435" t="s">
        <v>296</v>
      </c>
      <c r="G671" s="435" t="s">
        <v>12</v>
      </c>
      <c r="H671" s="435" t="s">
        <v>264</v>
      </c>
      <c r="I671" s="435" t="s">
        <v>7</v>
      </c>
      <c r="J671" s="435" t="s">
        <v>299</v>
      </c>
      <c r="K671" s="437" t="s">
        <v>300</v>
      </c>
      <c r="L671" s="437" t="s">
        <v>302</v>
      </c>
      <c r="M671" s="435" t="s">
        <v>836</v>
      </c>
      <c r="N671" s="435" t="s">
        <v>828</v>
      </c>
      <c r="O671" s="435" t="s">
        <v>217</v>
      </c>
      <c r="R671" s="435" t="s">
        <v>358</v>
      </c>
      <c r="S671" s="435" t="s">
        <v>359</v>
      </c>
      <c r="AC671" s="435" t="s">
        <v>2</v>
      </c>
      <c r="AE671" s="438"/>
      <c r="AF671" s="438"/>
      <c r="AG671" s="438"/>
      <c r="AH671" s="438"/>
      <c r="AI671" s="438"/>
    </row>
    <row r="672" spans="4:35">
      <c r="D672" s="435" t="s">
        <v>79</v>
      </c>
      <c r="E672" s="435" t="s">
        <v>68</v>
      </c>
      <c r="F672" s="435" t="s">
        <v>296</v>
      </c>
      <c r="G672" s="435" t="s">
        <v>12</v>
      </c>
      <c r="H672" s="435" t="s">
        <v>264</v>
      </c>
      <c r="I672" s="435" t="s">
        <v>7</v>
      </c>
      <c r="J672" s="435" t="s">
        <v>299</v>
      </c>
      <c r="K672" s="437" t="s">
        <v>300</v>
      </c>
      <c r="L672" s="437" t="s">
        <v>302</v>
      </c>
      <c r="M672" s="435" t="s">
        <v>836</v>
      </c>
      <c r="N672" s="435" t="s">
        <v>828</v>
      </c>
      <c r="O672" s="435" t="s">
        <v>217</v>
      </c>
      <c r="R672" s="435" t="s">
        <v>360</v>
      </c>
      <c r="S672" s="435" t="s">
        <v>361</v>
      </c>
      <c r="AC672" s="435" t="s">
        <v>2</v>
      </c>
      <c r="AE672" s="438"/>
      <c r="AF672" s="438"/>
      <c r="AG672" s="438"/>
      <c r="AH672" s="438"/>
      <c r="AI672" s="438"/>
    </row>
    <row r="673" spans="4:35">
      <c r="D673" s="435" t="s">
        <v>79</v>
      </c>
      <c r="E673" s="435" t="s">
        <v>68</v>
      </c>
      <c r="F673" s="435" t="s">
        <v>296</v>
      </c>
      <c r="G673" s="435" t="s">
        <v>12</v>
      </c>
      <c r="H673" s="435" t="s">
        <v>264</v>
      </c>
      <c r="I673" s="435" t="s">
        <v>7</v>
      </c>
      <c r="J673" s="435" t="s">
        <v>299</v>
      </c>
      <c r="K673" s="437" t="s">
        <v>300</v>
      </c>
      <c r="L673" s="437" t="s">
        <v>302</v>
      </c>
      <c r="M673" s="435" t="s">
        <v>836</v>
      </c>
      <c r="N673" s="435" t="s">
        <v>828</v>
      </c>
      <c r="O673" s="435" t="s">
        <v>217</v>
      </c>
      <c r="R673" s="435" t="s">
        <v>362</v>
      </c>
      <c r="S673" s="435" t="s">
        <v>353</v>
      </c>
      <c r="AC673" s="435" t="s">
        <v>2</v>
      </c>
      <c r="AE673" s="438"/>
      <c r="AF673" s="438"/>
      <c r="AG673" s="438"/>
      <c r="AH673" s="438"/>
      <c r="AI673" s="438"/>
    </row>
    <row r="674" spans="4:35">
      <c r="D674" s="435" t="s">
        <v>79</v>
      </c>
      <c r="E674" s="435" t="s">
        <v>68</v>
      </c>
      <c r="F674" s="435" t="s">
        <v>296</v>
      </c>
      <c r="G674" s="435" t="s">
        <v>12</v>
      </c>
      <c r="H674" s="435" t="s">
        <v>264</v>
      </c>
      <c r="I674" s="435" t="s">
        <v>7</v>
      </c>
      <c r="J674" s="435" t="s">
        <v>299</v>
      </c>
      <c r="K674" s="439" t="s">
        <v>319</v>
      </c>
      <c r="L674" s="439" t="s">
        <v>320</v>
      </c>
      <c r="M674" s="435" t="s">
        <v>855</v>
      </c>
      <c r="N674" s="435" t="s">
        <v>829</v>
      </c>
      <c r="O674" s="435" t="s">
        <v>214</v>
      </c>
      <c r="R674" s="435" t="s">
        <v>718</v>
      </c>
      <c r="S674" s="435" t="s">
        <v>719</v>
      </c>
      <c r="AC674" s="435" t="s">
        <v>2</v>
      </c>
      <c r="AE674" s="438"/>
      <c r="AF674" s="438"/>
      <c r="AG674" s="438"/>
      <c r="AH674" s="438"/>
      <c r="AI674" s="438"/>
    </row>
    <row r="675" spans="4:35">
      <c r="D675" s="435" t="s">
        <v>79</v>
      </c>
      <c r="E675" s="435" t="s">
        <v>68</v>
      </c>
      <c r="F675" s="435" t="s">
        <v>296</v>
      </c>
      <c r="G675" s="435" t="s">
        <v>12</v>
      </c>
      <c r="H675" s="435" t="s">
        <v>264</v>
      </c>
      <c r="I675" s="435" t="s">
        <v>7</v>
      </c>
      <c r="J675" s="435" t="s">
        <v>299</v>
      </c>
      <c r="K675" s="439" t="s">
        <v>319</v>
      </c>
      <c r="L675" s="439" t="s">
        <v>320</v>
      </c>
      <c r="M675" s="435" t="s">
        <v>852</v>
      </c>
      <c r="N675" s="435" t="s">
        <v>829</v>
      </c>
      <c r="O675" s="435" t="s">
        <v>214</v>
      </c>
      <c r="R675" s="435" t="s">
        <v>720</v>
      </c>
      <c r="S675" s="435" t="s">
        <v>721</v>
      </c>
      <c r="AC675" s="435" t="s">
        <v>2</v>
      </c>
      <c r="AE675" s="438"/>
      <c r="AF675" s="438"/>
      <c r="AG675" s="438"/>
      <c r="AH675" s="438"/>
      <c r="AI675" s="438"/>
    </row>
    <row r="676" spans="4:35">
      <c r="D676" s="435" t="s">
        <v>79</v>
      </c>
      <c r="E676" s="435" t="s">
        <v>68</v>
      </c>
      <c r="F676" s="435" t="s">
        <v>296</v>
      </c>
      <c r="G676" s="435" t="s">
        <v>12</v>
      </c>
      <c r="H676" s="435" t="s">
        <v>264</v>
      </c>
      <c r="I676" s="435" t="s">
        <v>7</v>
      </c>
      <c r="J676" s="435" t="s">
        <v>299</v>
      </c>
      <c r="K676" s="439" t="s">
        <v>319</v>
      </c>
      <c r="L676" s="439" t="s">
        <v>320</v>
      </c>
      <c r="M676" s="435" t="s">
        <v>852</v>
      </c>
      <c r="N676" s="435" t="s">
        <v>829</v>
      </c>
      <c r="O676" s="435" t="s">
        <v>214</v>
      </c>
      <c r="R676" s="435" t="s">
        <v>722</v>
      </c>
      <c r="S676" s="435" t="s">
        <v>723</v>
      </c>
      <c r="U676" s="440"/>
      <c r="AC676" s="435" t="s">
        <v>2</v>
      </c>
      <c r="AE676" s="438"/>
      <c r="AF676" s="438"/>
      <c r="AG676" s="438"/>
      <c r="AH676" s="438"/>
      <c r="AI676" s="438"/>
    </row>
    <row r="677" spans="4:35">
      <c r="D677" s="435" t="s">
        <v>79</v>
      </c>
      <c r="E677" s="435" t="s">
        <v>68</v>
      </c>
      <c r="F677" s="435" t="s">
        <v>296</v>
      </c>
      <c r="G677" s="435" t="s">
        <v>12</v>
      </c>
      <c r="H677" s="435" t="s">
        <v>264</v>
      </c>
      <c r="I677" s="435" t="s">
        <v>7</v>
      </c>
      <c r="J677" s="435" t="s">
        <v>299</v>
      </c>
      <c r="K677" s="439" t="s">
        <v>319</v>
      </c>
      <c r="L677" s="439" t="s">
        <v>320</v>
      </c>
      <c r="M677" s="435" t="s">
        <v>852</v>
      </c>
      <c r="N677" s="435" t="s">
        <v>829</v>
      </c>
      <c r="O677" s="435" t="s">
        <v>214</v>
      </c>
      <c r="R677" s="435" t="s">
        <v>724</v>
      </c>
      <c r="S677" s="435" t="s">
        <v>725</v>
      </c>
      <c r="AC677" s="435" t="s">
        <v>2</v>
      </c>
      <c r="AE677" s="438"/>
      <c r="AF677" s="438"/>
      <c r="AG677" s="438"/>
      <c r="AH677" s="438"/>
      <c r="AI677" s="438"/>
    </row>
    <row r="678" spans="4:35">
      <c r="D678" s="435" t="s">
        <v>79</v>
      </c>
      <c r="E678" s="435" t="s">
        <v>68</v>
      </c>
      <c r="F678" s="435" t="s">
        <v>296</v>
      </c>
      <c r="G678" s="435" t="s">
        <v>12</v>
      </c>
      <c r="H678" s="435" t="s">
        <v>264</v>
      </c>
      <c r="I678" s="435" t="s">
        <v>7</v>
      </c>
      <c r="J678" s="435" t="s">
        <v>299</v>
      </c>
      <c r="K678" s="439" t="s">
        <v>319</v>
      </c>
      <c r="L678" s="439" t="s">
        <v>320</v>
      </c>
      <c r="M678" s="435" t="s">
        <v>852</v>
      </c>
      <c r="N678" s="435" t="s">
        <v>829</v>
      </c>
      <c r="O678" s="435" t="s">
        <v>214</v>
      </c>
      <c r="R678" s="435" t="s">
        <v>726</v>
      </c>
      <c r="S678" s="435" t="s">
        <v>727</v>
      </c>
      <c r="AC678" s="435" t="s">
        <v>2</v>
      </c>
      <c r="AE678" s="438"/>
      <c r="AF678" s="438"/>
      <c r="AG678" s="438"/>
      <c r="AH678" s="438"/>
      <c r="AI678" s="438"/>
    </row>
    <row r="679" spans="4:35">
      <c r="D679" s="435" t="s">
        <v>79</v>
      </c>
      <c r="E679" s="435" t="s">
        <v>68</v>
      </c>
      <c r="F679" s="435" t="s">
        <v>296</v>
      </c>
      <c r="G679" s="435" t="s">
        <v>12</v>
      </c>
      <c r="H679" s="435" t="s">
        <v>264</v>
      </c>
      <c r="I679" s="435" t="s">
        <v>7</v>
      </c>
      <c r="J679" s="435" t="s">
        <v>299</v>
      </c>
      <c r="K679" s="439" t="s">
        <v>319</v>
      </c>
      <c r="L679" s="439" t="s">
        <v>320</v>
      </c>
      <c r="M679" s="435" t="s">
        <v>856</v>
      </c>
      <c r="N679" s="435" t="s">
        <v>829</v>
      </c>
      <c r="O679" s="435" t="s">
        <v>214</v>
      </c>
      <c r="R679" s="435" t="s">
        <v>728</v>
      </c>
      <c r="S679" s="435" t="s">
        <v>729</v>
      </c>
      <c r="AC679" s="435" t="s">
        <v>2</v>
      </c>
      <c r="AE679" s="438"/>
      <c r="AF679" s="438"/>
      <c r="AG679" s="438"/>
      <c r="AH679" s="438"/>
      <c r="AI679" s="438"/>
    </row>
    <row r="680" spans="4:35">
      <c r="D680" s="435" t="s">
        <v>79</v>
      </c>
      <c r="E680" s="435" t="s">
        <v>68</v>
      </c>
      <c r="F680" s="435" t="s">
        <v>296</v>
      </c>
      <c r="G680" s="435" t="s">
        <v>12</v>
      </c>
      <c r="H680" s="435" t="s">
        <v>264</v>
      </c>
      <c r="I680" s="435" t="s">
        <v>7</v>
      </c>
      <c r="J680" s="435" t="s">
        <v>299</v>
      </c>
      <c r="K680" s="439" t="s">
        <v>319</v>
      </c>
      <c r="L680" s="439" t="s">
        <v>320</v>
      </c>
      <c r="M680" s="435" t="s">
        <v>856</v>
      </c>
      <c r="N680" s="435" t="s">
        <v>829</v>
      </c>
      <c r="O680" s="435" t="s">
        <v>214</v>
      </c>
      <c r="R680" s="435" t="s">
        <v>730</v>
      </c>
      <c r="S680" s="435" t="s">
        <v>731</v>
      </c>
      <c r="AC680" s="435" t="s">
        <v>2</v>
      </c>
      <c r="AE680" s="438"/>
      <c r="AF680" s="438"/>
      <c r="AG680" s="438"/>
      <c r="AH680" s="438"/>
      <c r="AI680" s="438"/>
    </row>
    <row r="681" spans="4:35">
      <c r="D681" s="435" t="s">
        <v>79</v>
      </c>
      <c r="E681" s="435" t="s">
        <v>68</v>
      </c>
      <c r="F681" s="435" t="s">
        <v>296</v>
      </c>
      <c r="G681" s="435" t="s">
        <v>12</v>
      </c>
      <c r="H681" s="435" t="s">
        <v>264</v>
      </c>
      <c r="I681" s="435" t="s">
        <v>7</v>
      </c>
      <c r="J681" s="435" t="s">
        <v>299</v>
      </c>
      <c r="K681" s="439" t="s">
        <v>319</v>
      </c>
      <c r="L681" s="439" t="s">
        <v>320</v>
      </c>
      <c r="M681" s="435" t="s">
        <v>856</v>
      </c>
      <c r="N681" s="435" t="s">
        <v>829</v>
      </c>
      <c r="O681" s="435" t="s">
        <v>214</v>
      </c>
      <c r="R681" s="435" t="s">
        <v>732</v>
      </c>
      <c r="S681" s="435" t="s">
        <v>731</v>
      </c>
      <c r="AC681" s="435" t="s">
        <v>2</v>
      </c>
      <c r="AE681" s="438"/>
      <c r="AF681" s="438"/>
      <c r="AG681" s="438"/>
      <c r="AH681" s="438"/>
      <c r="AI681" s="438"/>
    </row>
    <row r="682" spans="4:35">
      <c r="D682" s="435" t="s">
        <v>79</v>
      </c>
      <c r="E682" s="435" t="s">
        <v>68</v>
      </c>
      <c r="F682" s="435" t="s">
        <v>296</v>
      </c>
      <c r="G682" s="435" t="s">
        <v>12</v>
      </c>
      <c r="H682" s="435" t="s">
        <v>264</v>
      </c>
      <c r="I682" s="435" t="s">
        <v>7</v>
      </c>
      <c r="J682" s="435" t="s">
        <v>299</v>
      </c>
      <c r="K682" s="439" t="s">
        <v>319</v>
      </c>
      <c r="L682" s="439" t="s">
        <v>320</v>
      </c>
      <c r="M682" s="435" t="s">
        <v>856</v>
      </c>
      <c r="N682" s="435" t="s">
        <v>829</v>
      </c>
      <c r="O682" s="435" t="s">
        <v>214</v>
      </c>
      <c r="R682" s="435" t="s">
        <v>733</v>
      </c>
      <c r="S682" s="435" t="s">
        <v>734</v>
      </c>
      <c r="AC682" s="435" t="s">
        <v>2</v>
      </c>
      <c r="AE682" s="438"/>
      <c r="AF682" s="438"/>
      <c r="AG682" s="438"/>
      <c r="AH682" s="438"/>
      <c r="AI682" s="438"/>
    </row>
    <row r="683" spans="4:35">
      <c r="D683" s="435" t="s">
        <v>79</v>
      </c>
      <c r="E683" s="435" t="s">
        <v>68</v>
      </c>
      <c r="F683" s="435" t="s">
        <v>296</v>
      </c>
      <c r="G683" s="435" t="s">
        <v>12</v>
      </c>
      <c r="H683" s="435" t="s">
        <v>264</v>
      </c>
      <c r="I683" s="435" t="s">
        <v>7</v>
      </c>
      <c r="J683" s="435" t="s">
        <v>299</v>
      </c>
      <c r="K683" s="439" t="s">
        <v>319</v>
      </c>
      <c r="L683" s="439" t="s">
        <v>320</v>
      </c>
      <c r="M683" s="435" t="s">
        <v>856</v>
      </c>
      <c r="N683" s="435" t="s">
        <v>829</v>
      </c>
      <c r="O683" s="435" t="s">
        <v>214</v>
      </c>
      <c r="R683" s="435" t="s">
        <v>735</v>
      </c>
      <c r="S683" s="435" t="s">
        <v>729</v>
      </c>
      <c r="AC683" s="435" t="s">
        <v>2</v>
      </c>
      <c r="AE683" s="438"/>
      <c r="AF683" s="438"/>
      <c r="AG683" s="438"/>
      <c r="AH683" s="438"/>
      <c r="AI683" s="438"/>
    </row>
    <row r="684" spans="4:35">
      <c r="D684" s="435" t="s">
        <v>79</v>
      </c>
      <c r="E684" s="435" t="s">
        <v>68</v>
      </c>
      <c r="F684" s="435" t="s">
        <v>296</v>
      </c>
      <c r="G684" s="435" t="s">
        <v>12</v>
      </c>
      <c r="H684" s="435" t="s">
        <v>264</v>
      </c>
      <c r="I684" s="435" t="s">
        <v>7</v>
      </c>
      <c r="J684" s="435" t="s">
        <v>299</v>
      </c>
      <c r="K684" s="439" t="s">
        <v>319</v>
      </c>
      <c r="L684" s="439" t="s">
        <v>320</v>
      </c>
      <c r="M684" s="435" t="s">
        <v>856</v>
      </c>
      <c r="N684" s="435" t="s">
        <v>829</v>
      </c>
      <c r="O684" s="435" t="s">
        <v>214</v>
      </c>
      <c r="R684" s="435" t="s">
        <v>736</v>
      </c>
      <c r="S684" s="435" t="s">
        <v>737</v>
      </c>
      <c r="AC684" s="435" t="s">
        <v>2</v>
      </c>
      <c r="AE684" s="438"/>
      <c r="AF684" s="438"/>
      <c r="AG684" s="438"/>
      <c r="AH684" s="438"/>
      <c r="AI684" s="438"/>
    </row>
    <row r="685" spans="4:35">
      <c r="D685" s="435" t="s">
        <v>79</v>
      </c>
      <c r="E685" s="435" t="s">
        <v>68</v>
      </c>
      <c r="F685" s="435" t="s">
        <v>296</v>
      </c>
      <c r="G685" s="435" t="s">
        <v>12</v>
      </c>
      <c r="H685" s="435" t="s">
        <v>264</v>
      </c>
      <c r="I685" s="435" t="s">
        <v>7</v>
      </c>
      <c r="J685" s="435" t="s">
        <v>299</v>
      </c>
      <c r="K685" s="439" t="s">
        <v>319</v>
      </c>
      <c r="L685" s="439" t="s">
        <v>320</v>
      </c>
      <c r="M685" s="435" t="s">
        <v>856</v>
      </c>
      <c r="N685" s="436" t="s">
        <v>2870</v>
      </c>
      <c r="O685" s="435" t="s">
        <v>830</v>
      </c>
      <c r="R685" s="435" t="s">
        <v>738</v>
      </c>
      <c r="S685" s="435" t="s">
        <v>739</v>
      </c>
      <c r="AC685" s="435" t="s">
        <v>2</v>
      </c>
      <c r="AE685" s="438"/>
      <c r="AF685" s="438"/>
      <c r="AG685" s="438"/>
      <c r="AH685" s="438"/>
      <c r="AI685" s="438"/>
    </row>
    <row r="686" spans="4:35">
      <c r="D686" s="435" t="s">
        <v>79</v>
      </c>
      <c r="E686" s="435" t="s">
        <v>68</v>
      </c>
      <c r="F686" s="435" t="s">
        <v>296</v>
      </c>
      <c r="G686" s="435" t="s">
        <v>12</v>
      </c>
      <c r="H686" s="435" t="s">
        <v>264</v>
      </c>
      <c r="I686" s="435" t="s">
        <v>7</v>
      </c>
      <c r="J686" s="435" t="s">
        <v>299</v>
      </c>
      <c r="K686" s="439" t="s">
        <v>319</v>
      </c>
      <c r="L686" s="439" t="s">
        <v>320</v>
      </c>
      <c r="M686" s="435" t="s">
        <v>856</v>
      </c>
      <c r="N686" s="435" t="s">
        <v>829</v>
      </c>
      <c r="O686" s="435" t="s">
        <v>214</v>
      </c>
      <c r="R686" s="435" t="s">
        <v>740</v>
      </c>
      <c r="S686" s="435" t="s">
        <v>741</v>
      </c>
      <c r="AC686" s="435" t="s">
        <v>2</v>
      </c>
      <c r="AE686" s="438"/>
      <c r="AF686" s="438"/>
      <c r="AG686" s="438"/>
      <c r="AH686" s="438"/>
      <c r="AI686" s="438"/>
    </row>
    <row r="687" spans="4:35">
      <c r="D687" s="435" t="s">
        <v>79</v>
      </c>
      <c r="E687" s="435" t="s">
        <v>68</v>
      </c>
      <c r="F687" s="435" t="s">
        <v>296</v>
      </c>
      <c r="G687" s="435" t="s">
        <v>12</v>
      </c>
      <c r="H687" s="435" t="s">
        <v>264</v>
      </c>
      <c r="I687" s="435" t="s">
        <v>7</v>
      </c>
      <c r="J687" s="435" t="s">
        <v>299</v>
      </c>
      <c r="K687" s="439" t="s">
        <v>319</v>
      </c>
      <c r="L687" s="439" t="s">
        <v>320</v>
      </c>
      <c r="M687" s="435" t="s">
        <v>856</v>
      </c>
      <c r="N687" s="436" t="s">
        <v>2870</v>
      </c>
      <c r="O687" s="435" t="s">
        <v>830</v>
      </c>
      <c r="R687" s="435" t="s">
        <v>742</v>
      </c>
      <c r="S687" s="435" t="s">
        <v>743</v>
      </c>
      <c r="AC687" s="435" t="s">
        <v>2</v>
      </c>
      <c r="AE687" s="438"/>
      <c r="AF687" s="438"/>
      <c r="AG687" s="438"/>
      <c r="AH687" s="438"/>
      <c r="AI687" s="438"/>
    </row>
    <row r="688" spans="4:35">
      <c r="D688" s="435" t="s">
        <v>79</v>
      </c>
      <c r="E688" s="435" t="s">
        <v>68</v>
      </c>
      <c r="F688" s="435" t="s">
        <v>296</v>
      </c>
      <c r="G688" s="435" t="s">
        <v>12</v>
      </c>
      <c r="H688" s="435" t="s">
        <v>264</v>
      </c>
      <c r="I688" s="435" t="s">
        <v>7</v>
      </c>
      <c r="J688" s="435" t="s">
        <v>299</v>
      </c>
      <c r="K688" s="439" t="s">
        <v>319</v>
      </c>
      <c r="L688" s="439" t="s">
        <v>321</v>
      </c>
      <c r="M688" s="435" t="s">
        <v>857</v>
      </c>
      <c r="N688" s="435" t="s">
        <v>829</v>
      </c>
      <c r="O688" s="435" t="s">
        <v>214</v>
      </c>
      <c r="R688" s="435" t="s">
        <v>744</v>
      </c>
      <c r="S688" s="435" t="s">
        <v>745</v>
      </c>
      <c r="AC688" s="435" t="s">
        <v>2</v>
      </c>
      <c r="AE688" s="438"/>
      <c r="AF688" s="438"/>
      <c r="AG688" s="438"/>
      <c r="AH688" s="438"/>
      <c r="AI688" s="438"/>
    </row>
    <row r="689" spans="4:35">
      <c r="D689" s="435" t="s">
        <v>79</v>
      </c>
      <c r="E689" s="435" t="s">
        <v>68</v>
      </c>
      <c r="F689" s="435" t="s">
        <v>296</v>
      </c>
      <c r="G689" s="435" t="s">
        <v>12</v>
      </c>
      <c r="H689" s="435" t="s">
        <v>264</v>
      </c>
      <c r="I689" s="435" t="s">
        <v>7</v>
      </c>
      <c r="J689" s="435" t="s">
        <v>299</v>
      </c>
      <c r="K689" s="439" t="s">
        <v>319</v>
      </c>
      <c r="L689" s="439" t="s">
        <v>321</v>
      </c>
      <c r="M689" s="435" t="s">
        <v>857</v>
      </c>
      <c r="N689" s="435" t="s">
        <v>829</v>
      </c>
      <c r="O689" s="435" t="s">
        <v>214</v>
      </c>
      <c r="R689" s="435" t="s">
        <v>746</v>
      </c>
      <c r="S689" s="435" t="s">
        <v>745</v>
      </c>
      <c r="AC689" s="435" t="s">
        <v>2</v>
      </c>
      <c r="AE689" s="438"/>
      <c r="AF689" s="438"/>
      <c r="AG689" s="438"/>
      <c r="AH689" s="438"/>
      <c r="AI689" s="438"/>
    </row>
    <row r="690" spans="4:35">
      <c r="D690" s="435" t="s">
        <v>79</v>
      </c>
      <c r="E690" s="435" t="s">
        <v>68</v>
      </c>
      <c r="F690" s="435" t="s">
        <v>296</v>
      </c>
      <c r="G690" s="435" t="s">
        <v>12</v>
      </c>
      <c r="H690" s="435" t="s">
        <v>264</v>
      </c>
      <c r="I690" s="435" t="s">
        <v>7</v>
      </c>
      <c r="J690" s="435" t="s">
        <v>299</v>
      </c>
      <c r="K690" s="439" t="s">
        <v>319</v>
      </c>
      <c r="L690" s="439" t="s">
        <v>321</v>
      </c>
      <c r="M690" s="435" t="s">
        <v>857</v>
      </c>
      <c r="N690" s="435" t="s">
        <v>829</v>
      </c>
      <c r="O690" s="435" t="s">
        <v>214</v>
      </c>
      <c r="R690" s="435" t="s">
        <v>747</v>
      </c>
      <c r="S690" s="435" t="s">
        <v>748</v>
      </c>
      <c r="AC690" s="435" t="s">
        <v>2</v>
      </c>
      <c r="AE690" s="438"/>
      <c r="AF690" s="438"/>
      <c r="AG690" s="438"/>
      <c r="AH690" s="438"/>
      <c r="AI690" s="438"/>
    </row>
    <row r="691" spans="4:35">
      <c r="D691" s="435" t="s">
        <v>79</v>
      </c>
      <c r="E691" s="435" t="s">
        <v>68</v>
      </c>
      <c r="F691" s="435" t="s">
        <v>296</v>
      </c>
      <c r="G691" s="435" t="s">
        <v>12</v>
      </c>
      <c r="H691" s="435" t="s">
        <v>264</v>
      </c>
      <c r="I691" s="435" t="s">
        <v>7</v>
      </c>
      <c r="J691" s="435" t="s">
        <v>299</v>
      </c>
      <c r="K691" s="439" t="s">
        <v>319</v>
      </c>
      <c r="L691" s="439" t="s">
        <v>321</v>
      </c>
      <c r="M691" s="435" t="s">
        <v>857</v>
      </c>
      <c r="N691" s="435" t="s">
        <v>829</v>
      </c>
      <c r="O691" s="435" t="s">
        <v>214</v>
      </c>
      <c r="R691" s="435" t="s">
        <v>749</v>
      </c>
      <c r="S691" s="435" t="s">
        <v>750</v>
      </c>
      <c r="AC691" s="435" t="s">
        <v>2</v>
      </c>
      <c r="AE691" s="438"/>
      <c r="AF691" s="438"/>
      <c r="AG691" s="438"/>
      <c r="AH691" s="438"/>
      <c r="AI691" s="438"/>
    </row>
    <row r="692" spans="4:35">
      <c r="D692" s="435" t="s">
        <v>79</v>
      </c>
      <c r="E692" s="435" t="s">
        <v>68</v>
      </c>
      <c r="F692" s="435" t="s">
        <v>296</v>
      </c>
      <c r="G692" s="435" t="s">
        <v>12</v>
      </c>
      <c r="H692" s="435" t="s">
        <v>264</v>
      </c>
      <c r="I692" s="435" t="s">
        <v>7</v>
      </c>
      <c r="J692" s="435" t="s">
        <v>299</v>
      </c>
      <c r="K692" s="439" t="s">
        <v>319</v>
      </c>
      <c r="L692" s="439" t="s">
        <v>321</v>
      </c>
      <c r="M692" s="435" t="s">
        <v>858</v>
      </c>
      <c r="N692" s="435" t="s">
        <v>829</v>
      </c>
      <c r="O692" s="435" t="s">
        <v>214</v>
      </c>
      <c r="R692" s="435" t="s">
        <v>751</v>
      </c>
      <c r="S692" s="435" t="s">
        <v>752</v>
      </c>
      <c r="AC692" s="435" t="s">
        <v>2</v>
      </c>
      <c r="AE692" s="438"/>
      <c r="AF692" s="438"/>
      <c r="AG692" s="438"/>
      <c r="AH692" s="438"/>
      <c r="AI692" s="438"/>
    </row>
    <row r="693" spans="4:35">
      <c r="D693" s="435" t="s">
        <v>79</v>
      </c>
      <c r="E693" s="435" t="s">
        <v>68</v>
      </c>
      <c r="F693" s="435" t="s">
        <v>296</v>
      </c>
      <c r="G693" s="435" t="s">
        <v>12</v>
      </c>
      <c r="H693" s="435" t="s">
        <v>264</v>
      </c>
      <c r="I693" s="435" t="s">
        <v>7</v>
      </c>
      <c r="J693" s="435" t="s">
        <v>299</v>
      </c>
      <c r="K693" s="439" t="s">
        <v>319</v>
      </c>
      <c r="L693" s="439" t="s">
        <v>321</v>
      </c>
      <c r="M693" s="435" t="s">
        <v>858</v>
      </c>
      <c r="N693" s="435" t="s">
        <v>829</v>
      </c>
      <c r="O693" s="435" t="s">
        <v>214</v>
      </c>
      <c r="R693" s="435" t="s">
        <v>753</v>
      </c>
      <c r="S693" s="435" t="s">
        <v>754</v>
      </c>
      <c r="AC693" s="435" t="s">
        <v>2</v>
      </c>
      <c r="AE693" s="438"/>
      <c r="AF693" s="438"/>
      <c r="AG693" s="438"/>
      <c r="AH693" s="438"/>
      <c r="AI693" s="438"/>
    </row>
    <row r="694" spans="4:35">
      <c r="D694" s="435" t="s">
        <v>79</v>
      </c>
      <c r="E694" s="435" t="s">
        <v>68</v>
      </c>
      <c r="F694" s="435" t="s">
        <v>296</v>
      </c>
      <c r="G694" s="435" t="s">
        <v>12</v>
      </c>
      <c r="H694" s="435" t="s">
        <v>264</v>
      </c>
      <c r="I694" s="435" t="s">
        <v>7</v>
      </c>
      <c r="J694" s="435" t="s">
        <v>299</v>
      </c>
      <c r="K694" s="439" t="s">
        <v>319</v>
      </c>
      <c r="L694" s="439" t="s">
        <v>321</v>
      </c>
      <c r="M694" s="435" t="s">
        <v>858</v>
      </c>
      <c r="N694" s="435" t="s">
        <v>829</v>
      </c>
      <c r="O694" s="435" t="s">
        <v>214</v>
      </c>
      <c r="R694" s="435" t="s">
        <v>755</v>
      </c>
      <c r="S694" s="435" t="s">
        <v>756</v>
      </c>
      <c r="AC694" s="435" t="s">
        <v>2</v>
      </c>
      <c r="AE694" s="438"/>
      <c r="AF694" s="438"/>
      <c r="AG694" s="438"/>
      <c r="AH694" s="438"/>
      <c r="AI694" s="438"/>
    </row>
    <row r="695" spans="4:35">
      <c r="D695" s="435" t="s">
        <v>79</v>
      </c>
      <c r="E695" s="435" t="s">
        <v>68</v>
      </c>
      <c r="F695" s="435" t="s">
        <v>296</v>
      </c>
      <c r="G695" s="435" t="s">
        <v>12</v>
      </c>
      <c r="H695" s="435" t="s">
        <v>264</v>
      </c>
      <c r="I695" s="435" t="s">
        <v>7</v>
      </c>
      <c r="J695" s="435" t="s">
        <v>299</v>
      </c>
      <c r="K695" s="439" t="s">
        <v>319</v>
      </c>
      <c r="L695" s="439" t="s">
        <v>321</v>
      </c>
      <c r="M695" s="435" t="s">
        <v>858</v>
      </c>
      <c r="N695" s="435" t="s">
        <v>829</v>
      </c>
      <c r="O695" s="435" t="s">
        <v>214</v>
      </c>
      <c r="R695" s="435" t="s">
        <v>757</v>
      </c>
      <c r="S695" s="435" t="s">
        <v>752</v>
      </c>
      <c r="AC695" s="435" t="s">
        <v>2</v>
      </c>
      <c r="AE695" s="438"/>
      <c r="AF695" s="438"/>
      <c r="AG695" s="438"/>
      <c r="AH695" s="438"/>
      <c r="AI695" s="438"/>
    </row>
    <row r="696" spans="4:35">
      <c r="D696" s="435" t="s">
        <v>79</v>
      </c>
      <c r="E696" s="435" t="s">
        <v>68</v>
      </c>
      <c r="F696" s="435" t="s">
        <v>296</v>
      </c>
      <c r="G696" s="435" t="s">
        <v>12</v>
      </c>
      <c r="H696" s="435" t="s">
        <v>264</v>
      </c>
      <c r="I696" s="435" t="s">
        <v>7</v>
      </c>
      <c r="J696" s="435" t="s">
        <v>299</v>
      </c>
      <c r="K696" s="439" t="s">
        <v>319</v>
      </c>
      <c r="L696" s="439" t="s">
        <v>321</v>
      </c>
      <c r="M696" s="435" t="s">
        <v>858</v>
      </c>
      <c r="N696" s="435" t="s">
        <v>829</v>
      </c>
      <c r="O696" s="435" t="s">
        <v>214</v>
      </c>
      <c r="R696" s="435" t="s">
        <v>758</v>
      </c>
      <c r="S696" s="435" t="s">
        <v>759</v>
      </c>
      <c r="AC696" s="435" t="s">
        <v>2</v>
      </c>
      <c r="AE696" s="438"/>
      <c r="AF696" s="438"/>
      <c r="AG696" s="438"/>
      <c r="AH696" s="438"/>
      <c r="AI696" s="438"/>
    </row>
    <row r="697" spans="4:35">
      <c r="D697" s="435" t="s">
        <v>79</v>
      </c>
      <c r="E697" s="435" t="s">
        <v>68</v>
      </c>
      <c r="F697" s="435" t="s">
        <v>296</v>
      </c>
      <c r="G697" s="435" t="s">
        <v>12</v>
      </c>
      <c r="H697" s="435" t="s">
        <v>264</v>
      </c>
      <c r="I697" s="435" t="s">
        <v>7</v>
      </c>
      <c r="J697" s="435" t="s">
        <v>299</v>
      </c>
      <c r="K697" s="439" t="s">
        <v>319</v>
      </c>
      <c r="L697" s="439" t="s">
        <v>322</v>
      </c>
      <c r="M697" s="435" t="s">
        <v>859</v>
      </c>
      <c r="N697" s="435" t="s">
        <v>829</v>
      </c>
      <c r="O697" s="435" t="s">
        <v>214</v>
      </c>
      <c r="R697" s="435" t="s">
        <v>760</v>
      </c>
      <c r="S697" s="435" t="s">
        <v>761</v>
      </c>
      <c r="AC697" s="435" t="s">
        <v>2</v>
      </c>
      <c r="AE697" s="438"/>
      <c r="AF697" s="438"/>
      <c r="AG697" s="438"/>
      <c r="AH697" s="438"/>
      <c r="AI697" s="438"/>
    </row>
    <row r="698" spans="4:35">
      <c r="D698" s="435" t="s">
        <v>79</v>
      </c>
      <c r="E698" s="435" t="s">
        <v>68</v>
      </c>
      <c r="F698" s="435" t="s">
        <v>296</v>
      </c>
      <c r="G698" s="435" t="s">
        <v>12</v>
      </c>
      <c r="H698" s="435" t="s">
        <v>264</v>
      </c>
      <c r="I698" s="435" t="s">
        <v>7</v>
      </c>
      <c r="J698" s="435" t="s">
        <v>299</v>
      </c>
      <c r="K698" s="439" t="s">
        <v>319</v>
      </c>
      <c r="L698" s="439" t="s">
        <v>322</v>
      </c>
      <c r="M698" s="435" t="s">
        <v>859</v>
      </c>
      <c r="N698" s="435" t="s">
        <v>829</v>
      </c>
      <c r="O698" s="435" t="s">
        <v>214</v>
      </c>
      <c r="R698" s="435" t="s">
        <v>762</v>
      </c>
      <c r="S698" s="435" t="s">
        <v>763</v>
      </c>
      <c r="AC698" s="435" t="s">
        <v>2</v>
      </c>
      <c r="AE698" s="438"/>
      <c r="AF698" s="438"/>
      <c r="AG698" s="438"/>
      <c r="AH698" s="438"/>
      <c r="AI698" s="438"/>
    </row>
    <row r="699" spans="4:35">
      <c r="D699" s="435" t="s">
        <v>79</v>
      </c>
      <c r="E699" s="435" t="s">
        <v>68</v>
      </c>
      <c r="F699" s="435" t="s">
        <v>296</v>
      </c>
      <c r="G699" s="435" t="s">
        <v>12</v>
      </c>
      <c r="H699" s="435" t="s">
        <v>264</v>
      </c>
      <c r="I699" s="435" t="s">
        <v>7</v>
      </c>
      <c r="J699" s="435" t="s">
        <v>299</v>
      </c>
      <c r="K699" s="439" t="s">
        <v>319</v>
      </c>
      <c r="L699" s="439" t="s">
        <v>322</v>
      </c>
      <c r="M699" s="435" t="s">
        <v>859</v>
      </c>
      <c r="N699" s="435" t="s">
        <v>829</v>
      </c>
      <c r="O699" s="435" t="s">
        <v>214</v>
      </c>
      <c r="R699" s="435" t="s">
        <v>764</v>
      </c>
      <c r="S699" s="435" t="s">
        <v>765</v>
      </c>
      <c r="AC699" s="435" t="s">
        <v>2</v>
      </c>
      <c r="AE699" s="438"/>
      <c r="AF699" s="438"/>
      <c r="AG699" s="438"/>
      <c r="AH699" s="438"/>
      <c r="AI699" s="438"/>
    </row>
    <row r="700" spans="4:35">
      <c r="D700" s="435" t="s">
        <v>79</v>
      </c>
      <c r="E700" s="435" t="s">
        <v>68</v>
      </c>
      <c r="F700" s="435" t="s">
        <v>296</v>
      </c>
      <c r="G700" s="435" t="s">
        <v>12</v>
      </c>
      <c r="H700" s="435" t="s">
        <v>264</v>
      </c>
      <c r="I700" s="435" t="s">
        <v>7</v>
      </c>
      <c r="J700" s="435" t="s">
        <v>299</v>
      </c>
      <c r="K700" s="439" t="s">
        <v>319</v>
      </c>
      <c r="L700" s="439" t="s">
        <v>322</v>
      </c>
      <c r="M700" s="435" t="s">
        <v>859</v>
      </c>
      <c r="N700" s="435" t="s">
        <v>829</v>
      </c>
      <c r="O700" s="435" t="s">
        <v>214</v>
      </c>
      <c r="R700" s="435" t="s">
        <v>766</v>
      </c>
      <c r="S700" s="435" t="s">
        <v>767</v>
      </c>
      <c r="AC700" s="435" t="s">
        <v>2</v>
      </c>
      <c r="AE700" s="438"/>
      <c r="AF700" s="438"/>
      <c r="AG700" s="438"/>
      <c r="AH700" s="438"/>
      <c r="AI700" s="438"/>
    </row>
    <row r="701" spans="4:35">
      <c r="D701" s="435" t="s">
        <v>79</v>
      </c>
      <c r="E701" s="435" t="s">
        <v>68</v>
      </c>
      <c r="F701" s="435" t="s">
        <v>296</v>
      </c>
      <c r="G701" s="435" t="s">
        <v>12</v>
      </c>
      <c r="H701" s="435" t="s">
        <v>264</v>
      </c>
      <c r="I701" s="435" t="s">
        <v>7</v>
      </c>
      <c r="J701" s="435" t="s">
        <v>299</v>
      </c>
      <c r="K701" s="439" t="s">
        <v>319</v>
      </c>
      <c r="L701" s="439" t="s">
        <v>322</v>
      </c>
      <c r="M701" s="435" t="s">
        <v>860</v>
      </c>
      <c r="N701" s="435" t="s">
        <v>829</v>
      </c>
      <c r="O701" s="435" t="s">
        <v>214</v>
      </c>
      <c r="R701" s="435" t="s">
        <v>768</v>
      </c>
      <c r="S701" s="435" t="s">
        <v>761</v>
      </c>
      <c r="AC701" s="435" t="s">
        <v>2</v>
      </c>
      <c r="AE701" s="438"/>
      <c r="AF701" s="438"/>
      <c r="AG701" s="438"/>
      <c r="AH701" s="438"/>
      <c r="AI701" s="438"/>
    </row>
    <row r="702" spans="4:35">
      <c r="D702" s="435" t="s">
        <v>79</v>
      </c>
      <c r="E702" s="435" t="s">
        <v>68</v>
      </c>
      <c r="F702" s="435" t="s">
        <v>296</v>
      </c>
      <c r="G702" s="435" t="s">
        <v>12</v>
      </c>
      <c r="H702" s="435" t="s">
        <v>264</v>
      </c>
      <c r="I702" s="435" t="s">
        <v>7</v>
      </c>
      <c r="J702" s="435" t="s">
        <v>299</v>
      </c>
      <c r="K702" s="439" t="s">
        <v>319</v>
      </c>
      <c r="L702" s="439" t="s">
        <v>322</v>
      </c>
      <c r="M702" s="435" t="s">
        <v>860</v>
      </c>
      <c r="N702" s="436" t="s">
        <v>2870</v>
      </c>
      <c r="O702" s="435" t="s">
        <v>830</v>
      </c>
      <c r="R702" s="435" t="s">
        <v>769</v>
      </c>
      <c r="S702" s="435" t="s">
        <v>763</v>
      </c>
      <c r="AC702" s="435" t="s">
        <v>2</v>
      </c>
      <c r="AE702" s="438"/>
      <c r="AF702" s="438"/>
      <c r="AG702" s="438"/>
      <c r="AH702" s="438"/>
      <c r="AI702" s="438"/>
    </row>
    <row r="703" spans="4:35">
      <c r="D703" s="435" t="s">
        <v>79</v>
      </c>
      <c r="E703" s="435" t="s">
        <v>68</v>
      </c>
      <c r="F703" s="435" t="s">
        <v>296</v>
      </c>
      <c r="G703" s="435" t="s">
        <v>12</v>
      </c>
      <c r="H703" s="435" t="s">
        <v>264</v>
      </c>
      <c r="I703" s="435" t="s">
        <v>7</v>
      </c>
      <c r="J703" s="435" t="s">
        <v>299</v>
      </c>
      <c r="K703" s="439" t="s">
        <v>319</v>
      </c>
      <c r="L703" s="439" t="s">
        <v>322</v>
      </c>
      <c r="M703" s="435" t="s">
        <v>860</v>
      </c>
      <c r="N703" s="435" t="s">
        <v>829</v>
      </c>
      <c r="O703" s="435" t="s">
        <v>214</v>
      </c>
      <c r="R703" s="435" t="s">
        <v>770</v>
      </c>
      <c r="S703" s="435" t="s">
        <v>765</v>
      </c>
      <c r="AC703" s="435" t="s">
        <v>2</v>
      </c>
      <c r="AE703" s="438"/>
      <c r="AF703" s="438"/>
      <c r="AG703" s="438"/>
      <c r="AH703" s="438"/>
      <c r="AI703" s="438"/>
    </row>
    <row r="704" spans="4:35">
      <c r="D704" s="435" t="s">
        <v>79</v>
      </c>
      <c r="E704" s="435" t="s">
        <v>68</v>
      </c>
      <c r="F704" s="435" t="s">
        <v>296</v>
      </c>
      <c r="G704" s="435" t="s">
        <v>12</v>
      </c>
      <c r="H704" s="435" t="s">
        <v>264</v>
      </c>
      <c r="I704" s="435" t="s">
        <v>7</v>
      </c>
      <c r="J704" s="435" t="s">
        <v>299</v>
      </c>
      <c r="K704" s="439" t="s">
        <v>319</v>
      </c>
      <c r="L704" s="439" t="s">
        <v>322</v>
      </c>
      <c r="M704" s="435" t="s">
        <v>860</v>
      </c>
      <c r="N704" s="435" t="s">
        <v>829</v>
      </c>
      <c r="O704" s="435" t="s">
        <v>214</v>
      </c>
      <c r="R704" s="435" t="s">
        <v>771</v>
      </c>
      <c r="S704" s="435" t="s">
        <v>772</v>
      </c>
      <c r="AC704" s="435" t="s">
        <v>2</v>
      </c>
      <c r="AE704" s="438"/>
      <c r="AF704" s="438"/>
      <c r="AG704" s="438"/>
      <c r="AH704" s="438"/>
      <c r="AI704" s="438"/>
    </row>
    <row r="705" spans="4:35">
      <c r="D705" s="435" t="s">
        <v>79</v>
      </c>
      <c r="E705" s="435" t="s">
        <v>68</v>
      </c>
      <c r="F705" s="435" t="s">
        <v>296</v>
      </c>
      <c r="G705" s="435" t="s">
        <v>12</v>
      </c>
      <c r="H705" s="435" t="s">
        <v>264</v>
      </c>
      <c r="I705" s="435" t="s">
        <v>7</v>
      </c>
      <c r="J705" s="435" t="s">
        <v>299</v>
      </c>
      <c r="K705" s="438"/>
      <c r="L705" s="438"/>
      <c r="M705" s="438"/>
      <c r="N705" s="438"/>
      <c r="O705" s="435" t="s">
        <v>830</v>
      </c>
      <c r="R705" s="438"/>
      <c r="S705" s="438"/>
      <c r="AC705" s="435" t="s">
        <v>2</v>
      </c>
      <c r="AE705" s="438"/>
      <c r="AF705" s="438"/>
      <c r="AG705" s="438"/>
      <c r="AH705" s="438"/>
      <c r="AI705" s="438"/>
    </row>
    <row r="706" spans="4:35">
      <c r="D706" s="435" t="s">
        <v>79</v>
      </c>
      <c r="E706" s="435" t="s">
        <v>68</v>
      </c>
      <c r="F706" s="435" t="s">
        <v>296</v>
      </c>
      <c r="G706" s="435" t="s">
        <v>12</v>
      </c>
      <c r="H706" s="435" t="s">
        <v>264</v>
      </c>
      <c r="I706" s="435" t="s">
        <v>7</v>
      </c>
      <c r="J706" s="435" t="s">
        <v>299</v>
      </c>
      <c r="K706" s="438"/>
      <c r="L706" s="438"/>
      <c r="M706" s="438"/>
      <c r="N706" s="438"/>
      <c r="O706" s="435" t="s">
        <v>830</v>
      </c>
      <c r="R706" s="438"/>
      <c r="S706" s="438"/>
      <c r="AC706" s="435" t="s">
        <v>2</v>
      </c>
      <c r="AE706" s="438"/>
      <c r="AF706" s="438"/>
      <c r="AG706" s="438"/>
      <c r="AH706" s="438"/>
      <c r="AI706" s="438"/>
    </row>
    <row r="707" spans="4:35">
      <c r="D707" s="435" t="s">
        <v>79</v>
      </c>
      <c r="E707" s="435" t="s">
        <v>68</v>
      </c>
      <c r="F707" s="435" t="s">
        <v>296</v>
      </c>
      <c r="G707" s="435" t="s">
        <v>12</v>
      </c>
      <c r="H707" s="435" t="s">
        <v>264</v>
      </c>
      <c r="I707" s="435" t="s">
        <v>7</v>
      </c>
      <c r="J707" s="435" t="s">
        <v>299</v>
      </c>
      <c r="K707" s="438"/>
      <c r="L707" s="438"/>
      <c r="M707" s="438"/>
      <c r="N707" s="438"/>
      <c r="O707" s="435" t="s">
        <v>830</v>
      </c>
      <c r="R707" s="438"/>
      <c r="S707" s="438"/>
      <c r="AC707" s="435" t="s">
        <v>2</v>
      </c>
      <c r="AE707" s="438"/>
      <c r="AF707" s="438"/>
      <c r="AG707" s="438"/>
      <c r="AH707" s="438"/>
      <c r="AI707" s="438"/>
    </row>
    <row r="708" spans="4:35">
      <c r="D708" s="435" t="s">
        <v>79</v>
      </c>
      <c r="E708" s="435" t="s">
        <v>68</v>
      </c>
      <c r="F708" s="435" t="s">
        <v>296</v>
      </c>
      <c r="G708" s="435" t="s">
        <v>12</v>
      </c>
      <c r="H708" s="435" t="s">
        <v>264</v>
      </c>
      <c r="I708" s="435" t="s">
        <v>7</v>
      </c>
      <c r="J708" s="435" t="s">
        <v>299</v>
      </c>
      <c r="K708" s="438"/>
      <c r="L708" s="438"/>
      <c r="M708" s="438"/>
      <c r="N708" s="438"/>
      <c r="O708" s="435" t="s">
        <v>830</v>
      </c>
      <c r="R708" s="438"/>
      <c r="S708" s="438"/>
      <c r="AC708" s="435" t="s">
        <v>2</v>
      </c>
      <c r="AE708" s="438"/>
      <c r="AF708" s="438"/>
      <c r="AG708" s="438"/>
      <c r="AH708" s="438"/>
      <c r="AI708" s="438"/>
    </row>
    <row r="709" spans="4:35">
      <c r="D709" s="435" t="s">
        <v>79</v>
      </c>
      <c r="E709" s="435" t="s">
        <v>68</v>
      </c>
      <c r="F709" s="435" t="s">
        <v>296</v>
      </c>
      <c r="G709" s="435" t="s">
        <v>12</v>
      </c>
      <c r="H709" s="435" t="s">
        <v>264</v>
      </c>
      <c r="I709" s="435" t="s">
        <v>7</v>
      </c>
      <c r="J709" s="435" t="s">
        <v>299</v>
      </c>
      <c r="K709" s="438"/>
      <c r="L709" s="438"/>
      <c r="M709" s="438"/>
      <c r="N709" s="438"/>
      <c r="O709" s="435" t="s">
        <v>830</v>
      </c>
      <c r="R709" s="438"/>
      <c r="S709" s="438"/>
      <c r="AC709" s="435" t="s">
        <v>2</v>
      </c>
      <c r="AE709" s="438"/>
      <c r="AF709" s="438"/>
      <c r="AG709" s="438"/>
      <c r="AH709" s="438"/>
      <c r="AI709" s="438"/>
    </row>
    <row r="710" spans="4:35">
      <c r="D710" s="435" t="s">
        <v>79</v>
      </c>
      <c r="E710" s="435" t="s">
        <v>68</v>
      </c>
      <c r="F710" s="435" t="s">
        <v>296</v>
      </c>
      <c r="G710" s="435" t="s">
        <v>12</v>
      </c>
      <c r="H710" s="435" t="s">
        <v>264</v>
      </c>
      <c r="I710" s="435" t="s">
        <v>7</v>
      </c>
      <c r="J710" s="435" t="s">
        <v>299</v>
      </c>
      <c r="K710" s="438"/>
      <c r="L710" s="438"/>
      <c r="M710" s="438"/>
      <c r="N710" s="438"/>
      <c r="O710" s="435" t="s">
        <v>830</v>
      </c>
      <c r="P710" s="441"/>
      <c r="Q710" s="441"/>
      <c r="R710" s="438"/>
      <c r="S710" s="438"/>
      <c r="T710" s="441"/>
      <c r="U710" s="441"/>
      <c r="AC710" s="435" t="s">
        <v>2</v>
      </c>
      <c r="AE710" s="438"/>
      <c r="AF710" s="438"/>
      <c r="AG710" s="438"/>
      <c r="AH710" s="438"/>
      <c r="AI710" s="438"/>
    </row>
    <row r="711" spans="4:35">
      <c r="D711" s="435" t="s">
        <v>79</v>
      </c>
      <c r="E711" s="435" t="s">
        <v>68</v>
      </c>
      <c r="F711" s="435" t="s">
        <v>296</v>
      </c>
      <c r="G711" s="435" t="s">
        <v>12</v>
      </c>
      <c r="H711" s="435" t="s">
        <v>264</v>
      </c>
      <c r="I711" s="435" t="s">
        <v>7</v>
      </c>
      <c r="J711" s="435" t="s">
        <v>299</v>
      </c>
      <c r="K711" s="438"/>
      <c r="L711" s="438"/>
      <c r="M711" s="438"/>
      <c r="N711" s="438"/>
      <c r="O711" s="435" t="s">
        <v>830</v>
      </c>
      <c r="P711" s="441"/>
      <c r="Q711" s="441"/>
      <c r="R711" s="438"/>
      <c r="S711" s="438"/>
      <c r="T711" s="441"/>
      <c r="U711" s="441"/>
      <c r="AC711" s="435" t="s">
        <v>2</v>
      </c>
      <c r="AE711" s="438"/>
      <c r="AF711" s="438"/>
      <c r="AG711" s="438"/>
      <c r="AH711" s="438"/>
      <c r="AI711" s="438"/>
    </row>
    <row r="712" spans="4:35">
      <c r="D712" s="435" t="s">
        <v>79</v>
      </c>
      <c r="E712" s="435" t="s">
        <v>68</v>
      </c>
      <c r="F712" s="435" t="s">
        <v>296</v>
      </c>
      <c r="G712" s="435" t="s">
        <v>12</v>
      </c>
      <c r="H712" s="435" t="s">
        <v>264</v>
      </c>
      <c r="I712" s="435" t="s">
        <v>7</v>
      </c>
      <c r="J712" s="435" t="s">
        <v>299</v>
      </c>
      <c r="K712" s="438"/>
      <c r="L712" s="438"/>
      <c r="M712" s="438"/>
      <c r="N712" s="438"/>
      <c r="O712" s="435" t="s">
        <v>830</v>
      </c>
      <c r="P712" s="441"/>
      <c r="Q712" s="441"/>
      <c r="R712" s="438"/>
      <c r="S712" s="438"/>
      <c r="T712" s="441"/>
      <c r="U712" s="441"/>
      <c r="AC712" s="435" t="s">
        <v>2</v>
      </c>
      <c r="AE712" s="438"/>
      <c r="AF712" s="438"/>
      <c r="AG712" s="438"/>
      <c r="AH712" s="438"/>
      <c r="AI712" s="438"/>
    </row>
    <row r="713" spans="4:35">
      <c r="D713" s="435" t="s">
        <v>79</v>
      </c>
      <c r="E713" s="435" t="s">
        <v>68</v>
      </c>
      <c r="F713" s="435" t="s">
        <v>296</v>
      </c>
      <c r="G713" s="435" t="s">
        <v>12</v>
      </c>
      <c r="H713" s="435" t="s">
        <v>264</v>
      </c>
      <c r="I713" s="435" t="s">
        <v>7</v>
      </c>
      <c r="J713" s="435" t="s">
        <v>299</v>
      </c>
      <c r="K713" s="438"/>
      <c r="L713" s="438"/>
      <c r="M713" s="438"/>
      <c r="N713" s="438"/>
      <c r="O713" s="435" t="s">
        <v>830</v>
      </c>
      <c r="P713" s="441"/>
      <c r="Q713" s="441"/>
      <c r="R713" s="438"/>
      <c r="S713" s="438"/>
      <c r="T713" s="441"/>
      <c r="U713" s="441"/>
      <c r="AC713" s="435" t="s">
        <v>2</v>
      </c>
      <c r="AE713" s="438"/>
      <c r="AF713" s="438"/>
      <c r="AG713" s="438"/>
      <c r="AH713" s="438"/>
      <c r="AI713" s="438"/>
    </row>
    <row r="714" spans="4:35">
      <c r="D714" s="435" t="s">
        <v>79</v>
      </c>
      <c r="E714" s="435" t="s">
        <v>68</v>
      </c>
      <c r="F714" s="435" t="s">
        <v>296</v>
      </c>
      <c r="G714" s="435" t="s">
        <v>12</v>
      </c>
      <c r="H714" s="435" t="s">
        <v>264</v>
      </c>
      <c r="I714" s="435" t="s">
        <v>7</v>
      </c>
      <c r="J714" s="435" t="s">
        <v>299</v>
      </c>
      <c r="K714" s="438"/>
      <c r="L714" s="438"/>
      <c r="M714" s="438"/>
      <c r="N714" s="438"/>
      <c r="O714" s="435" t="s">
        <v>830</v>
      </c>
      <c r="P714" s="441"/>
      <c r="Q714" s="441"/>
      <c r="R714" s="438"/>
      <c r="S714" s="438"/>
      <c r="T714" s="441"/>
      <c r="U714" s="441"/>
      <c r="AC714" s="435" t="s">
        <v>2</v>
      </c>
      <c r="AE714" s="438"/>
      <c r="AF714" s="438"/>
      <c r="AG714" s="438"/>
      <c r="AH714" s="438"/>
      <c r="AI714" s="438"/>
    </row>
    <row r="715" spans="4:35">
      <c r="D715" s="435" t="s">
        <v>79</v>
      </c>
      <c r="E715" s="435" t="s">
        <v>68</v>
      </c>
      <c r="F715" s="435" t="s">
        <v>296</v>
      </c>
      <c r="G715" s="435" t="s">
        <v>12</v>
      </c>
      <c r="H715" s="435" t="s">
        <v>264</v>
      </c>
      <c r="I715" s="435" t="s">
        <v>7</v>
      </c>
      <c r="J715" s="435" t="s">
        <v>299</v>
      </c>
      <c r="K715" s="438"/>
      <c r="L715" s="438"/>
      <c r="M715" s="438"/>
      <c r="N715" s="438"/>
      <c r="O715" s="435" t="s">
        <v>830</v>
      </c>
      <c r="P715" s="441"/>
      <c r="Q715" s="441"/>
      <c r="R715" s="438"/>
      <c r="S715" s="438"/>
      <c r="T715" s="441"/>
      <c r="U715" s="441"/>
      <c r="AC715" s="435" t="s">
        <v>2</v>
      </c>
      <c r="AE715" s="438"/>
      <c r="AF715" s="438"/>
      <c r="AG715" s="438"/>
      <c r="AH715" s="438"/>
      <c r="AI715" s="438"/>
    </row>
    <row r="716" spans="4:35">
      <c r="D716" s="435" t="s">
        <v>79</v>
      </c>
      <c r="E716" s="435" t="s">
        <v>68</v>
      </c>
      <c r="F716" s="435" t="s">
        <v>296</v>
      </c>
      <c r="G716" s="435" t="s">
        <v>12</v>
      </c>
      <c r="H716" s="435" t="s">
        <v>264</v>
      </c>
      <c r="I716" s="435" t="s">
        <v>7</v>
      </c>
      <c r="J716" s="435" t="s">
        <v>299</v>
      </c>
      <c r="K716" s="438"/>
      <c r="L716" s="438"/>
      <c r="M716" s="438"/>
      <c r="N716" s="438"/>
      <c r="O716" s="435" t="s">
        <v>830</v>
      </c>
      <c r="P716" s="441"/>
      <c r="Q716" s="441"/>
      <c r="R716" s="438"/>
      <c r="S716" s="438"/>
      <c r="T716" s="441"/>
      <c r="U716" s="441"/>
      <c r="AC716" s="435" t="s">
        <v>2</v>
      </c>
      <c r="AE716" s="438"/>
      <c r="AF716" s="438"/>
      <c r="AG716" s="438"/>
      <c r="AH716" s="438"/>
      <c r="AI716" s="438"/>
    </row>
    <row r="717" spans="4:35">
      <c r="D717" s="435" t="s">
        <v>79</v>
      </c>
      <c r="E717" s="435" t="s">
        <v>68</v>
      </c>
      <c r="F717" s="435" t="s">
        <v>296</v>
      </c>
      <c r="G717" s="435" t="s">
        <v>12</v>
      </c>
      <c r="H717" s="435" t="s">
        <v>264</v>
      </c>
      <c r="I717" s="435" t="s">
        <v>7</v>
      </c>
      <c r="J717" s="435" t="s">
        <v>299</v>
      </c>
      <c r="K717" s="438"/>
      <c r="L717" s="438"/>
      <c r="M717" s="438"/>
      <c r="N717" s="438"/>
      <c r="O717" s="435" t="s">
        <v>830</v>
      </c>
      <c r="P717" s="441"/>
      <c r="Q717" s="441"/>
      <c r="R717" s="438"/>
      <c r="S717" s="438"/>
      <c r="T717" s="441"/>
      <c r="U717" s="441"/>
      <c r="AC717" s="435" t="s">
        <v>2</v>
      </c>
      <c r="AE717" s="438"/>
      <c r="AF717" s="438"/>
      <c r="AG717" s="438"/>
      <c r="AH717" s="438"/>
      <c r="AI717" s="438"/>
    </row>
    <row r="718" spans="4:35" s="67" customFormat="1">
      <c r="D718" s="435" t="s">
        <v>79</v>
      </c>
      <c r="E718" s="435" t="s">
        <v>68</v>
      </c>
      <c r="F718" s="435" t="s">
        <v>296</v>
      </c>
      <c r="G718" s="435" t="s">
        <v>12</v>
      </c>
      <c r="H718" s="435" t="s">
        <v>264</v>
      </c>
      <c r="I718" s="435" t="s">
        <v>7</v>
      </c>
      <c r="J718" s="435" t="s">
        <v>299</v>
      </c>
      <c r="K718" s="438"/>
      <c r="L718" s="438"/>
      <c r="M718" s="438"/>
      <c r="N718" s="438"/>
      <c r="O718" s="435" t="s">
        <v>830</v>
      </c>
      <c r="P718" s="441"/>
      <c r="Q718" s="441"/>
      <c r="R718" s="438"/>
      <c r="S718" s="438"/>
      <c r="T718" s="441"/>
      <c r="U718" s="441"/>
      <c r="V718" s="435"/>
      <c r="W718" s="435"/>
      <c r="X718" s="435"/>
      <c r="Y718" s="435"/>
      <c r="Z718" s="435"/>
      <c r="AA718" s="435"/>
      <c r="AB718" s="435"/>
      <c r="AC718" s="435" t="s">
        <v>2</v>
      </c>
      <c r="AD718" s="435"/>
      <c r="AE718" s="438"/>
      <c r="AF718" s="438"/>
      <c r="AG718" s="438"/>
      <c r="AH718" s="438"/>
      <c r="AI718" s="438"/>
    </row>
    <row r="719" spans="4:35">
      <c r="T719" s="67"/>
      <c r="U719" s="67"/>
      <c r="V719" s="67"/>
      <c r="W719" s="67"/>
      <c r="X719" s="67"/>
    </row>
    <row r="721" spans="1:1" s="73" customFormat="1" ht="18">
      <c r="A721" s="74" t="s">
        <v>76</v>
      </c>
    </row>
  </sheetData>
  <mergeCells count="1">
    <mergeCell ref="AE6:AI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C0C78436-3460-4CCF-8EE6-A0CA96F34762}">
          <x14:formula1>
            <xm:f>'1.3 Lists'!$J$11:$J$18</xm:f>
          </x14:formula1>
          <xm:sqref>K315:K328 K634:K647 K705:K718</xm:sqref>
        </x14:dataValidation>
        <x14:dataValidation type="list" allowBlank="1" showInputMessage="1" showErrorMessage="1" xr:uid="{31BE0555-9A24-4140-B40A-8E490ECD58DF}">
          <x14:formula1>
            <xm:f>'1.3 Lists'!$K$11:$K$30</xm:f>
          </x14:formula1>
          <xm:sqref>L315:L328 L634:L647 L705:L718</xm:sqref>
        </x14:dataValidation>
        <x14:dataValidation type="list" allowBlank="1" showInputMessage="1" showErrorMessage="1" xr:uid="{8E4EF6B6-E703-47AB-AC64-85B02C3F12F5}">
          <x14:formula1>
            <xm:f>'1.3 Lists'!$I$12:$I$58</xm:f>
          </x14:formula1>
          <xm:sqref>M315:M328 M634:M647 M705:M718</xm:sqref>
        </x14:dataValidation>
        <x14:dataValidation type="list" allowBlank="1" showInputMessage="1" showErrorMessage="1" xr:uid="{AB5A301C-0493-4094-A16A-906EECF10537}">
          <x14:formula1>
            <xm:f>'1.3 Lists'!$H$13:$H$14</xm:f>
          </x14:formula1>
          <xm:sqref>N315:N328 N634:N647</xm:sqref>
        </x14:dataValidation>
        <x14:dataValidation type="list" allowBlank="1" showInputMessage="1" showErrorMessage="1" xr:uid="{E57E01C2-5F9A-4734-A814-DF3859C316C2}">
          <x14:formula1>
            <xm:f>'1.3 Lists'!$H$12:$H$14</xm:f>
          </x14:formula1>
          <xm:sqref>N705:N718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J386"/>
  <sheetViews>
    <sheetView zoomScale="80" zoomScaleNormal="80" workbookViewId="0">
      <pane ySplit="8" topLeftCell="A9" activePane="bottomLeft" state="frozen"/>
      <selection activeCell="J37" sqref="J37"/>
      <selection pane="bottomLeft"/>
    </sheetView>
  </sheetViews>
  <sheetFormatPr defaultRowHeight="14.25"/>
  <cols>
    <col min="1" max="3" width="1.73046875" customWidth="1"/>
    <col min="4" max="4" width="8.1328125" bestFit="1" customWidth="1"/>
    <col min="5" max="5" width="5" bestFit="1" customWidth="1"/>
    <col min="6" max="7" width="5" style="435" customWidth="1"/>
    <col min="8" max="8" width="13.73046875" bestFit="1" customWidth="1"/>
    <col min="9" max="9" width="9.3984375" bestFit="1" customWidth="1"/>
    <col min="10" max="10" width="19.3984375" customWidth="1"/>
    <col min="11" max="15" width="1.73046875" customWidth="1"/>
    <col min="16" max="16" width="12.73046875" customWidth="1"/>
    <col min="17" max="17" width="29" customWidth="1"/>
    <col min="18" max="18" width="22" customWidth="1"/>
    <col min="19" max="19" width="29.3984375" customWidth="1"/>
    <col min="20" max="20" width="17.86328125" bestFit="1" customWidth="1"/>
    <col min="21" max="21" width="13.3984375" hidden="1" customWidth="1"/>
    <col min="22" max="22" width="16.73046875" hidden="1" customWidth="1"/>
    <col min="23" max="28" width="1.73046875" hidden="1" customWidth="1"/>
    <col min="29" max="29" width="9.1328125" customWidth="1"/>
    <col min="30" max="30" width="7.73046875" customWidth="1"/>
  </cols>
  <sheetData>
    <row r="1" spans="1:36" s="73" customFormat="1" ht="23.25">
      <c r="A1" s="89" t="str">
        <f>'1.1 Cover'!A2</f>
        <v>Regulatory Reporting Pack</v>
      </c>
    </row>
    <row r="2" spans="1:36" s="73" customFormat="1" ht="23.25">
      <c r="A2" s="89" t="str">
        <f>'1.1 Cover'!A3</f>
        <v>Price base - 2018/19</v>
      </c>
    </row>
    <row r="3" spans="1:36" s="73" customFormat="1" ht="23.25">
      <c r="A3" s="89" t="str">
        <f>'1.1 Cover'!A4</f>
        <v>Regulatory Year: April 2021 - March 2022</v>
      </c>
    </row>
    <row r="4" spans="1:36" s="73" customFormat="1" ht="23.25">
      <c r="A4" s="89" t="s">
        <v>865</v>
      </c>
    </row>
    <row r="6" spans="1:36">
      <c r="AD6" s="88" t="s">
        <v>113</v>
      </c>
      <c r="AE6" s="1347" t="s">
        <v>112</v>
      </c>
      <c r="AF6" s="1348"/>
      <c r="AG6" s="1348"/>
      <c r="AH6" s="1348"/>
      <c r="AI6" s="1349"/>
      <c r="AJ6" s="88" t="s">
        <v>2614</v>
      </c>
    </row>
    <row r="7" spans="1:36" s="67" customFormat="1">
      <c r="D7" s="87" t="s">
        <v>111</v>
      </c>
      <c r="E7" s="87" t="s">
        <v>68</v>
      </c>
      <c r="F7" s="87" t="s">
        <v>2680</v>
      </c>
      <c r="G7" s="87" t="s">
        <v>2681</v>
      </c>
      <c r="H7" s="87" t="s">
        <v>110</v>
      </c>
      <c r="I7" s="87" t="s">
        <v>109</v>
      </c>
      <c r="J7" s="87" t="s">
        <v>108</v>
      </c>
      <c r="K7" s="87" t="s">
        <v>107</v>
      </c>
      <c r="L7" s="87" t="s">
        <v>106</v>
      </c>
      <c r="M7" s="87" t="s">
        <v>105</v>
      </c>
      <c r="N7" s="87"/>
      <c r="O7" s="87"/>
      <c r="P7" s="87" t="s">
        <v>102</v>
      </c>
      <c r="Q7" s="87" t="s">
        <v>71</v>
      </c>
      <c r="R7" s="86" t="s">
        <v>101</v>
      </c>
      <c r="S7" s="86" t="s">
        <v>100</v>
      </c>
      <c r="T7" s="86" t="s">
        <v>99</v>
      </c>
      <c r="U7" s="86" t="s">
        <v>98</v>
      </c>
      <c r="V7" s="86" t="s">
        <v>97</v>
      </c>
      <c r="W7" s="86" t="s">
        <v>96</v>
      </c>
      <c r="X7" s="86" t="s">
        <v>95</v>
      </c>
      <c r="Y7" s="86" t="s">
        <v>94</v>
      </c>
      <c r="Z7" s="86" t="s">
        <v>93</v>
      </c>
      <c r="AA7" s="86" t="s">
        <v>92</v>
      </c>
      <c r="AB7" s="86" t="s">
        <v>91</v>
      </c>
      <c r="AC7" s="67" t="s">
        <v>5</v>
      </c>
      <c r="AD7" s="85" t="s">
        <v>88</v>
      </c>
      <c r="AE7" s="84">
        <v>2022</v>
      </c>
      <c r="AF7" s="83">
        <v>2023</v>
      </c>
      <c r="AG7" s="83">
        <v>2024</v>
      </c>
      <c r="AH7" s="83">
        <v>2025</v>
      </c>
      <c r="AI7" s="82">
        <v>2026</v>
      </c>
      <c r="AJ7" s="85" t="s">
        <v>2615</v>
      </c>
    </row>
    <row r="8" spans="1:36">
      <c r="R8" s="67" t="s">
        <v>2617</v>
      </c>
      <c r="S8" s="67" t="s">
        <v>1063</v>
      </c>
      <c r="T8" s="67" t="s">
        <v>2618</v>
      </c>
      <c r="U8" s="67"/>
      <c r="V8" s="67"/>
      <c r="W8" s="67"/>
      <c r="X8" s="67"/>
    </row>
    <row r="9" spans="1:36" s="1" customFormat="1" ht="17.649999999999999">
      <c r="B9" s="2" t="s">
        <v>87</v>
      </c>
    </row>
    <row r="11" spans="1:36" s="1" customFormat="1" ht="13.9">
      <c r="A11" s="66"/>
      <c r="B11" s="78" t="s">
        <v>299</v>
      </c>
    </row>
    <row r="13" spans="1:36">
      <c r="D13" t="s">
        <v>79</v>
      </c>
      <c r="E13" t="s">
        <v>68</v>
      </c>
      <c r="F13" s="435" t="s">
        <v>1869</v>
      </c>
      <c r="G13" s="435" t="s">
        <v>12</v>
      </c>
      <c r="H13" t="s">
        <v>264</v>
      </c>
      <c r="I13" t="s">
        <v>7</v>
      </c>
      <c r="J13" t="s">
        <v>299</v>
      </c>
      <c r="K13" s="101"/>
      <c r="L13" s="101"/>
      <c r="P13" s="103"/>
      <c r="Q13" s="687"/>
      <c r="R13" s="81"/>
      <c r="S13" s="81"/>
      <c r="T13" s="81"/>
      <c r="AC13" t="s">
        <v>2</v>
      </c>
      <c r="AD13" s="81"/>
      <c r="AE13" s="81"/>
      <c r="AF13" s="81"/>
      <c r="AG13" s="81"/>
      <c r="AH13" s="81"/>
      <c r="AI13" s="81">
        <v>0</v>
      </c>
      <c r="AJ13" s="81"/>
    </row>
    <row r="14" spans="1:36">
      <c r="D14" t="s">
        <v>79</v>
      </c>
      <c r="E14" t="s">
        <v>68</v>
      </c>
      <c r="F14" s="435" t="s">
        <v>1869</v>
      </c>
      <c r="G14" s="435" t="s">
        <v>12</v>
      </c>
      <c r="H14" t="s">
        <v>264</v>
      </c>
      <c r="I14" t="s">
        <v>7</v>
      </c>
      <c r="J14" t="s">
        <v>299</v>
      </c>
      <c r="K14" s="101"/>
      <c r="L14" s="101"/>
      <c r="P14" s="81"/>
      <c r="Q14" s="81"/>
      <c r="R14" s="81"/>
      <c r="S14" s="81"/>
      <c r="T14" s="81"/>
      <c r="AC14" t="s">
        <v>2</v>
      </c>
      <c r="AD14" s="81"/>
      <c r="AE14" s="81"/>
      <c r="AF14" s="81"/>
      <c r="AG14" s="81"/>
      <c r="AH14" s="81"/>
      <c r="AI14" s="81"/>
      <c r="AJ14" s="81"/>
    </row>
    <row r="15" spans="1:36">
      <c r="D15" t="s">
        <v>79</v>
      </c>
      <c r="E15" t="s">
        <v>68</v>
      </c>
      <c r="F15" s="435" t="s">
        <v>1869</v>
      </c>
      <c r="G15" s="435" t="s">
        <v>12</v>
      </c>
      <c r="H15" t="s">
        <v>264</v>
      </c>
      <c r="I15" t="s">
        <v>7</v>
      </c>
      <c r="J15" t="s">
        <v>299</v>
      </c>
      <c r="K15" s="101"/>
      <c r="L15" s="101"/>
      <c r="P15" s="81"/>
      <c r="Q15" s="81"/>
      <c r="R15" s="81"/>
      <c r="S15" s="81"/>
      <c r="T15" s="81"/>
      <c r="AC15" t="s">
        <v>2</v>
      </c>
      <c r="AD15" s="81"/>
      <c r="AE15" s="81"/>
      <c r="AF15" s="81"/>
      <c r="AG15" s="81"/>
      <c r="AH15" s="81"/>
      <c r="AI15" s="81"/>
      <c r="AJ15" s="81"/>
    </row>
    <row r="16" spans="1:36">
      <c r="D16" t="s">
        <v>79</v>
      </c>
      <c r="E16" t="s">
        <v>68</v>
      </c>
      <c r="F16" s="435" t="s">
        <v>1869</v>
      </c>
      <c r="G16" s="435" t="s">
        <v>12</v>
      </c>
      <c r="H16" t="s">
        <v>264</v>
      </c>
      <c r="I16" t="s">
        <v>7</v>
      </c>
      <c r="J16" t="s">
        <v>299</v>
      </c>
      <c r="K16" s="101"/>
      <c r="L16" s="101"/>
      <c r="P16" s="81"/>
      <c r="Q16" s="81"/>
      <c r="R16" s="81"/>
      <c r="S16" s="81"/>
      <c r="T16" s="81"/>
      <c r="AC16" t="s">
        <v>2</v>
      </c>
      <c r="AD16" s="81"/>
      <c r="AE16" s="81"/>
      <c r="AF16" s="81"/>
      <c r="AG16" s="81"/>
      <c r="AH16" s="81"/>
      <c r="AI16" s="81"/>
      <c r="AJ16" s="81"/>
    </row>
    <row r="17" spans="4:36" s="435" customFormat="1">
      <c r="D17" s="435" t="s">
        <v>79</v>
      </c>
      <c r="E17" s="435" t="s">
        <v>68</v>
      </c>
      <c r="F17" s="435" t="s">
        <v>1869</v>
      </c>
      <c r="G17" s="435" t="s">
        <v>12</v>
      </c>
      <c r="H17" s="435" t="s">
        <v>264</v>
      </c>
      <c r="I17" s="435" t="s">
        <v>7</v>
      </c>
      <c r="J17" s="435" t="s">
        <v>299</v>
      </c>
      <c r="K17" s="101"/>
      <c r="L17" s="101"/>
      <c r="P17" s="81"/>
      <c r="Q17" s="81"/>
      <c r="R17" s="81"/>
      <c r="S17" s="81"/>
      <c r="T17" s="81"/>
      <c r="AC17" s="435" t="s">
        <v>2</v>
      </c>
      <c r="AD17" s="81"/>
      <c r="AE17" s="81"/>
      <c r="AF17" s="81"/>
      <c r="AG17" s="81"/>
      <c r="AH17" s="81"/>
      <c r="AI17" s="81"/>
      <c r="AJ17" s="81"/>
    </row>
    <row r="18" spans="4:36" s="435" customFormat="1">
      <c r="D18" s="435" t="s">
        <v>79</v>
      </c>
      <c r="E18" s="435" t="s">
        <v>68</v>
      </c>
      <c r="F18" s="435" t="s">
        <v>1869</v>
      </c>
      <c r="G18" s="435" t="s">
        <v>12</v>
      </c>
      <c r="H18" s="435" t="s">
        <v>264</v>
      </c>
      <c r="I18" s="435" t="s">
        <v>7</v>
      </c>
      <c r="J18" s="435" t="s">
        <v>299</v>
      </c>
      <c r="K18" s="101"/>
      <c r="L18" s="101"/>
      <c r="P18" s="81"/>
      <c r="Q18" s="81"/>
      <c r="R18" s="81"/>
      <c r="S18" s="81"/>
      <c r="T18" s="81"/>
      <c r="AC18" s="435" t="s">
        <v>2</v>
      </c>
      <c r="AD18" s="81"/>
      <c r="AE18" s="81"/>
      <c r="AF18" s="81"/>
      <c r="AG18" s="81"/>
      <c r="AH18" s="81"/>
      <c r="AI18" s="81"/>
      <c r="AJ18" s="81"/>
    </row>
    <row r="19" spans="4:36" s="435" customFormat="1">
      <c r="D19" s="435" t="s">
        <v>79</v>
      </c>
      <c r="E19" s="435" t="s">
        <v>68</v>
      </c>
      <c r="F19" s="435" t="s">
        <v>1869</v>
      </c>
      <c r="G19" s="435" t="s">
        <v>12</v>
      </c>
      <c r="H19" s="435" t="s">
        <v>264</v>
      </c>
      <c r="I19" s="435" t="s">
        <v>7</v>
      </c>
      <c r="J19" s="435" t="s">
        <v>299</v>
      </c>
      <c r="K19" s="101"/>
      <c r="L19" s="101"/>
      <c r="P19" s="81"/>
      <c r="Q19" s="81"/>
      <c r="R19" s="81"/>
      <c r="S19" s="81"/>
      <c r="T19" s="81"/>
      <c r="AC19" s="435" t="s">
        <v>2</v>
      </c>
      <c r="AD19" s="81"/>
      <c r="AE19" s="81"/>
      <c r="AF19" s="81"/>
      <c r="AG19" s="81"/>
      <c r="AH19" s="81"/>
      <c r="AI19" s="81"/>
      <c r="AJ19" s="81"/>
    </row>
    <row r="20" spans="4:36" s="435" customFormat="1">
      <c r="D20" s="435" t="s">
        <v>79</v>
      </c>
      <c r="E20" s="435" t="s">
        <v>68</v>
      </c>
      <c r="F20" s="435" t="s">
        <v>1869</v>
      </c>
      <c r="G20" s="435" t="s">
        <v>12</v>
      </c>
      <c r="H20" s="435" t="s">
        <v>264</v>
      </c>
      <c r="I20" s="435" t="s">
        <v>7</v>
      </c>
      <c r="J20" s="435" t="s">
        <v>299</v>
      </c>
      <c r="K20" s="101"/>
      <c r="L20" s="101"/>
      <c r="P20" s="81"/>
      <c r="Q20" s="81"/>
      <c r="R20" s="81"/>
      <c r="S20" s="81"/>
      <c r="T20" s="81"/>
      <c r="AC20" s="435" t="s">
        <v>2</v>
      </c>
      <c r="AD20" s="81"/>
      <c r="AE20" s="81"/>
      <c r="AF20" s="81"/>
      <c r="AG20" s="81"/>
      <c r="AH20" s="81"/>
      <c r="AI20" s="81"/>
      <c r="AJ20" s="81"/>
    </row>
    <row r="21" spans="4:36" s="435" customFormat="1">
      <c r="D21" s="435" t="s">
        <v>79</v>
      </c>
      <c r="E21" s="435" t="s">
        <v>68</v>
      </c>
      <c r="F21" s="435" t="s">
        <v>1869</v>
      </c>
      <c r="G21" s="435" t="s">
        <v>12</v>
      </c>
      <c r="H21" s="435" t="s">
        <v>264</v>
      </c>
      <c r="I21" s="435" t="s">
        <v>7</v>
      </c>
      <c r="J21" s="435" t="s">
        <v>299</v>
      </c>
      <c r="K21" s="101"/>
      <c r="L21" s="101"/>
      <c r="P21" s="81"/>
      <c r="Q21" s="81"/>
      <c r="R21" s="81"/>
      <c r="S21" s="81"/>
      <c r="T21" s="81"/>
      <c r="AC21" s="435" t="s">
        <v>2</v>
      </c>
      <c r="AD21" s="81"/>
      <c r="AE21" s="81"/>
      <c r="AF21" s="81"/>
      <c r="AG21" s="81"/>
      <c r="AH21" s="81"/>
      <c r="AI21" s="81"/>
      <c r="AJ21" s="81"/>
    </row>
    <row r="22" spans="4:36" s="435" customFormat="1">
      <c r="D22" s="435" t="s">
        <v>79</v>
      </c>
      <c r="E22" s="435" t="s">
        <v>68</v>
      </c>
      <c r="F22" s="435" t="s">
        <v>1869</v>
      </c>
      <c r="G22" s="435" t="s">
        <v>12</v>
      </c>
      <c r="H22" s="435" t="s">
        <v>264</v>
      </c>
      <c r="I22" s="435" t="s">
        <v>7</v>
      </c>
      <c r="J22" s="435" t="s">
        <v>299</v>
      </c>
      <c r="K22" s="101"/>
      <c r="L22" s="101"/>
      <c r="P22" s="81"/>
      <c r="Q22" s="81"/>
      <c r="R22" s="81"/>
      <c r="S22" s="81"/>
      <c r="T22" s="81"/>
      <c r="AC22" s="435" t="s">
        <v>2</v>
      </c>
      <c r="AD22" s="81"/>
      <c r="AE22" s="81"/>
      <c r="AF22" s="81"/>
      <c r="AG22" s="81"/>
      <c r="AH22" s="81"/>
      <c r="AI22" s="81"/>
      <c r="AJ22" s="81"/>
    </row>
    <row r="23" spans="4:36" s="435" customFormat="1">
      <c r="D23" s="435" t="s">
        <v>79</v>
      </c>
      <c r="E23" s="435" t="s">
        <v>68</v>
      </c>
      <c r="F23" s="435" t="s">
        <v>1869</v>
      </c>
      <c r="G23" s="435" t="s">
        <v>12</v>
      </c>
      <c r="H23" s="435" t="s">
        <v>264</v>
      </c>
      <c r="I23" s="435" t="s">
        <v>7</v>
      </c>
      <c r="J23" s="435" t="s">
        <v>299</v>
      </c>
      <c r="K23" s="101"/>
      <c r="L23" s="101"/>
      <c r="P23" s="81"/>
      <c r="Q23" s="81"/>
      <c r="R23" s="81"/>
      <c r="S23" s="81"/>
      <c r="T23" s="81"/>
      <c r="AC23" s="435" t="s">
        <v>2</v>
      </c>
      <c r="AD23" s="81"/>
      <c r="AE23" s="81"/>
      <c r="AF23" s="81"/>
      <c r="AG23" s="81"/>
      <c r="AH23" s="81"/>
      <c r="AI23" s="81"/>
      <c r="AJ23" s="81"/>
    </row>
    <row r="24" spans="4:36" s="435" customFormat="1">
      <c r="D24" s="435" t="s">
        <v>79</v>
      </c>
      <c r="E24" s="435" t="s">
        <v>68</v>
      </c>
      <c r="F24" s="435" t="s">
        <v>1869</v>
      </c>
      <c r="G24" s="435" t="s">
        <v>12</v>
      </c>
      <c r="H24" s="435" t="s">
        <v>264</v>
      </c>
      <c r="I24" s="435" t="s">
        <v>7</v>
      </c>
      <c r="J24" s="435" t="s">
        <v>299</v>
      </c>
      <c r="K24" s="101"/>
      <c r="L24" s="101"/>
      <c r="P24" s="81"/>
      <c r="Q24" s="81"/>
      <c r="R24" s="81"/>
      <c r="S24" s="81"/>
      <c r="T24" s="81"/>
      <c r="AC24" s="435" t="s">
        <v>2</v>
      </c>
      <c r="AD24" s="81"/>
      <c r="AE24" s="81"/>
      <c r="AF24" s="81"/>
      <c r="AG24" s="81"/>
      <c r="AH24" s="81"/>
      <c r="AI24" s="81"/>
      <c r="AJ24" s="81"/>
    </row>
    <row r="25" spans="4:36" s="435" customFormat="1">
      <c r="D25" s="435" t="s">
        <v>79</v>
      </c>
      <c r="E25" s="435" t="s">
        <v>68</v>
      </c>
      <c r="F25" s="435" t="s">
        <v>1869</v>
      </c>
      <c r="G25" s="435" t="s">
        <v>12</v>
      </c>
      <c r="H25" s="435" t="s">
        <v>264</v>
      </c>
      <c r="I25" s="435" t="s">
        <v>7</v>
      </c>
      <c r="J25" s="435" t="s">
        <v>299</v>
      </c>
      <c r="K25" s="101"/>
      <c r="L25" s="101"/>
      <c r="P25" s="81"/>
      <c r="Q25" s="81"/>
      <c r="R25" s="81"/>
      <c r="S25" s="81"/>
      <c r="T25" s="81"/>
      <c r="AC25" s="435" t="s">
        <v>2</v>
      </c>
      <c r="AD25" s="81"/>
      <c r="AE25" s="81"/>
      <c r="AF25" s="81"/>
      <c r="AG25" s="81"/>
      <c r="AH25" s="81"/>
      <c r="AI25" s="81"/>
      <c r="AJ25" s="81"/>
    </row>
    <row r="26" spans="4:36" s="435" customFormat="1">
      <c r="D26" s="435" t="s">
        <v>79</v>
      </c>
      <c r="E26" s="435" t="s">
        <v>68</v>
      </c>
      <c r="F26" s="435" t="s">
        <v>1869</v>
      </c>
      <c r="G26" s="435" t="s">
        <v>12</v>
      </c>
      <c r="H26" s="435" t="s">
        <v>264</v>
      </c>
      <c r="I26" s="435" t="s">
        <v>7</v>
      </c>
      <c r="J26" s="435" t="s">
        <v>299</v>
      </c>
      <c r="K26" s="101"/>
      <c r="L26" s="101"/>
      <c r="P26" s="81"/>
      <c r="Q26" s="81"/>
      <c r="R26" s="81"/>
      <c r="S26" s="81"/>
      <c r="T26" s="81"/>
      <c r="AC26" s="435" t="s">
        <v>2</v>
      </c>
      <c r="AD26" s="81"/>
      <c r="AE26" s="81"/>
      <c r="AF26" s="81"/>
      <c r="AG26" s="81"/>
      <c r="AH26" s="81"/>
      <c r="AI26" s="81"/>
      <c r="AJ26" s="81"/>
    </row>
    <row r="27" spans="4:36" s="435" customFormat="1">
      <c r="D27" s="435" t="s">
        <v>79</v>
      </c>
      <c r="E27" s="435" t="s">
        <v>68</v>
      </c>
      <c r="F27" s="435" t="s">
        <v>1869</v>
      </c>
      <c r="G27" s="435" t="s">
        <v>12</v>
      </c>
      <c r="H27" s="435" t="s">
        <v>264</v>
      </c>
      <c r="I27" s="435" t="s">
        <v>7</v>
      </c>
      <c r="J27" s="435" t="s">
        <v>299</v>
      </c>
      <c r="K27" s="101"/>
      <c r="L27" s="101"/>
      <c r="P27" s="81"/>
      <c r="Q27" s="81"/>
      <c r="R27" s="81"/>
      <c r="S27" s="81"/>
      <c r="T27" s="81"/>
      <c r="AC27" s="435" t="s">
        <v>2</v>
      </c>
      <c r="AD27" s="81"/>
      <c r="AE27" s="81"/>
      <c r="AF27" s="81"/>
      <c r="AG27" s="81"/>
      <c r="AH27" s="81"/>
      <c r="AI27" s="81"/>
      <c r="AJ27" s="81"/>
    </row>
    <row r="28" spans="4:36" s="435" customFormat="1">
      <c r="D28" s="435" t="s">
        <v>79</v>
      </c>
      <c r="E28" s="435" t="s">
        <v>68</v>
      </c>
      <c r="F28" s="435" t="s">
        <v>1869</v>
      </c>
      <c r="G28" s="435" t="s">
        <v>12</v>
      </c>
      <c r="H28" s="435" t="s">
        <v>264</v>
      </c>
      <c r="I28" s="435" t="s">
        <v>7</v>
      </c>
      <c r="J28" s="435" t="s">
        <v>299</v>
      </c>
      <c r="K28" s="101"/>
      <c r="L28" s="101"/>
      <c r="P28" s="81"/>
      <c r="Q28" s="81"/>
      <c r="R28" s="81"/>
      <c r="S28" s="81"/>
      <c r="T28" s="81"/>
      <c r="AC28" s="435" t="s">
        <v>2</v>
      </c>
      <c r="AD28" s="81"/>
      <c r="AE28" s="81"/>
      <c r="AF28" s="81"/>
      <c r="AG28" s="81"/>
      <c r="AH28" s="81"/>
      <c r="AI28" s="81"/>
      <c r="AJ28" s="81"/>
    </row>
    <row r="29" spans="4:36" s="435" customFormat="1">
      <c r="D29" s="435" t="s">
        <v>79</v>
      </c>
      <c r="E29" s="435" t="s">
        <v>68</v>
      </c>
      <c r="F29" s="435" t="s">
        <v>1869</v>
      </c>
      <c r="G29" s="435" t="s">
        <v>12</v>
      </c>
      <c r="H29" s="435" t="s">
        <v>264</v>
      </c>
      <c r="I29" s="435" t="s">
        <v>7</v>
      </c>
      <c r="J29" s="435" t="s">
        <v>299</v>
      </c>
      <c r="K29" s="101"/>
      <c r="L29" s="101"/>
      <c r="P29" s="81"/>
      <c r="Q29" s="81"/>
      <c r="R29" s="81"/>
      <c r="S29" s="81"/>
      <c r="T29" s="81"/>
      <c r="AC29" s="435" t="s">
        <v>2</v>
      </c>
      <c r="AD29" s="81"/>
      <c r="AE29" s="81"/>
      <c r="AF29" s="81"/>
      <c r="AG29" s="81"/>
      <c r="AH29" s="81"/>
      <c r="AI29" s="81"/>
      <c r="AJ29" s="81"/>
    </row>
    <row r="30" spans="4:36" s="435" customFormat="1">
      <c r="D30" s="435" t="s">
        <v>79</v>
      </c>
      <c r="E30" s="435" t="s">
        <v>68</v>
      </c>
      <c r="F30" s="435" t="s">
        <v>1869</v>
      </c>
      <c r="G30" s="435" t="s">
        <v>12</v>
      </c>
      <c r="H30" s="435" t="s">
        <v>264</v>
      </c>
      <c r="I30" s="435" t="s">
        <v>7</v>
      </c>
      <c r="J30" s="435" t="s">
        <v>299</v>
      </c>
      <c r="K30" s="101"/>
      <c r="L30" s="101"/>
      <c r="P30" s="81"/>
      <c r="Q30" s="81"/>
      <c r="R30" s="81"/>
      <c r="S30" s="81"/>
      <c r="T30" s="81"/>
      <c r="AC30" s="435" t="s">
        <v>2</v>
      </c>
      <c r="AD30" s="81"/>
      <c r="AE30" s="81"/>
      <c r="AF30" s="81"/>
      <c r="AG30" s="81"/>
      <c r="AH30" s="81"/>
      <c r="AI30" s="81"/>
      <c r="AJ30" s="81"/>
    </row>
    <row r="31" spans="4:36" s="435" customFormat="1">
      <c r="D31" s="435" t="s">
        <v>79</v>
      </c>
      <c r="E31" s="435" t="s">
        <v>68</v>
      </c>
      <c r="F31" s="435" t="s">
        <v>1869</v>
      </c>
      <c r="G31" s="435" t="s">
        <v>12</v>
      </c>
      <c r="H31" s="435" t="s">
        <v>264</v>
      </c>
      <c r="I31" s="435" t="s">
        <v>7</v>
      </c>
      <c r="J31" s="435" t="s">
        <v>299</v>
      </c>
      <c r="K31" s="101"/>
      <c r="L31" s="101"/>
      <c r="P31" s="81"/>
      <c r="Q31" s="81"/>
      <c r="R31" s="81"/>
      <c r="S31" s="81"/>
      <c r="T31" s="81"/>
      <c r="AC31" s="435" t="s">
        <v>2</v>
      </c>
      <c r="AD31" s="81"/>
      <c r="AE31" s="81"/>
      <c r="AF31" s="81"/>
      <c r="AG31" s="81"/>
      <c r="AH31" s="81"/>
      <c r="AI31" s="81"/>
      <c r="AJ31" s="81"/>
    </row>
    <row r="32" spans="4:36" s="435" customFormat="1">
      <c r="D32" s="435" t="s">
        <v>79</v>
      </c>
      <c r="E32" s="435" t="s">
        <v>68</v>
      </c>
      <c r="F32" s="435" t="s">
        <v>1869</v>
      </c>
      <c r="G32" s="435" t="s">
        <v>12</v>
      </c>
      <c r="H32" s="435" t="s">
        <v>264</v>
      </c>
      <c r="I32" s="435" t="s">
        <v>7</v>
      </c>
      <c r="J32" s="435" t="s">
        <v>299</v>
      </c>
      <c r="K32" s="101"/>
      <c r="L32" s="101"/>
      <c r="P32" s="81"/>
      <c r="Q32" s="81"/>
      <c r="R32" s="81"/>
      <c r="S32" s="81"/>
      <c r="T32" s="81"/>
      <c r="AC32" s="435" t="s">
        <v>2</v>
      </c>
      <c r="AD32" s="81"/>
      <c r="AE32" s="81"/>
      <c r="AF32" s="81"/>
      <c r="AG32" s="81"/>
      <c r="AH32" s="81"/>
      <c r="AI32" s="81"/>
      <c r="AJ32" s="81"/>
    </row>
    <row r="33" spans="4:36" s="435" customFormat="1">
      <c r="D33" s="435" t="s">
        <v>79</v>
      </c>
      <c r="E33" s="435" t="s">
        <v>68</v>
      </c>
      <c r="F33" s="435" t="s">
        <v>1869</v>
      </c>
      <c r="G33" s="435" t="s">
        <v>12</v>
      </c>
      <c r="H33" s="435" t="s">
        <v>264</v>
      </c>
      <c r="I33" s="435" t="s">
        <v>7</v>
      </c>
      <c r="J33" s="435" t="s">
        <v>299</v>
      </c>
      <c r="K33" s="101"/>
      <c r="L33" s="101"/>
      <c r="P33" s="81"/>
      <c r="Q33" s="81"/>
      <c r="R33" s="81"/>
      <c r="S33" s="81"/>
      <c r="T33" s="81"/>
      <c r="AC33" s="435" t="s">
        <v>2</v>
      </c>
      <c r="AD33" s="81"/>
      <c r="AE33" s="81"/>
      <c r="AF33" s="81"/>
      <c r="AG33" s="81"/>
      <c r="AH33" s="81"/>
      <c r="AI33" s="81"/>
      <c r="AJ33" s="81"/>
    </row>
    <row r="34" spans="4:36" s="435" customFormat="1">
      <c r="D34" s="435" t="s">
        <v>79</v>
      </c>
      <c r="E34" s="435" t="s">
        <v>68</v>
      </c>
      <c r="F34" s="435" t="s">
        <v>1869</v>
      </c>
      <c r="G34" s="435" t="s">
        <v>12</v>
      </c>
      <c r="H34" s="435" t="s">
        <v>264</v>
      </c>
      <c r="I34" s="435" t="s">
        <v>7</v>
      </c>
      <c r="J34" s="435" t="s">
        <v>299</v>
      </c>
      <c r="K34" s="101"/>
      <c r="L34" s="101"/>
      <c r="P34" s="81"/>
      <c r="Q34" s="81"/>
      <c r="R34" s="81"/>
      <c r="S34" s="81"/>
      <c r="T34" s="81"/>
      <c r="AC34" s="435" t="s">
        <v>2</v>
      </c>
      <c r="AD34" s="81"/>
      <c r="AE34" s="81"/>
      <c r="AF34" s="81"/>
      <c r="AG34" s="81"/>
      <c r="AH34" s="81"/>
      <c r="AI34" s="81"/>
      <c r="AJ34" s="81"/>
    </row>
    <row r="35" spans="4:36" s="435" customFormat="1">
      <c r="D35" s="435" t="s">
        <v>79</v>
      </c>
      <c r="E35" s="435" t="s">
        <v>68</v>
      </c>
      <c r="F35" s="435" t="s">
        <v>1869</v>
      </c>
      <c r="G35" s="435" t="s">
        <v>12</v>
      </c>
      <c r="H35" s="435" t="s">
        <v>264</v>
      </c>
      <c r="I35" s="435" t="s">
        <v>7</v>
      </c>
      <c r="J35" s="435" t="s">
        <v>299</v>
      </c>
      <c r="K35" s="101"/>
      <c r="L35" s="101"/>
      <c r="P35" s="81"/>
      <c r="Q35" s="81"/>
      <c r="R35" s="81"/>
      <c r="S35" s="81"/>
      <c r="T35" s="81"/>
      <c r="AC35" s="435" t="s">
        <v>2</v>
      </c>
      <c r="AD35" s="81"/>
      <c r="AE35" s="81"/>
      <c r="AF35" s="81"/>
      <c r="AG35" s="81"/>
      <c r="AH35" s="81"/>
      <c r="AI35" s="81"/>
      <c r="AJ35" s="81"/>
    </row>
    <row r="36" spans="4:36" s="435" customFormat="1">
      <c r="D36" s="435" t="s">
        <v>79</v>
      </c>
      <c r="E36" s="435" t="s">
        <v>68</v>
      </c>
      <c r="F36" s="435" t="s">
        <v>1869</v>
      </c>
      <c r="G36" s="435" t="s">
        <v>12</v>
      </c>
      <c r="H36" s="435" t="s">
        <v>264</v>
      </c>
      <c r="I36" s="435" t="s">
        <v>7</v>
      </c>
      <c r="J36" s="435" t="s">
        <v>299</v>
      </c>
      <c r="K36" s="101"/>
      <c r="L36" s="101"/>
      <c r="P36" s="81"/>
      <c r="Q36" s="81"/>
      <c r="R36" s="81"/>
      <c r="S36" s="81"/>
      <c r="T36" s="81"/>
      <c r="AC36" s="435" t="s">
        <v>2</v>
      </c>
      <c r="AD36" s="81"/>
      <c r="AE36" s="81"/>
      <c r="AF36" s="81"/>
      <c r="AG36" s="81"/>
      <c r="AH36" s="81"/>
      <c r="AI36" s="81"/>
      <c r="AJ36" s="81"/>
    </row>
    <row r="37" spans="4:36" s="435" customFormat="1">
      <c r="D37" s="435" t="s">
        <v>79</v>
      </c>
      <c r="E37" s="435" t="s">
        <v>68</v>
      </c>
      <c r="F37" s="435" t="s">
        <v>1869</v>
      </c>
      <c r="G37" s="435" t="s">
        <v>12</v>
      </c>
      <c r="H37" s="435" t="s">
        <v>264</v>
      </c>
      <c r="I37" s="435" t="s">
        <v>7</v>
      </c>
      <c r="J37" s="435" t="s">
        <v>299</v>
      </c>
      <c r="K37" s="101"/>
      <c r="L37" s="101"/>
      <c r="P37" s="81"/>
      <c r="Q37" s="81"/>
      <c r="R37" s="81"/>
      <c r="S37" s="81"/>
      <c r="T37" s="81"/>
      <c r="AC37" s="435" t="s">
        <v>2</v>
      </c>
      <c r="AD37" s="81"/>
      <c r="AE37" s="81"/>
      <c r="AF37" s="81"/>
      <c r="AG37" s="81"/>
      <c r="AH37" s="81"/>
      <c r="AI37" s="81"/>
      <c r="AJ37" s="81"/>
    </row>
    <row r="38" spans="4:36" s="435" customFormat="1">
      <c r="D38" s="435" t="s">
        <v>79</v>
      </c>
      <c r="E38" s="435" t="s">
        <v>68</v>
      </c>
      <c r="F38" s="435" t="s">
        <v>1869</v>
      </c>
      <c r="G38" s="435" t="s">
        <v>12</v>
      </c>
      <c r="H38" s="435" t="s">
        <v>264</v>
      </c>
      <c r="I38" s="435" t="s">
        <v>7</v>
      </c>
      <c r="J38" s="435" t="s">
        <v>299</v>
      </c>
      <c r="K38" s="101"/>
      <c r="L38" s="101"/>
      <c r="P38" s="81"/>
      <c r="Q38" s="81"/>
      <c r="R38" s="81"/>
      <c r="S38" s="81"/>
      <c r="T38" s="81"/>
      <c r="AC38" s="435" t="s">
        <v>2</v>
      </c>
      <c r="AD38" s="81"/>
      <c r="AE38" s="81"/>
      <c r="AF38" s="81"/>
      <c r="AG38" s="81"/>
      <c r="AH38" s="81"/>
      <c r="AI38" s="81"/>
      <c r="AJ38" s="81"/>
    </row>
    <row r="39" spans="4:36" s="435" customFormat="1">
      <c r="D39" s="435" t="s">
        <v>79</v>
      </c>
      <c r="E39" s="435" t="s">
        <v>68</v>
      </c>
      <c r="F39" s="435" t="s">
        <v>1869</v>
      </c>
      <c r="G39" s="435" t="s">
        <v>12</v>
      </c>
      <c r="H39" s="435" t="s">
        <v>264</v>
      </c>
      <c r="I39" s="435" t="s">
        <v>7</v>
      </c>
      <c r="J39" s="435" t="s">
        <v>299</v>
      </c>
      <c r="K39" s="101"/>
      <c r="L39" s="101"/>
      <c r="P39" s="81"/>
      <c r="Q39" s="81"/>
      <c r="R39" s="81"/>
      <c r="S39" s="81"/>
      <c r="T39" s="81"/>
      <c r="AC39" s="435" t="s">
        <v>2</v>
      </c>
      <c r="AD39" s="81"/>
      <c r="AE39" s="81"/>
      <c r="AF39" s="81"/>
      <c r="AG39" s="81"/>
      <c r="AH39" s="81"/>
      <c r="AI39" s="81"/>
      <c r="AJ39" s="81"/>
    </row>
    <row r="40" spans="4:36">
      <c r="D40" t="s">
        <v>79</v>
      </c>
      <c r="E40" t="s">
        <v>68</v>
      </c>
      <c r="F40" s="435" t="s">
        <v>1869</v>
      </c>
      <c r="G40" s="435" t="s">
        <v>12</v>
      </c>
      <c r="H40" t="s">
        <v>264</v>
      </c>
      <c r="I40" t="s">
        <v>7</v>
      </c>
      <c r="J40" t="s">
        <v>299</v>
      </c>
      <c r="K40" s="101"/>
      <c r="L40" s="101"/>
      <c r="P40" s="81"/>
      <c r="Q40" s="81"/>
      <c r="R40" s="81"/>
      <c r="S40" s="81"/>
      <c r="T40" s="81"/>
      <c r="AC40" s="435" t="s">
        <v>2</v>
      </c>
      <c r="AD40" s="81"/>
      <c r="AE40" s="81"/>
      <c r="AF40" s="81"/>
      <c r="AG40" s="81"/>
      <c r="AH40" s="81"/>
      <c r="AI40" s="81"/>
      <c r="AJ40" s="81"/>
    </row>
    <row r="41" spans="4:36">
      <c r="D41" t="s">
        <v>79</v>
      </c>
      <c r="E41" t="s">
        <v>68</v>
      </c>
      <c r="F41" s="435" t="s">
        <v>1869</v>
      </c>
      <c r="G41" s="435" t="s">
        <v>12</v>
      </c>
      <c r="H41" t="s">
        <v>264</v>
      </c>
      <c r="I41" t="s">
        <v>7</v>
      </c>
      <c r="J41" t="s">
        <v>299</v>
      </c>
      <c r="K41" s="101"/>
      <c r="L41" s="101"/>
      <c r="P41" s="81"/>
      <c r="Q41" s="81"/>
      <c r="R41" s="81"/>
      <c r="S41" s="81"/>
      <c r="T41" s="81"/>
      <c r="AC41" t="s">
        <v>2</v>
      </c>
      <c r="AD41" s="81"/>
      <c r="AE41" s="81"/>
      <c r="AF41" s="81"/>
      <c r="AG41" s="81"/>
      <c r="AH41" s="81"/>
      <c r="AI41" s="81"/>
      <c r="AJ41" s="81"/>
    </row>
    <row r="42" spans="4:36">
      <c r="D42" t="s">
        <v>79</v>
      </c>
      <c r="E42" t="s">
        <v>68</v>
      </c>
      <c r="F42" s="435" t="s">
        <v>1869</v>
      </c>
      <c r="G42" s="435" t="s">
        <v>12</v>
      </c>
      <c r="H42" t="s">
        <v>264</v>
      </c>
      <c r="I42" t="s">
        <v>7</v>
      </c>
      <c r="J42" t="s">
        <v>299</v>
      </c>
      <c r="K42" s="101"/>
      <c r="L42" s="101"/>
      <c r="P42" s="81"/>
      <c r="Q42" s="81"/>
      <c r="R42" s="81"/>
      <c r="S42" s="81"/>
      <c r="T42" s="81"/>
      <c r="AC42" t="s">
        <v>2</v>
      </c>
      <c r="AD42" s="81"/>
      <c r="AE42" s="81"/>
      <c r="AF42" s="81"/>
      <c r="AG42" s="81"/>
      <c r="AH42" s="81"/>
      <c r="AI42" s="81"/>
      <c r="AJ42" s="81"/>
    </row>
    <row r="43" spans="4:36">
      <c r="D43" t="s">
        <v>79</v>
      </c>
      <c r="E43" t="s">
        <v>68</v>
      </c>
      <c r="F43" s="435" t="s">
        <v>1869</v>
      </c>
      <c r="G43" s="435" t="s">
        <v>12</v>
      </c>
      <c r="H43" t="s">
        <v>264</v>
      </c>
      <c r="I43" t="s">
        <v>7</v>
      </c>
      <c r="J43" t="s">
        <v>299</v>
      </c>
      <c r="K43" s="101"/>
      <c r="L43" s="101"/>
      <c r="P43" s="81"/>
      <c r="Q43" s="81"/>
      <c r="R43" s="81"/>
      <c r="S43" s="81"/>
      <c r="T43" s="81"/>
      <c r="AC43" t="s">
        <v>2</v>
      </c>
      <c r="AD43" s="81"/>
      <c r="AE43" s="81"/>
      <c r="AF43" s="81"/>
      <c r="AG43" s="81"/>
      <c r="AH43" s="81"/>
      <c r="AI43" s="81"/>
      <c r="AJ43" s="81"/>
    </row>
    <row r="44" spans="4:36">
      <c r="D44" t="s">
        <v>79</v>
      </c>
      <c r="E44" t="s">
        <v>68</v>
      </c>
      <c r="F44" s="435" t="s">
        <v>1869</v>
      </c>
      <c r="G44" s="435" t="s">
        <v>12</v>
      </c>
      <c r="H44" t="s">
        <v>264</v>
      </c>
      <c r="I44" t="s">
        <v>7</v>
      </c>
      <c r="J44" t="s">
        <v>299</v>
      </c>
      <c r="K44" s="101"/>
      <c r="L44" s="101"/>
      <c r="P44" s="81"/>
      <c r="Q44" s="81"/>
      <c r="R44" s="81"/>
      <c r="S44" s="81"/>
      <c r="T44" s="81"/>
      <c r="AC44" t="s">
        <v>2</v>
      </c>
      <c r="AD44" s="81"/>
      <c r="AE44" s="81"/>
      <c r="AF44" s="81"/>
      <c r="AG44" s="81"/>
      <c r="AH44" s="81"/>
      <c r="AI44" s="81"/>
      <c r="AJ44" s="81"/>
    </row>
    <row r="45" spans="4:36">
      <c r="D45" t="s">
        <v>79</v>
      </c>
      <c r="E45" t="s">
        <v>68</v>
      </c>
      <c r="F45" s="435" t="s">
        <v>1869</v>
      </c>
      <c r="G45" s="435" t="s">
        <v>12</v>
      </c>
      <c r="H45" t="s">
        <v>264</v>
      </c>
      <c r="I45" t="s">
        <v>7</v>
      </c>
      <c r="J45" t="s">
        <v>299</v>
      </c>
      <c r="K45" s="101"/>
      <c r="L45" s="101"/>
      <c r="P45" s="81"/>
      <c r="Q45" s="81"/>
      <c r="R45" s="81"/>
      <c r="S45" s="81"/>
      <c r="T45" s="81"/>
      <c r="AC45" t="s">
        <v>2</v>
      </c>
      <c r="AD45" s="81"/>
      <c r="AE45" s="81"/>
      <c r="AF45" s="81"/>
      <c r="AG45" s="81"/>
      <c r="AH45" s="81"/>
      <c r="AI45" s="81"/>
      <c r="AJ45" s="81"/>
    </row>
    <row r="46" spans="4:36">
      <c r="D46" t="s">
        <v>79</v>
      </c>
      <c r="E46" t="s">
        <v>68</v>
      </c>
      <c r="F46" s="435" t="s">
        <v>1869</v>
      </c>
      <c r="G46" s="435" t="s">
        <v>12</v>
      </c>
      <c r="H46" t="s">
        <v>264</v>
      </c>
      <c r="I46" t="s">
        <v>7</v>
      </c>
      <c r="J46" t="s">
        <v>299</v>
      </c>
      <c r="K46" s="101"/>
      <c r="L46" s="101"/>
      <c r="P46" s="81"/>
      <c r="Q46" s="81"/>
      <c r="R46" s="81"/>
      <c r="S46" s="81"/>
      <c r="T46" s="81"/>
      <c r="AC46" t="s">
        <v>2</v>
      </c>
      <c r="AD46" s="81"/>
      <c r="AE46" s="81"/>
      <c r="AF46" s="81"/>
      <c r="AG46" s="81"/>
      <c r="AH46" s="81"/>
      <c r="AI46" s="81"/>
      <c r="AJ46" s="81"/>
    </row>
    <row r="47" spans="4:36">
      <c r="D47" t="s">
        <v>79</v>
      </c>
      <c r="E47" t="s">
        <v>68</v>
      </c>
      <c r="F47" s="435" t="s">
        <v>1869</v>
      </c>
      <c r="G47" s="435" t="s">
        <v>12</v>
      </c>
      <c r="H47" t="s">
        <v>264</v>
      </c>
      <c r="I47" t="s">
        <v>7</v>
      </c>
      <c r="J47" t="s">
        <v>299</v>
      </c>
      <c r="K47" s="101"/>
      <c r="L47" s="101"/>
      <c r="P47" s="81"/>
      <c r="Q47" s="81"/>
      <c r="R47" s="81"/>
      <c r="S47" s="81"/>
      <c r="T47" s="81"/>
      <c r="AC47" t="s">
        <v>2</v>
      </c>
      <c r="AD47" s="81"/>
      <c r="AE47" s="81"/>
      <c r="AF47" s="81"/>
      <c r="AG47" s="81"/>
      <c r="AH47" s="81"/>
      <c r="AI47" s="81"/>
      <c r="AJ47" s="81"/>
    </row>
    <row r="48" spans="4:36">
      <c r="D48" t="s">
        <v>79</v>
      </c>
      <c r="E48" t="s">
        <v>68</v>
      </c>
      <c r="F48" s="435" t="s">
        <v>1869</v>
      </c>
      <c r="G48" s="435" t="s">
        <v>12</v>
      </c>
      <c r="H48" t="s">
        <v>264</v>
      </c>
      <c r="I48" t="s">
        <v>7</v>
      </c>
      <c r="J48" t="s">
        <v>299</v>
      </c>
      <c r="K48" s="101"/>
      <c r="L48" s="101"/>
      <c r="P48" s="81"/>
      <c r="Q48" s="81"/>
      <c r="R48" s="81"/>
      <c r="S48" s="81"/>
      <c r="T48" s="81"/>
      <c r="AC48" t="s">
        <v>2</v>
      </c>
      <c r="AD48" s="81"/>
      <c r="AE48" s="81"/>
      <c r="AF48" s="81"/>
      <c r="AG48" s="81"/>
      <c r="AH48" s="81"/>
      <c r="AI48" s="81"/>
      <c r="AJ48" s="81"/>
    </row>
    <row r="49" spans="4:36">
      <c r="D49" t="s">
        <v>79</v>
      </c>
      <c r="E49" t="s">
        <v>68</v>
      </c>
      <c r="F49" s="435" t="s">
        <v>1869</v>
      </c>
      <c r="G49" s="435" t="s">
        <v>12</v>
      </c>
      <c r="H49" t="s">
        <v>264</v>
      </c>
      <c r="I49" t="s">
        <v>7</v>
      </c>
      <c r="J49" t="s">
        <v>299</v>
      </c>
      <c r="K49" s="101"/>
      <c r="L49" s="101"/>
      <c r="P49" s="81"/>
      <c r="Q49" s="81"/>
      <c r="R49" s="81"/>
      <c r="S49" s="81"/>
      <c r="T49" s="81"/>
      <c r="AC49" t="s">
        <v>2</v>
      </c>
      <c r="AD49" s="81"/>
      <c r="AE49" s="81"/>
      <c r="AF49" s="81"/>
      <c r="AG49" s="81"/>
      <c r="AH49" s="81"/>
      <c r="AI49" s="81"/>
      <c r="AJ49" s="81"/>
    </row>
    <row r="50" spans="4:36">
      <c r="D50" t="s">
        <v>79</v>
      </c>
      <c r="E50" t="s">
        <v>68</v>
      </c>
      <c r="F50" s="435" t="s">
        <v>1869</v>
      </c>
      <c r="G50" s="435" t="s">
        <v>12</v>
      </c>
      <c r="H50" t="s">
        <v>264</v>
      </c>
      <c r="I50" t="s">
        <v>7</v>
      </c>
      <c r="J50" t="s">
        <v>299</v>
      </c>
      <c r="K50" s="101"/>
      <c r="L50" s="101"/>
      <c r="P50" s="81"/>
      <c r="Q50" s="81"/>
      <c r="R50" s="81"/>
      <c r="S50" s="81"/>
      <c r="T50" s="81"/>
      <c r="AC50" t="s">
        <v>2</v>
      </c>
      <c r="AD50" s="81"/>
      <c r="AE50" s="81"/>
      <c r="AF50" s="81"/>
      <c r="AG50" s="81"/>
      <c r="AH50" s="81"/>
      <c r="AI50" s="81"/>
      <c r="AJ50" s="81"/>
    </row>
    <row r="51" spans="4:36">
      <c r="D51" t="s">
        <v>79</v>
      </c>
      <c r="E51" t="s">
        <v>68</v>
      </c>
      <c r="F51" s="435" t="s">
        <v>1869</v>
      </c>
      <c r="G51" s="435" t="s">
        <v>12</v>
      </c>
      <c r="H51" t="s">
        <v>264</v>
      </c>
      <c r="I51" t="s">
        <v>7</v>
      </c>
      <c r="J51" t="s">
        <v>299</v>
      </c>
      <c r="K51" s="101"/>
      <c r="L51" s="101"/>
      <c r="P51" s="81"/>
      <c r="Q51" s="81"/>
      <c r="R51" s="81"/>
      <c r="S51" s="81"/>
      <c r="T51" s="81"/>
      <c r="AC51" t="s">
        <v>2</v>
      </c>
      <c r="AD51" s="81"/>
      <c r="AE51" s="81"/>
      <c r="AF51" s="81"/>
      <c r="AG51" s="81"/>
      <c r="AH51" s="81"/>
      <c r="AI51" s="81"/>
      <c r="AJ51" s="81"/>
    </row>
    <row r="52" spans="4:36">
      <c r="D52" t="s">
        <v>79</v>
      </c>
      <c r="E52" t="s">
        <v>68</v>
      </c>
      <c r="F52" s="435" t="s">
        <v>1869</v>
      </c>
      <c r="G52" s="435" t="s">
        <v>12</v>
      </c>
      <c r="H52" t="s">
        <v>264</v>
      </c>
      <c r="I52" t="s">
        <v>7</v>
      </c>
      <c r="J52" t="s">
        <v>299</v>
      </c>
      <c r="K52" s="101"/>
      <c r="L52" s="101"/>
      <c r="P52" s="81"/>
      <c r="Q52" s="81"/>
      <c r="R52" s="81"/>
      <c r="S52" s="81"/>
      <c r="T52" s="81"/>
      <c r="AC52" t="s">
        <v>2</v>
      </c>
      <c r="AD52" s="81"/>
      <c r="AE52" s="81"/>
      <c r="AF52" s="81"/>
      <c r="AG52" s="81"/>
      <c r="AH52" s="81"/>
      <c r="AI52" s="81"/>
      <c r="AJ52" s="81"/>
    </row>
    <row r="53" spans="4:36">
      <c r="D53" t="s">
        <v>79</v>
      </c>
      <c r="E53" t="s">
        <v>68</v>
      </c>
      <c r="F53" s="435" t="s">
        <v>1869</v>
      </c>
      <c r="G53" s="435" t="s">
        <v>12</v>
      </c>
      <c r="H53" t="s">
        <v>264</v>
      </c>
      <c r="I53" t="s">
        <v>7</v>
      </c>
      <c r="J53" t="s">
        <v>299</v>
      </c>
      <c r="K53" s="101"/>
      <c r="L53" s="101"/>
      <c r="P53" s="81"/>
      <c r="Q53" s="81"/>
      <c r="R53" s="81"/>
      <c r="S53" s="81"/>
      <c r="T53" s="81"/>
      <c r="AC53" t="s">
        <v>2</v>
      </c>
      <c r="AD53" s="81"/>
      <c r="AE53" s="81"/>
      <c r="AF53" s="81"/>
      <c r="AG53" s="81"/>
      <c r="AH53" s="81"/>
      <c r="AI53" s="81"/>
      <c r="AJ53" s="81"/>
    </row>
    <row r="54" spans="4:36">
      <c r="D54" t="s">
        <v>79</v>
      </c>
      <c r="E54" t="s">
        <v>68</v>
      </c>
      <c r="F54" s="435" t="s">
        <v>1869</v>
      </c>
      <c r="G54" s="435" t="s">
        <v>12</v>
      </c>
      <c r="H54" t="s">
        <v>264</v>
      </c>
      <c r="I54" t="s">
        <v>7</v>
      </c>
      <c r="J54" t="s">
        <v>299</v>
      </c>
      <c r="K54" s="101"/>
      <c r="L54" s="101"/>
      <c r="P54" s="81"/>
      <c r="Q54" s="81"/>
      <c r="R54" s="81"/>
      <c r="S54" s="81"/>
      <c r="T54" s="81"/>
      <c r="AC54" t="s">
        <v>2</v>
      </c>
      <c r="AD54" s="81"/>
      <c r="AE54" s="81"/>
      <c r="AF54" s="81"/>
      <c r="AG54" s="81"/>
      <c r="AH54" s="81"/>
      <c r="AI54" s="81"/>
      <c r="AJ54" s="81"/>
    </row>
    <row r="55" spans="4:36">
      <c r="D55" t="s">
        <v>79</v>
      </c>
      <c r="E55" t="s">
        <v>68</v>
      </c>
      <c r="F55" s="435" t="s">
        <v>1869</v>
      </c>
      <c r="G55" s="435" t="s">
        <v>12</v>
      </c>
      <c r="H55" t="s">
        <v>264</v>
      </c>
      <c r="I55" t="s">
        <v>7</v>
      </c>
      <c r="J55" t="s">
        <v>299</v>
      </c>
      <c r="K55" s="101"/>
      <c r="L55" s="101"/>
      <c r="P55" s="81"/>
      <c r="Q55" s="81"/>
      <c r="R55" s="81"/>
      <c r="S55" s="81"/>
      <c r="T55" s="81"/>
      <c r="AC55" t="s">
        <v>2</v>
      </c>
      <c r="AD55" s="81"/>
      <c r="AE55" s="81"/>
      <c r="AF55" s="81"/>
      <c r="AG55" s="81"/>
      <c r="AH55" s="81"/>
      <c r="AI55" s="81"/>
      <c r="AJ55" s="81"/>
    </row>
    <row r="56" spans="4:36">
      <c r="D56" t="s">
        <v>79</v>
      </c>
      <c r="E56" t="s">
        <v>68</v>
      </c>
      <c r="F56" s="435" t="s">
        <v>1869</v>
      </c>
      <c r="G56" s="435" t="s">
        <v>12</v>
      </c>
      <c r="H56" t="s">
        <v>264</v>
      </c>
      <c r="I56" t="s">
        <v>7</v>
      </c>
      <c r="J56" t="s">
        <v>299</v>
      </c>
      <c r="K56" s="101"/>
      <c r="L56" s="101"/>
      <c r="P56" s="81"/>
      <c r="Q56" s="81"/>
      <c r="R56" s="81"/>
      <c r="S56" s="81"/>
      <c r="T56" s="81"/>
      <c r="AC56" t="s">
        <v>2</v>
      </c>
      <c r="AD56" s="81"/>
      <c r="AE56" s="81"/>
      <c r="AF56" s="81"/>
      <c r="AG56" s="81"/>
      <c r="AH56" s="81"/>
      <c r="AI56" s="81"/>
      <c r="AJ56" s="81"/>
    </row>
    <row r="57" spans="4:36">
      <c r="D57" t="s">
        <v>79</v>
      </c>
      <c r="E57" t="s">
        <v>68</v>
      </c>
      <c r="F57" s="435" t="s">
        <v>1869</v>
      </c>
      <c r="G57" s="435" t="s">
        <v>12</v>
      </c>
      <c r="H57" t="s">
        <v>264</v>
      </c>
      <c r="I57" t="s">
        <v>7</v>
      </c>
      <c r="J57" t="s">
        <v>299</v>
      </c>
      <c r="K57" s="101"/>
      <c r="L57" s="101"/>
      <c r="P57" s="81"/>
      <c r="Q57" s="81"/>
      <c r="R57" s="81"/>
      <c r="S57" s="81"/>
      <c r="T57" s="81"/>
      <c r="AC57" t="s">
        <v>2</v>
      </c>
      <c r="AD57" s="81"/>
      <c r="AE57" s="81"/>
      <c r="AF57" s="81"/>
      <c r="AG57" s="81"/>
      <c r="AH57" s="81"/>
      <c r="AI57" s="81"/>
      <c r="AJ57" s="81"/>
    </row>
    <row r="58" spans="4:36">
      <c r="D58" t="s">
        <v>79</v>
      </c>
      <c r="E58" t="s">
        <v>68</v>
      </c>
      <c r="F58" s="435" t="s">
        <v>1869</v>
      </c>
      <c r="G58" s="435" t="s">
        <v>12</v>
      </c>
      <c r="H58" t="s">
        <v>264</v>
      </c>
      <c r="I58" t="s">
        <v>7</v>
      </c>
      <c r="J58" t="s">
        <v>299</v>
      </c>
      <c r="K58" s="101"/>
      <c r="L58" s="101"/>
      <c r="P58" s="81"/>
      <c r="Q58" s="81"/>
      <c r="R58" s="81"/>
      <c r="S58" s="81"/>
      <c r="T58" s="81"/>
      <c r="AC58" t="s">
        <v>2</v>
      </c>
      <c r="AD58" s="81"/>
      <c r="AE58" s="81"/>
      <c r="AF58" s="81"/>
      <c r="AG58" s="81"/>
      <c r="AH58" s="81"/>
      <c r="AI58" s="81"/>
      <c r="AJ58" s="81"/>
    </row>
    <row r="59" spans="4:36">
      <c r="D59" t="s">
        <v>79</v>
      </c>
      <c r="E59" t="s">
        <v>68</v>
      </c>
      <c r="F59" s="435" t="s">
        <v>1869</v>
      </c>
      <c r="G59" s="435" t="s">
        <v>12</v>
      </c>
      <c r="H59" t="s">
        <v>264</v>
      </c>
      <c r="I59" t="s">
        <v>7</v>
      </c>
      <c r="J59" t="s">
        <v>299</v>
      </c>
      <c r="K59" s="101"/>
      <c r="L59" s="101"/>
      <c r="P59" s="81"/>
      <c r="Q59" s="81"/>
      <c r="R59" s="81"/>
      <c r="S59" s="81"/>
      <c r="T59" s="81"/>
      <c r="AC59" t="s">
        <v>2</v>
      </c>
      <c r="AD59" s="81"/>
      <c r="AE59" s="81"/>
      <c r="AF59" s="81"/>
      <c r="AG59" s="81"/>
      <c r="AH59" s="81"/>
      <c r="AI59" s="81"/>
      <c r="AJ59" s="81"/>
    </row>
    <row r="60" spans="4:36">
      <c r="D60" t="s">
        <v>79</v>
      </c>
      <c r="E60" t="s">
        <v>68</v>
      </c>
      <c r="F60" s="435" t="s">
        <v>1869</v>
      </c>
      <c r="G60" s="435" t="s">
        <v>12</v>
      </c>
      <c r="H60" t="s">
        <v>264</v>
      </c>
      <c r="I60" t="s">
        <v>7</v>
      </c>
      <c r="J60" t="s">
        <v>299</v>
      </c>
      <c r="K60" s="101"/>
      <c r="L60" s="101"/>
      <c r="P60" s="81"/>
      <c r="Q60" s="81"/>
      <c r="R60" s="81"/>
      <c r="S60" s="81"/>
      <c r="T60" s="81"/>
      <c r="AC60" t="s">
        <v>2</v>
      </c>
      <c r="AD60" s="81"/>
      <c r="AE60" s="81"/>
      <c r="AF60" s="81"/>
      <c r="AG60" s="81"/>
      <c r="AH60" s="81"/>
      <c r="AI60" s="81"/>
      <c r="AJ60" s="81"/>
    </row>
    <row r="61" spans="4:36">
      <c r="D61" t="s">
        <v>79</v>
      </c>
      <c r="E61" t="s">
        <v>68</v>
      </c>
      <c r="F61" s="435" t="s">
        <v>1869</v>
      </c>
      <c r="G61" s="435" t="s">
        <v>12</v>
      </c>
      <c r="H61" t="s">
        <v>264</v>
      </c>
      <c r="I61" t="s">
        <v>7</v>
      </c>
      <c r="J61" t="s">
        <v>299</v>
      </c>
      <c r="K61" s="101"/>
      <c r="L61" s="101"/>
      <c r="P61" s="81"/>
      <c r="Q61" s="81"/>
      <c r="R61" s="81"/>
      <c r="S61" s="81"/>
      <c r="T61" s="81"/>
      <c r="AC61" t="s">
        <v>2</v>
      </c>
      <c r="AD61" s="81"/>
      <c r="AE61" s="81"/>
      <c r="AF61" s="81"/>
      <c r="AG61" s="81"/>
      <c r="AH61" s="81"/>
      <c r="AI61" s="81"/>
      <c r="AJ61" s="81"/>
    </row>
    <row r="62" spans="4:36">
      <c r="D62" t="s">
        <v>79</v>
      </c>
      <c r="E62" t="s">
        <v>68</v>
      </c>
      <c r="F62" s="435" t="s">
        <v>1869</v>
      </c>
      <c r="G62" s="435" t="s">
        <v>12</v>
      </c>
      <c r="H62" t="s">
        <v>264</v>
      </c>
      <c r="I62" t="s">
        <v>7</v>
      </c>
      <c r="J62" t="s">
        <v>299</v>
      </c>
      <c r="K62" s="101"/>
      <c r="L62" s="101"/>
      <c r="P62" s="81"/>
      <c r="Q62" s="81"/>
      <c r="R62" s="81"/>
      <c r="S62" s="81"/>
      <c r="T62" s="81"/>
      <c r="AC62" t="s">
        <v>2</v>
      </c>
      <c r="AD62" s="81"/>
      <c r="AE62" s="81"/>
      <c r="AF62" s="81"/>
      <c r="AG62" s="81"/>
      <c r="AH62" s="81"/>
      <c r="AI62" s="81"/>
      <c r="AJ62" s="81"/>
    </row>
    <row r="63" spans="4:36">
      <c r="D63" t="s">
        <v>79</v>
      </c>
      <c r="E63" t="s">
        <v>68</v>
      </c>
      <c r="F63" s="435" t="s">
        <v>1869</v>
      </c>
      <c r="G63" s="435" t="s">
        <v>12</v>
      </c>
      <c r="H63" t="s">
        <v>264</v>
      </c>
      <c r="I63" t="s">
        <v>7</v>
      </c>
      <c r="J63" t="s">
        <v>299</v>
      </c>
      <c r="K63" s="101"/>
      <c r="L63" s="101"/>
      <c r="P63" s="81"/>
      <c r="Q63" s="81"/>
      <c r="R63" s="81"/>
      <c r="S63" s="81"/>
      <c r="T63" s="81"/>
      <c r="AC63" t="s">
        <v>2</v>
      </c>
      <c r="AD63" s="81"/>
      <c r="AE63" s="81"/>
      <c r="AF63" s="81"/>
      <c r="AG63" s="81"/>
      <c r="AH63" s="81"/>
      <c r="AI63" s="81"/>
      <c r="AJ63" s="81"/>
    </row>
    <row r="64" spans="4:36">
      <c r="T64" s="67"/>
      <c r="U64" s="67"/>
      <c r="V64" s="67"/>
      <c r="W64" s="67"/>
      <c r="X64" s="67"/>
    </row>
    <row r="65" spans="1:36" s="1" customFormat="1" ht="17.649999999999999">
      <c r="B65" s="2" t="s">
        <v>86</v>
      </c>
    </row>
    <row r="67" spans="1:36" s="1" customFormat="1" ht="13.9">
      <c r="A67" s="66"/>
      <c r="B67" s="78" t="s">
        <v>299</v>
      </c>
    </row>
    <row r="68" spans="1:36">
      <c r="R68" s="67"/>
      <c r="S68" s="67"/>
      <c r="U68" s="67"/>
      <c r="V68" s="67"/>
    </row>
    <row r="69" spans="1:36">
      <c r="D69" t="s">
        <v>79</v>
      </c>
      <c r="E69" t="s">
        <v>68</v>
      </c>
      <c r="F69" s="435" t="s">
        <v>1869</v>
      </c>
      <c r="G69" s="435" t="s">
        <v>86</v>
      </c>
      <c r="H69" t="s">
        <v>264</v>
      </c>
      <c r="I69" t="s">
        <v>7</v>
      </c>
      <c r="J69" t="s">
        <v>299</v>
      </c>
      <c r="K69" s="101"/>
      <c r="L69" s="101"/>
      <c r="N69" t="s">
        <v>202</v>
      </c>
      <c r="O69" t="s">
        <v>202</v>
      </c>
      <c r="P69" s="103"/>
      <c r="Q69" s="103"/>
      <c r="R69" s="435"/>
      <c r="S69" s="435"/>
      <c r="U69" s="81" t="s">
        <v>328</v>
      </c>
      <c r="V69" s="81" t="str">
        <f>IF(U69="","",VLOOKUP(U69,'1.3 Lists'!$L$10:$M$313,2,FALSE))</f>
        <v>Air Intake Replacement</v>
      </c>
      <c r="AC69" t="s">
        <v>3</v>
      </c>
      <c r="AD69" s="81"/>
      <c r="AE69" s="81"/>
      <c r="AF69" s="81"/>
      <c r="AG69" s="81"/>
      <c r="AH69" s="81"/>
      <c r="AI69" s="81"/>
      <c r="AJ69" s="81"/>
    </row>
    <row r="70" spans="1:36">
      <c r="D70" t="s">
        <v>79</v>
      </c>
      <c r="E70" t="s">
        <v>68</v>
      </c>
      <c r="F70" s="435" t="s">
        <v>1869</v>
      </c>
      <c r="G70" s="435" t="s">
        <v>86</v>
      </c>
      <c r="H70" t="s">
        <v>264</v>
      </c>
      <c r="I70" t="s">
        <v>7</v>
      </c>
      <c r="J70" t="s">
        <v>299</v>
      </c>
      <c r="K70" s="101"/>
      <c r="L70" s="101"/>
      <c r="N70" t="s">
        <v>202</v>
      </c>
      <c r="O70" t="s">
        <v>202</v>
      </c>
      <c r="P70" s="103"/>
      <c r="Q70" s="103"/>
      <c r="R70" s="435"/>
      <c r="S70" s="435"/>
      <c r="U70" s="81" t="s">
        <v>328</v>
      </c>
      <c r="V70" s="81" t="str">
        <f>IF(U70="","",VLOOKUP(U70,'1.3 Lists'!$L$10:$M$313,2,FALSE))</f>
        <v>Air Intake Replacement</v>
      </c>
      <c r="AC70" t="s">
        <v>3</v>
      </c>
      <c r="AD70" s="81"/>
      <c r="AE70" s="81"/>
      <c r="AF70" s="81"/>
      <c r="AG70" s="81"/>
      <c r="AH70" s="81"/>
      <c r="AI70" s="81"/>
      <c r="AJ70" s="81"/>
    </row>
    <row r="71" spans="1:36">
      <c r="D71" t="s">
        <v>79</v>
      </c>
      <c r="E71" t="s">
        <v>68</v>
      </c>
      <c r="F71" s="435" t="s">
        <v>1869</v>
      </c>
      <c r="G71" s="435" t="s">
        <v>86</v>
      </c>
      <c r="H71" t="s">
        <v>264</v>
      </c>
      <c r="I71" t="s">
        <v>7</v>
      </c>
      <c r="J71" t="s">
        <v>299</v>
      </c>
      <c r="K71" s="101"/>
      <c r="L71" s="101"/>
      <c r="N71" t="s">
        <v>202</v>
      </c>
      <c r="O71" t="s">
        <v>202</v>
      </c>
      <c r="P71" s="103"/>
      <c r="Q71" s="103"/>
      <c r="R71" s="435"/>
      <c r="S71" s="435"/>
      <c r="U71" s="81" t="s">
        <v>328</v>
      </c>
      <c r="V71" s="81" t="str">
        <f>IF(U71="","",VLOOKUP(U71,'1.3 Lists'!$L$10:$M$313,2,FALSE))</f>
        <v>Air Intake Replacement</v>
      </c>
      <c r="AC71" t="s">
        <v>3</v>
      </c>
      <c r="AD71" s="81"/>
      <c r="AE71" s="81"/>
      <c r="AF71" s="81"/>
      <c r="AG71" s="81"/>
      <c r="AH71" s="81"/>
      <c r="AI71" s="81"/>
      <c r="AJ71" s="81"/>
    </row>
    <row r="72" spans="1:36">
      <c r="D72" t="s">
        <v>79</v>
      </c>
      <c r="E72" t="s">
        <v>68</v>
      </c>
      <c r="F72" s="435" t="s">
        <v>1869</v>
      </c>
      <c r="G72" s="435" t="s">
        <v>86</v>
      </c>
      <c r="H72" t="s">
        <v>264</v>
      </c>
      <c r="I72" t="s">
        <v>7</v>
      </c>
      <c r="J72" t="s">
        <v>299</v>
      </c>
      <c r="K72" s="101"/>
      <c r="L72" s="101"/>
      <c r="N72" t="s">
        <v>202</v>
      </c>
      <c r="O72" t="s">
        <v>202</v>
      </c>
      <c r="P72" s="103"/>
      <c r="Q72" s="103"/>
      <c r="R72" s="435"/>
      <c r="S72" s="435"/>
      <c r="U72" s="81"/>
      <c r="V72" s="81" t="str">
        <f>IF(U72="","",VLOOKUP(U72,'1.3 Lists'!$L$10:$M$313,2,FALSE))</f>
        <v/>
      </c>
      <c r="AC72" t="s">
        <v>3</v>
      </c>
      <c r="AD72" s="81"/>
      <c r="AE72" s="81"/>
      <c r="AF72" s="81"/>
      <c r="AG72" s="81"/>
      <c r="AH72" s="81"/>
      <c r="AI72" s="81"/>
      <c r="AJ72" s="81"/>
    </row>
    <row r="73" spans="1:36">
      <c r="D73" t="s">
        <v>79</v>
      </c>
      <c r="E73" t="s">
        <v>68</v>
      </c>
      <c r="F73" s="435" t="s">
        <v>1869</v>
      </c>
      <c r="G73" s="435" t="s">
        <v>86</v>
      </c>
      <c r="H73" t="s">
        <v>264</v>
      </c>
      <c r="I73" t="s">
        <v>7</v>
      </c>
      <c r="J73" t="s">
        <v>299</v>
      </c>
      <c r="K73" s="101"/>
      <c r="L73" s="101"/>
      <c r="N73" t="s">
        <v>202</v>
      </c>
      <c r="O73" t="s">
        <v>202</v>
      </c>
      <c r="P73" s="103"/>
      <c r="Q73" s="103"/>
      <c r="R73" s="435"/>
      <c r="S73" s="435"/>
      <c r="U73" s="81"/>
      <c r="V73" s="81" t="str">
        <f>IF(U73="","",VLOOKUP(U73,'1.3 Lists'!$L$10:$M$313,2,FALSE))</f>
        <v/>
      </c>
      <c r="AC73" t="s">
        <v>3</v>
      </c>
      <c r="AD73" s="81"/>
      <c r="AE73" s="81"/>
      <c r="AF73" s="81"/>
      <c r="AG73" s="81"/>
      <c r="AH73" s="81"/>
      <c r="AI73" s="81"/>
      <c r="AJ73" s="81"/>
    </row>
    <row r="74" spans="1:36">
      <c r="D74" t="s">
        <v>79</v>
      </c>
      <c r="E74" t="s">
        <v>68</v>
      </c>
      <c r="F74" s="435" t="s">
        <v>1869</v>
      </c>
      <c r="G74" s="435" t="s">
        <v>86</v>
      </c>
      <c r="H74" t="s">
        <v>264</v>
      </c>
      <c r="I74" t="s">
        <v>7</v>
      </c>
      <c r="J74" t="s">
        <v>299</v>
      </c>
      <c r="K74" s="101"/>
      <c r="L74" s="101"/>
      <c r="N74" t="s">
        <v>202</v>
      </c>
      <c r="O74" t="s">
        <v>202</v>
      </c>
      <c r="P74" s="81"/>
      <c r="Q74" s="81"/>
      <c r="R74" s="435"/>
      <c r="S74" s="435"/>
      <c r="U74" s="81"/>
      <c r="V74" s="81" t="str">
        <f>IF(U74="","",VLOOKUP(U74,'1.3 Lists'!$L$10:$M$313,2,FALSE))</f>
        <v/>
      </c>
      <c r="AC74" t="s">
        <v>3</v>
      </c>
      <c r="AD74" s="81"/>
      <c r="AE74" s="81"/>
      <c r="AF74" s="81"/>
      <c r="AG74" s="81"/>
      <c r="AH74" s="81"/>
      <c r="AI74" s="81"/>
      <c r="AJ74" s="81"/>
    </row>
    <row r="75" spans="1:36">
      <c r="D75" t="s">
        <v>79</v>
      </c>
      <c r="E75" t="s">
        <v>68</v>
      </c>
      <c r="F75" s="435" t="s">
        <v>1869</v>
      </c>
      <c r="G75" s="435" t="s">
        <v>86</v>
      </c>
      <c r="H75" t="s">
        <v>264</v>
      </c>
      <c r="I75" t="s">
        <v>7</v>
      </c>
      <c r="J75" t="s">
        <v>299</v>
      </c>
      <c r="K75" s="101"/>
      <c r="L75" s="101"/>
      <c r="N75" t="s">
        <v>202</v>
      </c>
      <c r="O75" t="s">
        <v>202</v>
      </c>
      <c r="P75" s="81"/>
      <c r="Q75" s="81"/>
      <c r="R75" s="435"/>
      <c r="S75" s="435"/>
      <c r="U75" s="81"/>
      <c r="V75" s="81" t="str">
        <f>IF(U75="","",VLOOKUP(U75,'1.3 Lists'!$L$10:$M$313,2,FALSE))</f>
        <v/>
      </c>
      <c r="AC75" t="s">
        <v>3</v>
      </c>
      <c r="AD75" s="81"/>
      <c r="AE75" s="81"/>
      <c r="AF75" s="81"/>
      <c r="AG75" s="81"/>
      <c r="AH75" s="81"/>
      <c r="AI75" s="81"/>
      <c r="AJ75" s="81"/>
    </row>
    <row r="76" spans="1:36">
      <c r="D76" t="s">
        <v>79</v>
      </c>
      <c r="E76" t="s">
        <v>68</v>
      </c>
      <c r="F76" s="435" t="s">
        <v>1869</v>
      </c>
      <c r="G76" s="435" t="s">
        <v>86</v>
      </c>
      <c r="H76" t="s">
        <v>264</v>
      </c>
      <c r="I76" t="s">
        <v>7</v>
      </c>
      <c r="J76" t="s">
        <v>299</v>
      </c>
      <c r="K76" s="101"/>
      <c r="L76" s="101"/>
      <c r="N76" t="s">
        <v>202</v>
      </c>
      <c r="O76" t="s">
        <v>202</v>
      </c>
      <c r="P76" s="81"/>
      <c r="Q76" s="81"/>
      <c r="R76" s="435"/>
      <c r="S76" s="435"/>
      <c r="U76" s="81"/>
      <c r="V76" s="81" t="str">
        <f>IF(U76="","",VLOOKUP(U76,'1.3 Lists'!$L$10:$M$313,2,FALSE))</f>
        <v/>
      </c>
      <c r="AC76" t="s">
        <v>3</v>
      </c>
      <c r="AD76" s="81"/>
      <c r="AE76" s="81"/>
      <c r="AF76" s="81"/>
      <c r="AG76" s="81"/>
      <c r="AH76" s="81"/>
      <c r="AI76" s="81"/>
      <c r="AJ76" s="81"/>
    </row>
    <row r="77" spans="1:36">
      <c r="D77" t="s">
        <v>79</v>
      </c>
      <c r="E77" t="s">
        <v>68</v>
      </c>
      <c r="F77" s="435" t="s">
        <v>1869</v>
      </c>
      <c r="G77" s="435" t="s">
        <v>86</v>
      </c>
      <c r="H77" t="s">
        <v>264</v>
      </c>
      <c r="I77" t="s">
        <v>7</v>
      </c>
      <c r="J77" t="s">
        <v>299</v>
      </c>
      <c r="K77" s="101"/>
      <c r="L77" s="101"/>
      <c r="N77" t="s">
        <v>202</v>
      </c>
      <c r="O77" t="s">
        <v>202</v>
      </c>
      <c r="P77" s="81"/>
      <c r="Q77" s="81"/>
      <c r="R77" s="435"/>
      <c r="S77" s="435"/>
      <c r="U77" s="81"/>
      <c r="V77" s="81" t="str">
        <f>IF(U77="","",VLOOKUP(U77,'1.3 Lists'!$L$10:$M$313,2,FALSE))</f>
        <v/>
      </c>
      <c r="AC77" t="s">
        <v>3</v>
      </c>
      <c r="AD77" s="81"/>
      <c r="AE77" s="81"/>
      <c r="AF77" s="81"/>
      <c r="AG77" s="81"/>
      <c r="AH77" s="81"/>
      <c r="AI77" s="81"/>
      <c r="AJ77" s="81"/>
    </row>
    <row r="78" spans="1:36">
      <c r="D78" t="s">
        <v>79</v>
      </c>
      <c r="E78" t="s">
        <v>68</v>
      </c>
      <c r="F78" s="435" t="s">
        <v>1869</v>
      </c>
      <c r="G78" s="435" t="s">
        <v>86</v>
      </c>
      <c r="H78" t="s">
        <v>264</v>
      </c>
      <c r="I78" t="s">
        <v>7</v>
      </c>
      <c r="J78" t="s">
        <v>299</v>
      </c>
      <c r="K78" s="101"/>
      <c r="L78" s="101"/>
      <c r="N78" t="s">
        <v>202</v>
      </c>
      <c r="O78" t="s">
        <v>202</v>
      </c>
      <c r="P78" s="81"/>
      <c r="Q78" s="81"/>
      <c r="R78" s="435"/>
      <c r="S78" s="435"/>
      <c r="U78" s="81"/>
      <c r="V78" s="81" t="str">
        <f>IF(U78="","",VLOOKUP(U78,'1.3 Lists'!$L$10:$M$313,2,FALSE))</f>
        <v/>
      </c>
      <c r="AC78" t="s">
        <v>3</v>
      </c>
      <c r="AD78" s="81"/>
      <c r="AE78" s="81"/>
      <c r="AF78" s="81"/>
      <c r="AG78" s="81"/>
      <c r="AH78" s="81"/>
      <c r="AI78" s="81"/>
      <c r="AJ78" s="81"/>
    </row>
    <row r="79" spans="1:36">
      <c r="D79" t="s">
        <v>79</v>
      </c>
      <c r="E79" t="s">
        <v>68</v>
      </c>
      <c r="F79" s="435" t="s">
        <v>1869</v>
      </c>
      <c r="G79" s="435" t="s">
        <v>86</v>
      </c>
      <c r="H79" t="s">
        <v>264</v>
      </c>
      <c r="I79" t="s">
        <v>7</v>
      </c>
      <c r="J79" t="s">
        <v>299</v>
      </c>
      <c r="K79" s="101"/>
      <c r="L79" s="101"/>
      <c r="N79" t="s">
        <v>202</v>
      </c>
      <c r="O79" t="s">
        <v>202</v>
      </c>
      <c r="P79" s="81"/>
      <c r="Q79" s="81"/>
      <c r="R79" s="435"/>
      <c r="S79" s="435"/>
      <c r="U79" s="81"/>
      <c r="V79" s="81" t="str">
        <f>IF(U79="","",VLOOKUP(U79,'1.3 Lists'!$L$10:$M$313,2,FALSE))</f>
        <v/>
      </c>
      <c r="AC79" t="s">
        <v>3</v>
      </c>
      <c r="AD79" s="81"/>
      <c r="AE79" s="81"/>
      <c r="AF79" s="81"/>
      <c r="AG79" s="81"/>
      <c r="AH79" s="81"/>
      <c r="AI79" s="81"/>
      <c r="AJ79" s="81"/>
    </row>
    <row r="80" spans="1:36">
      <c r="D80" t="s">
        <v>79</v>
      </c>
      <c r="E80" t="s">
        <v>68</v>
      </c>
      <c r="F80" s="435" t="s">
        <v>1869</v>
      </c>
      <c r="G80" s="435" t="s">
        <v>86</v>
      </c>
      <c r="H80" t="s">
        <v>264</v>
      </c>
      <c r="I80" t="s">
        <v>7</v>
      </c>
      <c r="J80" t="s">
        <v>299</v>
      </c>
      <c r="K80" s="101"/>
      <c r="L80" s="101"/>
      <c r="N80" t="s">
        <v>202</v>
      </c>
      <c r="O80" t="s">
        <v>202</v>
      </c>
      <c r="P80" s="81"/>
      <c r="Q80" s="81"/>
      <c r="R80" s="435"/>
      <c r="S80" s="435"/>
      <c r="U80" s="81"/>
      <c r="V80" s="81" t="str">
        <f>IF(U80="","",VLOOKUP(U80,'1.3 Lists'!$L$10:$M$313,2,FALSE))</f>
        <v/>
      </c>
      <c r="AC80" t="s">
        <v>3</v>
      </c>
      <c r="AD80" s="81"/>
      <c r="AE80" s="81"/>
      <c r="AF80" s="81"/>
      <c r="AG80" s="81"/>
      <c r="AH80" s="81"/>
      <c r="AI80" s="81"/>
      <c r="AJ80" s="81"/>
    </row>
    <row r="81" spans="4:36">
      <c r="D81" t="s">
        <v>79</v>
      </c>
      <c r="E81" t="s">
        <v>68</v>
      </c>
      <c r="F81" s="435" t="s">
        <v>1869</v>
      </c>
      <c r="G81" s="435" t="s">
        <v>86</v>
      </c>
      <c r="H81" t="s">
        <v>264</v>
      </c>
      <c r="I81" t="s">
        <v>7</v>
      </c>
      <c r="J81" t="s">
        <v>299</v>
      </c>
      <c r="K81" s="101"/>
      <c r="L81" s="101"/>
      <c r="N81" t="s">
        <v>202</v>
      </c>
      <c r="O81" t="s">
        <v>202</v>
      </c>
      <c r="P81" s="81"/>
      <c r="Q81" s="81"/>
      <c r="R81" s="435"/>
      <c r="S81" s="435"/>
      <c r="U81" s="81"/>
      <c r="V81" s="81" t="str">
        <f>IF(U81="","",VLOOKUP(U81,'1.3 Lists'!$L$10:$M$313,2,FALSE))</f>
        <v/>
      </c>
      <c r="AC81" t="s">
        <v>3</v>
      </c>
      <c r="AD81" s="81"/>
      <c r="AE81" s="81"/>
      <c r="AF81" s="81"/>
      <c r="AG81" s="81"/>
      <c r="AH81" s="81"/>
      <c r="AI81" s="81"/>
      <c r="AJ81" s="81"/>
    </row>
    <row r="82" spans="4:36">
      <c r="D82" t="s">
        <v>79</v>
      </c>
      <c r="E82" t="s">
        <v>68</v>
      </c>
      <c r="F82" s="435" t="s">
        <v>1869</v>
      </c>
      <c r="G82" s="435" t="s">
        <v>86</v>
      </c>
      <c r="H82" t="s">
        <v>264</v>
      </c>
      <c r="I82" t="s">
        <v>7</v>
      </c>
      <c r="J82" t="s">
        <v>299</v>
      </c>
      <c r="K82" s="101"/>
      <c r="L82" s="101"/>
      <c r="N82" t="s">
        <v>202</v>
      </c>
      <c r="O82" t="s">
        <v>202</v>
      </c>
      <c r="P82" s="81"/>
      <c r="Q82" s="81"/>
      <c r="R82" s="435"/>
      <c r="S82" s="435"/>
      <c r="U82" s="81"/>
      <c r="V82" s="81" t="str">
        <f>IF(U82="","",VLOOKUP(U82,'1.3 Lists'!$L$10:$M$313,2,FALSE))</f>
        <v/>
      </c>
      <c r="AC82" t="s">
        <v>3</v>
      </c>
      <c r="AD82" s="81"/>
      <c r="AE82" s="81"/>
      <c r="AF82" s="81"/>
      <c r="AG82" s="81"/>
      <c r="AH82" s="81"/>
      <c r="AI82" s="81"/>
      <c r="AJ82" s="81"/>
    </row>
    <row r="83" spans="4:36">
      <c r="D83" t="s">
        <v>79</v>
      </c>
      <c r="E83" t="s">
        <v>68</v>
      </c>
      <c r="F83" s="435" t="s">
        <v>1869</v>
      </c>
      <c r="G83" s="435" t="s">
        <v>86</v>
      </c>
      <c r="H83" t="s">
        <v>264</v>
      </c>
      <c r="I83" t="s">
        <v>7</v>
      </c>
      <c r="J83" t="s">
        <v>299</v>
      </c>
      <c r="K83" s="101"/>
      <c r="L83" s="101"/>
      <c r="N83" t="s">
        <v>202</v>
      </c>
      <c r="O83" t="s">
        <v>202</v>
      </c>
      <c r="P83" s="81"/>
      <c r="Q83" s="81"/>
      <c r="R83" s="435"/>
      <c r="S83" s="435"/>
      <c r="U83" s="81"/>
      <c r="V83" s="81" t="str">
        <f>IF(U83="","",VLOOKUP(U83,'1.3 Lists'!$L$10:$M$313,2,FALSE))</f>
        <v/>
      </c>
      <c r="AC83" t="s">
        <v>3</v>
      </c>
      <c r="AD83" s="81"/>
      <c r="AE83" s="81"/>
      <c r="AF83" s="81"/>
      <c r="AG83" s="81"/>
      <c r="AH83" s="81"/>
      <c r="AI83" s="81"/>
      <c r="AJ83" s="81"/>
    </row>
    <row r="84" spans="4:36">
      <c r="D84" t="s">
        <v>79</v>
      </c>
      <c r="E84" t="s">
        <v>68</v>
      </c>
      <c r="F84" s="435" t="s">
        <v>1869</v>
      </c>
      <c r="G84" s="435" t="s">
        <v>86</v>
      </c>
      <c r="H84" t="s">
        <v>264</v>
      </c>
      <c r="I84" t="s">
        <v>7</v>
      </c>
      <c r="J84" t="s">
        <v>299</v>
      </c>
      <c r="K84" s="101"/>
      <c r="L84" s="101"/>
      <c r="N84" t="s">
        <v>202</v>
      </c>
      <c r="O84" t="s">
        <v>202</v>
      </c>
      <c r="P84" s="81"/>
      <c r="Q84" s="81"/>
      <c r="R84" s="435"/>
      <c r="S84" s="435"/>
      <c r="U84" s="81"/>
      <c r="V84" s="81" t="str">
        <f>IF(U84="","",VLOOKUP(U84,'1.3 Lists'!$L$10:$M$313,2,FALSE))</f>
        <v/>
      </c>
      <c r="AC84" t="s">
        <v>3</v>
      </c>
      <c r="AD84" s="81"/>
      <c r="AE84" s="81"/>
      <c r="AF84" s="81"/>
      <c r="AG84" s="81"/>
      <c r="AH84" s="81"/>
      <c r="AI84" s="81"/>
      <c r="AJ84" s="81"/>
    </row>
    <row r="85" spans="4:36">
      <c r="D85" t="s">
        <v>79</v>
      </c>
      <c r="E85" t="s">
        <v>68</v>
      </c>
      <c r="F85" s="435" t="s">
        <v>1869</v>
      </c>
      <c r="G85" s="435" t="s">
        <v>86</v>
      </c>
      <c r="H85" t="s">
        <v>264</v>
      </c>
      <c r="I85" t="s">
        <v>7</v>
      </c>
      <c r="J85" t="s">
        <v>299</v>
      </c>
      <c r="K85" s="101"/>
      <c r="L85" s="101"/>
      <c r="N85" t="s">
        <v>202</v>
      </c>
      <c r="O85" t="s">
        <v>202</v>
      </c>
      <c r="P85" s="81"/>
      <c r="Q85" s="81"/>
      <c r="R85" s="435"/>
      <c r="S85" s="435"/>
      <c r="U85" s="81"/>
      <c r="V85" s="81" t="str">
        <f>IF(U85="","",VLOOKUP(U85,'1.3 Lists'!$L$10:$M$313,2,FALSE))</f>
        <v/>
      </c>
      <c r="AC85" t="s">
        <v>3</v>
      </c>
      <c r="AD85" s="81"/>
      <c r="AE85" s="81"/>
      <c r="AF85" s="81"/>
      <c r="AG85" s="81"/>
      <c r="AH85" s="81"/>
      <c r="AI85" s="81"/>
      <c r="AJ85" s="81"/>
    </row>
    <row r="86" spans="4:36">
      <c r="D86" t="s">
        <v>79</v>
      </c>
      <c r="E86" t="s">
        <v>68</v>
      </c>
      <c r="F86" s="435" t="s">
        <v>1869</v>
      </c>
      <c r="G86" s="435" t="s">
        <v>86</v>
      </c>
      <c r="H86" t="s">
        <v>264</v>
      </c>
      <c r="I86" t="s">
        <v>7</v>
      </c>
      <c r="J86" t="s">
        <v>299</v>
      </c>
      <c r="K86" s="101"/>
      <c r="L86" s="101"/>
      <c r="N86" t="s">
        <v>202</v>
      </c>
      <c r="O86" t="s">
        <v>202</v>
      </c>
      <c r="P86" s="81"/>
      <c r="Q86" s="81"/>
      <c r="R86" s="435"/>
      <c r="S86" s="435"/>
      <c r="U86" s="81"/>
      <c r="V86" s="81" t="str">
        <f>IF(U86="","",VLOOKUP(U86,'1.3 Lists'!$L$10:$M$313,2,FALSE))</f>
        <v/>
      </c>
      <c r="AC86" t="s">
        <v>3</v>
      </c>
      <c r="AD86" s="81"/>
      <c r="AE86" s="81"/>
      <c r="AF86" s="81"/>
      <c r="AG86" s="81"/>
      <c r="AH86" s="81"/>
      <c r="AI86" s="81"/>
      <c r="AJ86" s="81"/>
    </row>
    <row r="87" spans="4:36">
      <c r="D87" t="s">
        <v>79</v>
      </c>
      <c r="E87" t="s">
        <v>68</v>
      </c>
      <c r="F87" s="435" t="s">
        <v>1869</v>
      </c>
      <c r="G87" s="435" t="s">
        <v>86</v>
      </c>
      <c r="H87" t="s">
        <v>264</v>
      </c>
      <c r="I87" t="s">
        <v>7</v>
      </c>
      <c r="J87" t="s">
        <v>299</v>
      </c>
      <c r="K87" s="101"/>
      <c r="L87" s="101"/>
      <c r="N87" t="s">
        <v>202</v>
      </c>
      <c r="O87" t="s">
        <v>202</v>
      </c>
      <c r="P87" s="81"/>
      <c r="Q87" s="81"/>
      <c r="R87" s="435"/>
      <c r="S87" s="435"/>
      <c r="U87" s="81"/>
      <c r="V87" s="81" t="str">
        <f>IF(U87="","",VLOOKUP(U87,'1.3 Lists'!$L$10:$M$313,2,FALSE))</f>
        <v/>
      </c>
      <c r="AC87" t="s">
        <v>3</v>
      </c>
      <c r="AD87" s="81"/>
      <c r="AE87" s="81"/>
      <c r="AF87" s="81"/>
      <c r="AG87" s="81"/>
      <c r="AH87" s="81"/>
      <c r="AI87" s="81"/>
      <c r="AJ87" s="81"/>
    </row>
    <row r="88" spans="4:36">
      <c r="D88" t="s">
        <v>79</v>
      </c>
      <c r="E88" t="s">
        <v>68</v>
      </c>
      <c r="F88" s="435" t="s">
        <v>1869</v>
      </c>
      <c r="G88" s="435" t="s">
        <v>86</v>
      </c>
      <c r="H88" t="s">
        <v>264</v>
      </c>
      <c r="I88" t="s">
        <v>7</v>
      </c>
      <c r="J88" t="s">
        <v>299</v>
      </c>
      <c r="K88" s="101"/>
      <c r="L88" s="101"/>
      <c r="N88" t="s">
        <v>202</v>
      </c>
      <c r="O88" t="s">
        <v>202</v>
      </c>
      <c r="P88" s="81"/>
      <c r="Q88" s="81"/>
      <c r="R88" s="435"/>
      <c r="S88" s="435"/>
      <c r="U88" s="81"/>
      <c r="V88" s="81" t="str">
        <f>IF(U88="","",VLOOKUP(U88,'1.3 Lists'!$L$10:$M$313,2,FALSE))</f>
        <v/>
      </c>
      <c r="AC88" t="s">
        <v>3</v>
      </c>
      <c r="AD88" s="81"/>
      <c r="AE88" s="81"/>
      <c r="AF88" s="81"/>
      <c r="AG88" s="81"/>
      <c r="AH88" s="81"/>
      <c r="AI88" s="81"/>
      <c r="AJ88" s="81"/>
    </row>
    <row r="89" spans="4:36">
      <c r="D89" t="s">
        <v>79</v>
      </c>
      <c r="E89" t="s">
        <v>68</v>
      </c>
      <c r="F89" s="435" t="s">
        <v>1869</v>
      </c>
      <c r="G89" s="435" t="s">
        <v>86</v>
      </c>
      <c r="H89" t="s">
        <v>264</v>
      </c>
      <c r="I89" t="s">
        <v>7</v>
      </c>
      <c r="J89" t="s">
        <v>299</v>
      </c>
      <c r="K89" s="101"/>
      <c r="L89" s="101"/>
      <c r="N89" t="s">
        <v>202</v>
      </c>
      <c r="O89" t="s">
        <v>202</v>
      </c>
      <c r="P89" s="81"/>
      <c r="Q89" s="81"/>
      <c r="R89" s="435"/>
      <c r="S89" s="435"/>
      <c r="U89" s="81"/>
      <c r="V89" s="81" t="str">
        <f>IF(U89="","",VLOOKUP(U89,'1.3 Lists'!$L$10:$M$313,2,FALSE))</f>
        <v/>
      </c>
      <c r="AC89" t="s">
        <v>3</v>
      </c>
      <c r="AD89" s="81"/>
      <c r="AE89" s="81"/>
      <c r="AF89" s="81"/>
      <c r="AG89" s="81"/>
      <c r="AH89" s="81"/>
      <c r="AI89" s="81"/>
      <c r="AJ89" s="81"/>
    </row>
    <row r="90" spans="4:36">
      <c r="D90" t="s">
        <v>79</v>
      </c>
      <c r="E90" t="s">
        <v>68</v>
      </c>
      <c r="F90" s="435" t="s">
        <v>1869</v>
      </c>
      <c r="G90" s="435" t="s">
        <v>86</v>
      </c>
      <c r="H90" t="s">
        <v>264</v>
      </c>
      <c r="I90" t="s">
        <v>7</v>
      </c>
      <c r="J90" t="s">
        <v>299</v>
      </c>
      <c r="K90" s="101"/>
      <c r="L90" s="101"/>
      <c r="N90" t="s">
        <v>202</v>
      </c>
      <c r="O90" t="s">
        <v>202</v>
      </c>
      <c r="P90" s="81"/>
      <c r="Q90" s="81"/>
      <c r="R90" s="435"/>
      <c r="S90" s="435"/>
      <c r="U90" s="81"/>
      <c r="V90" s="81" t="str">
        <f>IF(U90="","",VLOOKUP(U90,'1.3 Lists'!$L$10:$M$313,2,FALSE))</f>
        <v/>
      </c>
      <c r="AC90" t="s">
        <v>3</v>
      </c>
      <c r="AD90" s="81"/>
      <c r="AE90" s="81"/>
      <c r="AF90" s="81"/>
      <c r="AG90" s="81"/>
      <c r="AH90" s="81"/>
      <c r="AI90" s="81"/>
      <c r="AJ90" s="81"/>
    </row>
    <row r="91" spans="4:36">
      <c r="D91" t="s">
        <v>79</v>
      </c>
      <c r="E91" t="s">
        <v>68</v>
      </c>
      <c r="F91" s="435" t="s">
        <v>1869</v>
      </c>
      <c r="G91" s="435" t="s">
        <v>86</v>
      </c>
      <c r="H91" t="s">
        <v>264</v>
      </c>
      <c r="I91" t="s">
        <v>7</v>
      </c>
      <c r="J91" t="s">
        <v>299</v>
      </c>
      <c r="K91" s="101"/>
      <c r="L91" s="101"/>
      <c r="N91" t="s">
        <v>202</v>
      </c>
      <c r="O91" t="s">
        <v>202</v>
      </c>
      <c r="P91" s="81"/>
      <c r="Q91" s="81"/>
      <c r="R91" s="435"/>
      <c r="S91" s="435"/>
      <c r="U91" s="81"/>
      <c r="V91" s="81" t="str">
        <f>IF(U91="","",VLOOKUP(U91,'1.3 Lists'!$L$10:$M$313,2,FALSE))</f>
        <v/>
      </c>
      <c r="AC91" t="s">
        <v>3</v>
      </c>
      <c r="AD91" s="81"/>
      <c r="AE91" s="81"/>
      <c r="AF91" s="81"/>
      <c r="AG91" s="81"/>
      <c r="AH91" s="81"/>
      <c r="AI91" s="81"/>
      <c r="AJ91" s="81"/>
    </row>
    <row r="92" spans="4:36">
      <c r="D92" t="s">
        <v>79</v>
      </c>
      <c r="E92" t="s">
        <v>68</v>
      </c>
      <c r="F92" s="435" t="s">
        <v>1869</v>
      </c>
      <c r="G92" s="435" t="s">
        <v>86</v>
      </c>
      <c r="H92" t="s">
        <v>264</v>
      </c>
      <c r="I92" t="s">
        <v>7</v>
      </c>
      <c r="J92" t="s">
        <v>299</v>
      </c>
      <c r="K92" s="101"/>
      <c r="L92" s="101"/>
      <c r="N92" t="s">
        <v>202</v>
      </c>
      <c r="O92" t="s">
        <v>202</v>
      </c>
      <c r="P92" s="81"/>
      <c r="Q92" s="81"/>
      <c r="R92" s="435"/>
      <c r="S92" s="435"/>
      <c r="U92" s="81"/>
      <c r="V92" s="81" t="str">
        <f>IF(U92="","",VLOOKUP(U92,'1.3 Lists'!$L$10:$M$313,2,FALSE))</f>
        <v/>
      </c>
      <c r="AC92" t="s">
        <v>3</v>
      </c>
      <c r="AD92" s="81"/>
      <c r="AE92" s="81"/>
      <c r="AF92" s="81"/>
      <c r="AG92" s="81"/>
      <c r="AH92" s="81"/>
      <c r="AI92" s="81"/>
      <c r="AJ92" s="81"/>
    </row>
    <row r="93" spans="4:36">
      <c r="D93" t="s">
        <v>79</v>
      </c>
      <c r="E93" t="s">
        <v>68</v>
      </c>
      <c r="F93" s="435" t="s">
        <v>1869</v>
      </c>
      <c r="G93" s="435" t="s">
        <v>86</v>
      </c>
      <c r="H93" t="s">
        <v>264</v>
      </c>
      <c r="I93" t="s">
        <v>7</v>
      </c>
      <c r="J93" t="s">
        <v>299</v>
      </c>
      <c r="K93" s="101"/>
      <c r="L93" s="101"/>
      <c r="N93" t="s">
        <v>202</v>
      </c>
      <c r="O93" t="s">
        <v>202</v>
      </c>
      <c r="P93" s="81"/>
      <c r="Q93" s="81"/>
      <c r="R93" s="435"/>
      <c r="S93" s="435"/>
      <c r="U93" s="81"/>
      <c r="V93" s="81" t="str">
        <f>IF(U93="","",VLOOKUP(U93,'1.3 Lists'!$L$10:$M$313,2,FALSE))</f>
        <v/>
      </c>
      <c r="AC93" t="s">
        <v>3</v>
      </c>
      <c r="AD93" s="81"/>
      <c r="AE93" s="81"/>
      <c r="AF93" s="81"/>
      <c r="AG93" s="81"/>
      <c r="AH93" s="81"/>
      <c r="AI93" s="81"/>
      <c r="AJ93" s="81"/>
    </row>
    <row r="94" spans="4:36">
      <c r="D94" t="s">
        <v>79</v>
      </c>
      <c r="E94" t="s">
        <v>68</v>
      </c>
      <c r="F94" s="435" t="s">
        <v>1869</v>
      </c>
      <c r="G94" s="435" t="s">
        <v>86</v>
      </c>
      <c r="H94" t="s">
        <v>264</v>
      </c>
      <c r="I94" t="s">
        <v>7</v>
      </c>
      <c r="J94" t="s">
        <v>299</v>
      </c>
      <c r="K94" s="101"/>
      <c r="L94" s="101"/>
      <c r="N94" t="s">
        <v>202</v>
      </c>
      <c r="O94" t="s">
        <v>202</v>
      </c>
      <c r="P94" s="81"/>
      <c r="Q94" s="81"/>
      <c r="R94" s="435"/>
      <c r="S94" s="435"/>
      <c r="U94" s="81"/>
      <c r="V94" s="81" t="str">
        <f>IF(U94="","",VLOOKUP(U94,'1.3 Lists'!$L$10:$M$313,2,FALSE))</f>
        <v/>
      </c>
      <c r="AC94" t="s">
        <v>3</v>
      </c>
      <c r="AD94" s="81"/>
      <c r="AE94" s="81"/>
      <c r="AF94" s="81"/>
      <c r="AG94" s="81"/>
      <c r="AH94" s="81"/>
      <c r="AI94" s="81"/>
      <c r="AJ94" s="81"/>
    </row>
    <row r="95" spans="4:36">
      <c r="D95" t="s">
        <v>79</v>
      </c>
      <c r="E95" t="s">
        <v>68</v>
      </c>
      <c r="F95" s="435" t="s">
        <v>1869</v>
      </c>
      <c r="G95" s="435" t="s">
        <v>86</v>
      </c>
      <c r="H95" t="s">
        <v>264</v>
      </c>
      <c r="I95" t="s">
        <v>7</v>
      </c>
      <c r="J95" t="s">
        <v>299</v>
      </c>
      <c r="K95" s="101"/>
      <c r="L95" s="101"/>
      <c r="N95" t="s">
        <v>202</v>
      </c>
      <c r="O95" t="s">
        <v>202</v>
      </c>
      <c r="P95" s="81"/>
      <c r="Q95" s="81"/>
      <c r="R95" s="435"/>
      <c r="S95" s="435"/>
      <c r="U95" s="81"/>
      <c r="V95" s="81" t="str">
        <f>IF(U95="","",VLOOKUP(U95,'1.3 Lists'!$L$10:$M$313,2,FALSE))</f>
        <v/>
      </c>
      <c r="AC95" t="s">
        <v>3</v>
      </c>
      <c r="AD95" s="81"/>
      <c r="AE95" s="81"/>
      <c r="AF95" s="81"/>
      <c r="AG95" s="81"/>
      <c r="AH95" s="81"/>
      <c r="AI95" s="81"/>
      <c r="AJ95" s="81"/>
    </row>
    <row r="96" spans="4:36">
      <c r="D96" t="s">
        <v>79</v>
      </c>
      <c r="E96" t="s">
        <v>68</v>
      </c>
      <c r="F96" s="435" t="s">
        <v>1869</v>
      </c>
      <c r="G96" s="435" t="s">
        <v>86</v>
      </c>
      <c r="H96" t="s">
        <v>264</v>
      </c>
      <c r="I96" t="s">
        <v>7</v>
      </c>
      <c r="J96" t="s">
        <v>299</v>
      </c>
      <c r="K96" s="101"/>
      <c r="L96" s="101"/>
      <c r="N96" t="s">
        <v>202</v>
      </c>
      <c r="O96" t="s">
        <v>202</v>
      </c>
      <c r="P96" s="81"/>
      <c r="Q96" s="81"/>
      <c r="R96" s="435"/>
      <c r="S96" s="435"/>
      <c r="U96" s="81"/>
      <c r="V96" s="81" t="str">
        <f>IF(U96="","",VLOOKUP(U96,'1.3 Lists'!$L$10:$M$313,2,FALSE))</f>
        <v/>
      </c>
      <c r="AC96" t="s">
        <v>3</v>
      </c>
      <c r="AD96" s="81"/>
      <c r="AE96" s="81"/>
      <c r="AF96" s="81"/>
      <c r="AG96" s="81"/>
      <c r="AH96" s="81"/>
      <c r="AI96" s="81"/>
      <c r="AJ96" s="81"/>
    </row>
    <row r="97" spans="4:36">
      <c r="D97" t="s">
        <v>79</v>
      </c>
      <c r="E97" t="s">
        <v>68</v>
      </c>
      <c r="F97" s="435" t="s">
        <v>1869</v>
      </c>
      <c r="G97" s="435" t="s">
        <v>86</v>
      </c>
      <c r="H97" t="s">
        <v>264</v>
      </c>
      <c r="I97" t="s">
        <v>7</v>
      </c>
      <c r="J97" t="s">
        <v>299</v>
      </c>
      <c r="K97" s="101"/>
      <c r="L97" s="101"/>
      <c r="N97" t="s">
        <v>202</v>
      </c>
      <c r="O97" t="s">
        <v>202</v>
      </c>
      <c r="P97" s="81"/>
      <c r="Q97" s="81"/>
      <c r="R97" s="435"/>
      <c r="S97" s="435"/>
      <c r="U97" s="81"/>
      <c r="V97" s="81" t="str">
        <f>IF(U97="","",VLOOKUP(U97,'1.3 Lists'!$L$10:$M$313,2,FALSE))</f>
        <v/>
      </c>
      <c r="AC97" t="s">
        <v>3</v>
      </c>
      <c r="AD97" s="81"/>
      <c r="AE97" s="81"/>
      <c r="AF97" s="81"/>
      <c r="AG97" s="81"/>
      <c r="AH97" s="81"/>
      <c r="AI97" s="81"/>
      <c r="AJ97" s="81"/>
    </row>
    <row r="98" spans="4:36">
      <c r="D98" t="s">
        <v>79</v>
      </c>
      <c r="E98" t="s">
        <v>68</v>
      </c>
      <c r="F98" s="435" t="s">
        <v>1869</v>
      </c>
      <c r="G98" s="435" t="s">
        <v>86</v>
      </c>
      <c r="H98" t="s">
        <v>264</v>
      </c>
      <c r="I98" t="s">
        <v>7</v>
      </c>
      <c r="J98" t="s">
        <v>299</v>
      </c>
      <c r="K98" s="101"/>
      <c r="L98" s="101"/>
      <c r="N98" t="s">
        <v>202</v>
      </c>
      <c r="O98" t="s">
        <v>202</v>
      </c>
      <c r="P98" s="81"/>
      <c r="Q98" s="81"/>
      <c r="R98" s="435"/>
      <c r="S98" s="435"/>
      <c r="U98" s="81"/>
      <c r="V98" s="81" t="str">
        <f>IF(U98="","",VLOOKUP(U98,'1.3 Lists'!$L$10:$M$313,2,FALSE))</f>
        <v/>
      </c>
      <c r="AC98" t="s">
        <v>3</v>
      </c>
      <c r="AD98" s="81"/>
      <c r="AE98" s="81"/>
      <c r="AF98" s="81"/>
      <c r="AG98" s="81"/>
      <c r="AH98" s="81"/>
      <c r="AI98" s="81"/>
      <c r="AJ98" s="81"/>
    </row>
    <row r="99" spans="4:36">
      <c r="D99" t="s">
        <v>79</v>
      </c>
      <c r="E99" t="s">
        <v>68</v>
      </c>
      <c r="F99" s="435" t="s">
        <v>1869</v>
      </c>
      <c r="G99" s="435" t="s">
        <v>86</v>
      </c>
      <c r="H99" t="s">
        <v>264</v>
      </c>
      <c r="I99" t="s">
        <v>7</v>
      </c>
      <c r="J99" t="s">
        <v>299</v>
      </c>
      <c r="K99" s="101"/>
      <c r="L99" s="101"/>
      <c r="N99" t="s">
        <v>202</v>
      </c>
      <c r="O99" t="s">
        <v>202</v>
      </c>
      <c r="P99" s="81"/>
      <c r="Q99" s="81"/>
      <c r="R99" s="435"/>
      <c r="S99" s="435"/>
      <c r="U99" s="81"/>
      <c r="V99" s="81" t="str">
        <f>IF(U99="","",VLOOKUP(U99,'1.3 Lists'!$L$10:$M$313,2,FALSE))</f>
        <v/>
      </c>
      <c r="AC99" t="s">
        <v>3</v>
      </c>
      <c r="AD99" s="81"/>
      <c r="AE99" s="81"/>
      <c r="AF99" s="81"/>
      <c r="AG99" s="81"/>
      <c r="AH99" s="81"/>
      <c r="AI99" s="81"/>
      <c r="AJ99" s="81"/>
    </row>
    <row r="100" spans="4:36">
      <c r="D100" t="s">
        <v>79</v>
      </c>
      <c r="E100" t="s">
        <v>68</v>
      </c>
      <c r="F100" s="435" t="s">
        <v>1869</v>
      </c>
      <c r="G100" s="435" t="s">
        <v>86</v>
      </c>
      <c r="H100" t="s">
        <v>264</v>
      </c>
      <c r="I100" t="s">
        <v>7</v>
      </c>
      <c r="J100" t="s">
        <v>299</v>
      </c>
      <c r="K100" s="101"/>
      <c r="L100" s="101"/>
      <c r="N100" t="s">
        <v>202</v>
      </c>
      <c r="O100" t="s">
        <v>202</v>
      </c>
      <c r="P100" s="81"/>
      <c r="Q100" s="81"/>
      <c r="R100" s="435"/>
      <c r="S100" s="435"/>
      <c r="U100" s="81"/>
      <c r="V100" s="81" t="str">
        <f>IF(U100="","",VLOOKUP(U100,'1.3 Lists'!$L$10:$M$313,2,FALSE))</f>
        <v/>
      </c>
      <c r="AC100" t="s">
        <v>3</v>
      </c>
      <c r="AD100" s="81"/>
      <c r="AE100" s="81"/>
      <c r="AF100" s="81"/>
      <c r="AG100" s="81"/>
      <c r="AH100" s="81"/>
      <c r="AI100" s="81"/>
      <c r="AJ100" s="81"/>
    </row>
    <row r="101" spans="4:36">
      <c r="D101" t="s">
        <v>79</v>
      </c>
      <c r="E101" t="s">
        <v>68</v>
      </c>
      <c r="F101" s="435" t="s">
        <v>1869</v>
      </c>
      <c r="G101" s="435" t="s">
        <v>86</v>
      </c>
      <c r="H101" t="s">
        <v>264</v>
      </c>
      <c r="I101" t="s">
        <v>7</v>
      </c>
      <c r="J101" t="s">
        <v>299</v>
      </c>
      <c r="K101" s="101"/>
      <c r="L101" s="101"/>
      <c r="N101" t="s">
        <v>202</v>
      </c>
      <c r="O101" t="s">
        <v>202</v>
      </c>
      <c r="P101" s="81"/>
      <c r="Q101" s="81"/>
      <c r="R101" s="435"/>
      <c r="S101" s="435"/>
      <c r="U101" s="81"/>
      <c r="V101" s="81" t="str">
        <f>IF(U101="","",VLOOKUP(U101,'1.3 Lists'!$L$10:$M$313,2,FALSE))</f>
        <v/>
      </c>
      <c r="AC101" t="s">
        <v>3</v>
      </c>
      <c r="AD101" s="81"/>
      <c r="AE101" s="81"/>
      <c r="AF101" s="81"/>
      <c r="AG101" s="81"/>
      <c r="AH101" s="81"/>
      <c r="AI101" s="81"/>
      <c r="AJ101" s="81"/>
    </row>
    <row r="102" spans="4:36">
      <c r="D102" t="s">
        <v>79</v>
      </c>
      <c r="E102" t="s">
        <v>68</v>
      </c>
      <c r="F102" s="435" t="s">
        <v>1869</v>
      </c>
      <c r="G102" s="435" t="s">
        <v>86</v>
      </c>
      <c r="H102" t="s">
        <v>264</v>
      </c>
      <c r="I102" t="s">
        <v>7</v>
      </c>
      <c r="J102" t="s">
        <v>299</v>
      </c>
      <c r="K102" s="101"/>
      <c r="L102" s="101"/>
      <c r="N102" t="s">
        <v>202</v>
      </c>
      <c r="O102" t="s">
        <v>202</v>
      </c>
      <c r="P102" s="81"/>
      <c r="Q102" s="81"/>
      <c r="R102" s="435"/>
      <c r="S102" s="435"/>
      <c r="U102" s="81"/>
      <c r="V102" s="81" t="str">
        <f>IF(U102="","",VLOOKUP(U102,'1.3 Lists'!$L$10:$M$313,2,FALSE))</f>
        <v/>
      </c>
      <c r="AC102" t="s">
        <v>3</v>
      </c>
      <c r="AD102" s="81"/>
      <c r="AE102" s="81"/>
      <c r="AF102" s="81"/>
      <c r="AG102" s="81"/>
      <c r="AH102" s="81"/>
      <c r="AI102" s="81"/>
      <c r="AJ102" s="81"/>
    </row>
    <row r="103" spans="4:36">
      <c r="D103" t="s">
        <v>79</v>
      </c>
      <c r="E103" t="s">
        <v>68</v>
      </c>
      <c r="F103" s="435" t="s">
        <v>1869</v>
      </c>
      <c r="G103" s="435" t="s">
        <v>86</v>
      </c>
      <c r="H103" t="s">
        <v>264</v>
      </c>
      <c r="I103" t="s">
        <v>7</v>
      </c>
      <c r="J103" t="s">
        <v>299</v>
      </c>
      <c r="K103" s="101"/>
      <c r="L103" s="101"/>
      <c r="N103" t="s">
        <v>202</v>
      </c>
      <c r="O103" t="s">
        <v>202</v>
      </c>
      <c r="P103" s="81"/>
      <c r="Q103" s="81"/>
      <c r="R103" s="435"/>
      <c r="S103" s="435"/>
      <c r="U103" s="81"/>
      <c r="V103" s="81" t="str">
        <f>IF(U103="","",VLOOKUP(U103,'1.3 Lists'!$L$10:$M$313,2,FALSE))</f>
        <v/>
      </c>
      <c r="AC103" t="s">
        <v>3</v>
      </c>
      <c r="AD103" s="81"/>
      <c r="AE103" s="81"/>
      <c r="AF103" s="81"/>
      <c r="AG103" s="81"/>
      <c r="AH103" s="81"/>
      <c r="AI103" s="81"/>
      <c r="AJ103" s="81"/>
    </row>
    <row r="104" spans="4:36">
      <c r="D104" t="s">
        <v>79</v>
      </c>
      <c r="E104" t="s">
        <v>68</v>
      </c>
      <c r="F104" s="435" t="s">
        <v>1869</v>
      </c>
      <c r="G104" s="435" t="s">
        <v>86</v>
      </c>
      <c r="H104" t="s">
        <v>264</v>
      </c>
      <c r="I104" t="s">
        <v>7</v>
      </c>
      <c r="J104" t="s">
        <v>299</v>
      </c>
      <c r="K104" s="101"/>
      <c r="L104" s="101"/>
      <c r="N104" t="s">
        <v>202</v>
      </c>
      <c r="O104" t="s">
        <v>202</v>
      </c>
      <c r="P104" s="81"/>
      <c r="Q104" s="81"/>
      <c r="R104" s="435"/>
      <c r="S104" s="435"/>
      <c r="U104" s="81"/>
      <c r="V104" s="81" t="str">
        <f>IF(U104="","",VLOOKUP(U104,'1.3 Lists'!$L$10:$M$313,2,FALSE))</f>
        <v/>
      </c>
      <c r="AC104" t="s">
        <v>3</v>
      </c>
      <c r="AD104" s="81"/>
      <c r="AE104" s="81"/>
      <c r="AF104" s="81"/>
      <c r="AG104" s="81"/>
      <c r="AH104" s="81"/>
      <c r="AI104" s="81"/>
      <c r="AJ104" s="81"/>
    </row>
    <row r="105" spans="4:36">
      <c r="D105" t="s">
        <v>79</v>
      </c>
      <c r="E105" t="s">
        <v>68</v>
      </c>
      <c r="F105" s="435" t="s">
        <v>1869</v>
      </c>
      <c r="G105" s="435" t="s">
        <v>86</v>
      </c>
      <c r="H105" t="s">
        <v>264</v>
      </c>
      <c r="I105" t="s">
        <v>7</v>
      </c>
      <c r="J105" t="s">
        <v>299</v>
      </c>
      <c r="K105" s="101"/>
      <c r="L105" s="101"/>
      <c r="N105" t="s">
        <v>202</v>
      </c>
      <c r="O105" t="s">
        <v>202</v>
      </c>
      <c r="P105" s="81"/>
      <c r="Q105" s="81"/>
      <c r="R105" s="435"/>
      <c r="S105" s="435"/>
      <c r="U105" s="81"/>
      <c r="V105" s="81" t="str">
        <f>IF(U105="","",VLOOKUP(U105,'1.3 Lists'!$L$10:$M$313,2,FALSE))</f>
        <v/>
      </c>
      <c r="AC105" t="s">
        <v>3</v>
      </c>
      <c r="AD105" s="81"/>
      <c r="AE105" s="81"/>
      <c r="AF105" s="81"/>
      <c r="AG105" s="81"/>
      <c r="AH105" s="81"/>
      <c r="AI105" s="81"/>
      <c r="AJ105" s="81"/>
    </row>
    <row r="106" spans="4:36">
      <c r="D106" t="s">
        <v>79</v>
      </c>
      <c r="E106" t="s">
        <v>68</v>
      </c>
      <c r="F106" s="435" t="s">
        <v>1869</v>
      </c>
      <c r="G106" s="435" t="s">
        <v>86</v>
      </c>
      <c r="H106" t="s">
        <v>264</v>
      </c>
      <c r="I106" t="s">
        <v>7</v>
      </c>
      <c r="J106" t="s">
        <v>299</v>
      </c>
      <c r="K106" s="101"/>
      <c r="L106" s="101"/>
      <c r="N106" t="s">
        <v>202</v>
      </c>
      <c r="O106" t="s">
        <v>202</v>
      </c>
      <c r="P106" s="81"/>
      <c r="Q106" s="81"/>
      <c r="R106" s="435"/>
      <c r="S106" s="435"/>
      <c r="U106" s="81"/>
      <c r="V106" s="81" t="str">
        <f>IF(U106="","",VLOOKUP(U106,'1.3 Lists'!$L$10:$M$313,2,FALSE))</f>
        <v/>
      </c>
      <c r="AC106" t="s">
        <v>3</v>
      </c>
      <c r="AD106" s="81"/>
      <c r="AE106" s="81"/>
      <c r="AF106" s="81"/>
      <c r="AG106" s="81"/>
      <c r="AH106" s="81"/>
      <c r="AI106" s="81"/>
      <c r="AJ106" s="81"/>
    </row>
    <row r="107" spans="4:36">
      <c r="D107" t="s">
        <v>79</v>
      </c>
      <c r="E107" t="s">
        <v>68</v>
      </c>
      <c r="F107" s="435" t="s">
        <v>1869</v>
      </c>
      <c r="G107" s="435" t="s">
        <v>86</v>
      </c>
      <c r="H107" t="s">
        <v>264</v>
      </c>
      <c r="I107" t="s">
        <v>7</v>
      </c>
      <c r="J107" t="s">
        <v>299</v>
      </c>
      <c r="K107" s="101"/>
      <c r="L107" s="101"/>
      <c r="N107" t="s">
        <v>202</v>
      </c>
      <c r="O107" t="s">
        <v>202</v>
      </c>
      <c r="P107" s="81"/>
      <c r="Q107" s="81"/>
      <c r="R107" s="435"/>
      <c r="S107" s="435"/>
      <c r="U107" s="81"/>
      <c r="V107" s="81" t="str">
        <f>IF(U107="","",VLOOKUP(U107,'1.3 Lists'!$L$10:$M$313,2,FALSE))</f>
        <v/>
      </c>
      <c r="AC107" t="s">
        <v>3</v>
      </c>
      <c r="AD107" s="81"/>
      <c r="AE107" s="81"/>
      <c r="AF107" s="81"/>
      <c r="AG107" s="81"/>
      <c r="AH107" s="81"/>
      <c r="AI107" s="81"/>
      <c r="AJ107" s="81"/>
    </row>
    <row r="108" spans="4:36">
      <c r="D108" t="s">
        <v>79</v>
      </c>
      <c r="E108" t="s">
        <v>68</v>
      </c>
      <c r="F108" s="435" t="s">
        <v>1869</v>
      </c>
      <c r="G108" s="435" t="s">
        <v>86</v>
      </c>
      <c r="H108" t="s">
        <v>264</v>
      </c>
      <c r="I108" t="s">
        <v>7</v>
      </c>
      <c r="J108" t="s">
        <v>299</v>
      </c>
      <c r="K108" s="101"/>
      <c r="L108" s="101"/>
      <c r="N108" t="s">
        <v>202</v>
      </c>
      <c r="O108" t="s">
        <v>202</v>
      </c>
      <c r="P108" s="81"/>
      <c r="Q108" s="81"/>
      <c r="R108" s="435"/>
      <c r="S108" s="435"/>
      <c r="U108" s="81"/>
      <c r="V108" s="81" t="str">
        <f>IF(U108="","",VLOOKUP(U108,'1.3 Lists'!$L$10:$M$313,2,FALSE))</f>
        <v/>
      </c>
      <c r="AC108" t="s">
        <v>3</v>
      </c>
      <c r="AD108" s="81"/>
      <c r="AE108" s="81"/>
      <c r="AF108" s="81"/>
      <c r="AG108" s="81"/>
      <c r="AH108" s="81"/>
      <c r="AI108" s="81"/>
      <c r="AJ108" s="81"/>
    </row>
    <row r="109" spans="4:36">
      <c r="D109" t="s">
        <v>79</v>
      </c>
      <c r="E109" t="s">
        <v>68</v>
      </c>
      <c r="F109" s="435" t="s">
        <v>1869</v>
      </c>
      <c r="G109" s="435" t="s">
        <v>86</v>
      </c>
      <c r="H109" t="s">
        <v>264</v>
      </c>
      <c r="I109" t="s">
        <v>7</v>
      </c>
      <c r="J109" t="s">
        <v>299</v>
      </c>
      <c r="K109" s="101"/>
      <c r="L109" s="101"/>
      <c r="N109" t="s">
        <v>202</v>
      </c>
      <c r="O109" t="s">
        <v>202</v>
      </c>
      <c r="P109" s="81"/>
      <c r="Q109" s="81"/>
      <c r="R109" s="435"/>
      <c r="S109" s="435"/>
      <c r="U109" s="81"/>
      <c r="V109" s="81" t="str">
        <f>IF(U109="","",VLOOKUP(U109,'1.3 Lists'!$L$10:$M$313,2,FALSE))</f>
        <v/>
      </c>
      <c r="AC109" t="s">
        <v>3</v>
      </c>
      <c r="AD109" s="81"/>
      <c r="AE109" s="81"/>
      <c r="AF109" s="81"/>
      <c r="AG109" s="81"/>
      <c r="AH109" s="81"/>
      <c r="AI109" s="81"/>
      <c r="AJ109" s="81"/>
    </row>
    <row r="110" spans="4:36">
      <c r="D110" t="s">
        <v>79</v>
      </c>
      <c r="E110" t="s">
        <v>68</v>
      </c>
      <c r="F110" s="435" t="s">
        <v>1869</v>
      </c>
      <c r="G110" s="435" t="s">
        <v>86</v>
      </c>
      <c r="H110" t="s">
        <v>264</v>
      </c>
      <c r="I110" t="s">
        <v>7</v>
      </c>
      <c r="J110" t="s">
        <v>299</v>
      </c>
      <c r="K110" s="101"/>
      <c r="L110" s="101"/>
      <c r="N110" t="s">
        <v>202</v>
      </c>
      <c r="O110" t="s">
        <v>202</v>
      </c>
      <c r="P110" s="81"/>
      <c r="Q110" s="81"/>
      <c r="R110" s="435"/>
      <c r="S110" s="435"/>
      <c r="U110" s="81"/>
      <c r="V110" s="81" t="str">
        <f>IF(U110="","",VLOOKUP(U110,'1.3 Lists'!$L$10:$M$313,2,FALSE))</f>
        <v/>
      </c>
      <c r="AC110" t="s">
        <v>3</v>
      </c>
      <c r="AD110" s="81"/>
      <c r="AE110" s="81"/>
      <c r="AF110" s="81"/>
      <c r="AG110" s="81"/>
      <c r="AH110" s="81"/>
      <c r="AI110" s="81"/>
      <c r="AJ110" s="81"/>
    </row>
    <row r="111" spans="4:36">
      <c r="D111" t="s">
        <v>79</v>
      </c>
      <c r="E111" t="s">
        <v>68</v>
      </c>
      <c r="F111" s="435" t="s">
        <v>1869</v>
      </c>
      <c r="G111" s="435" t="s">
        <v>86</v>
      </c>
      <c r="H111" t="s">
        <v>264</v>
      </c>
      <c r="I111" t="s">
        <v>7</v>
      </c>
      <c r="J111" t="s">
        <v>299</v>
      </c>
      <c r="K111" s="101"/>
      <c r="L111" s="101"/>
      <c r="N111" t="s">
        <v>202</v>
      </c>
      <c r="O111" t="s">
        <v>202</v>
      </c>
      <c r="P111" s="81"/>
      <c r="Q111" s="81"/>
      <c r="R111" s="435"/>
      <c r="S111" s="435"/>
      <c r="U111" s="81"/>
      <c r="V111" s="81" t="str">
        <f>IF(U111="","",VLOOKUP(U111,'1.3 Lists'!$L$10:$M$313,2,FALSE))</f>
        <v/>
      </c>
      <c r="AC111" t="s">
        <v>3</v>
      </c>
      <c r="AD111" s="81"/>
      <c r="AE111" s="81"/>
      <c r="AF111" s="81"/>
      <c r="AG111" s="81"/>
      <c r="AH111" s="81"/>
      <c r="AI111" s="81"/>
      <c r="AJ111" s="81"/>
    </row>
    <row r="112" spans="4:36">
      <c r="D112" t="s">
        <v>79</v>
      </c>
      <c r="E112" t="s">
        <v>68</v>
      </c>
      <c r="F112" s="435" t="s">
        <v>1869</v>
      </c>
      <c r="G112" s="435" t="s">
        <v>86</v>
      </c>
      <c r="H112" t="s">
        <v>264</v>
      </c>
      <c r="I112" t="s">
        <v>7</v>
      </c>
      <c r="J112" t="s">
        <v>299</v>
      </c>
      <c r="K112" s="101"/>
      <c r="L112" s="101"/>
      <c r="N112" t="s">
        <v>202</v>
      </c>
      <c r="O112" t="s">
        <v>202</v>
      </c>
      <c r="P112" s="81"/>
      <c r="Q112" s="81"/>
      <c r="R112" s="435"/>
      <c r="S112" s="435"/>
      <c r="U112" s="81"/>
      <c r="V112" s="81" t="str">
        <f>IF(U112="","",VLOOKUP(U112,'1.3 Lists'!$L$10:$M$313,2,FALSE))</f>
        <v/>
      </c>
      <c r="AC112" t="s">
        <v>3</v>
      </c>
      <c r="AD112" s="81"/>
      <c r="AE112" s="81"/>
      <c r="AF112" s="81"/>
      <c r="AG112" s="81"/>
      <c r="AH112" s="81"/>
      <c r="AI112" s="81"/>
      <c r="AJ112" s="81"/>
    </row>
    <row r="113" spans="4:36">
      <c r="D113" t="s">
        <v>79</v>
      </c>
      <c r="E113" t="s">
        <v>68</v>
      </c>
      <c r="F113" s="435" t="s">
        <v>1869</v>
      </c>
      <c r="G113" s="435" t="s">
        <v>86</v>
      </c>
      <c r="H113" t="s">
        <v>264</v>
      </c>
      <c r="I113" t="s">
        <v>7</v>
      </c>
      <c r="J113" t="s">
        <v>299</v>
      </c>
      <c r="K113" s="101"/>
      <c r="L113" s="101"/>
      <c r="N113" t="s">
        <v>202</v>
      </c>
      <c r="O113" t="s">
        <v>202</v>
      </c>
      <c r="P113" s="81"/>
      <c r="Q113" s="81"/>
      <c r="R113" s="435"/>
      <c r="S113" s="435"/>
      <c r="U113" s="81"/>
      <c r="V113" s="81" t="str">
        <f>IF(U113="","",VLOOKUP(U113,'1.3 Lists'!$L$10:$M$313,2,FALSE))</f>
        <v/>
      </c>
      <c r="AC113" t="s">
        <v>3</v>
      </c>
      <c r="AD113" s="81"/>
      <c r="AE113" s="81"/>
      <c r="AF113" s="81"/>
      <c r="AG113" s="81"/>
      <c r="AH113" s="81"/>
      <c r="AI113" s="81"/>
      <c r="AJ113" s="81"/>
    </row>
    <row r="114" spans="4:36">
      <c r="D114" t="s">
        <v>79</v>
      </c>
      <c r="E114" t="s">
        <v>68</v>
      </c>
      <c r="F114" s="435" t="s">
        <v>1869</v>
      </c>
      <c r="G114" s="435" t="s">
        <v>86</v>
      </c>
      <c r="H114" t="s">
        <v>264</v>
      </c>
      <c r="I114" t="s">
        <v>7</v>
      </c>
      <c r="J114" t="s">
        <v>299</v>
      </c>
      <c r="K114" s="101"/>
      <c r="L114" s="101"/>
      <c r="N114" t="s">
        <v>202</v>
      </c>
      <c r="O114" t="s">
        <v>202</v>
      </c>
      <c r="P114" s="81"/>
      <c r="Q114" s="81"/>
      <c r="R114" s="435"/>
      <c r="S114" s="435"/>
      <c r="U114" s="81"/>
      <c r="V114" s="81" t="str">
        <f>IF(U114="","",VLOOKUP(U114,'1.3 Lists'!$L$10:$M$313,2,FALSE))</f>
        <v/>
      </c>
      <c r="AC114" t="s">
        <v>3</v>
      </c>
      <c r="AD114" s="81"/>
      <c r="AE114" s="81"/>
      <c r="AF114" s="81"/>
      <c r="AG114" s="81"/>
      <c r="AH114" s="81"/>
      <c r="AI114" s="81"/>
      <c r="AJ114" s="81"/>
    </row>
    <row r="115" spans="4:36">
      <c r="D115" t="s">
        <v>79</v>
      </c>
      <c r="E115" t="s">
        <v>68</v>
      </c>
      <c r="F115" s="435" t="s">
        <v>1869</v>
      </c>
      <c r="G115" s="435" t="s">
        <v>86</v>
      </c>
      <c r="H115" t="s">
        <v>264</v>
      </c>
      <c r="I115" t="s">
        <v>7</v>
      </c>
      <c r="J115" t="s">
        <v>299</v>
      </c>
      <c r="K115" s="101"/>
      <c r="L115" s="101"/>
      <c r="N115" t="s">
        <v>202</v>
      </c>
      <c r="O115" t="s">
        <v>202</v>
      </c>
      <c r="P115" s="81"/>
      <c r="Q115" s="81"/>
      <c r="R115" s="435"/>
      <c r="S115" s="435"/>
      <c r="U115" s="81"/>
      <c r="V115" s="81" t="str">
        <f>IF(U115="","",VLOOKUP(U115,'1.3 Lists'!$L$10:$M$313,2,FALSE))</f>
        <v/>
      </c>
      <c r="AC115" t="s">
        <v>3</v>
      </c>
      <c r="AD115" s="81"/>
      <c r="AE115" s="81"/>
      <c r="AF115" s="81"/>
      <c r="AG115" s="81"/>
      <c r="AH115" s="81"/>
      <c r="AI115" s="81"/>
      <c r="AJ115" s="81"/>
    </row>
    <row r="116" spans="4:36">
      <c r="D116" t="s">
        <v>79</v>
      </c>
      <c r="E116" t="s">
        <v>68</v>
      </c>
      <c r="F116" s="435" t="s">
        <v>1869</v>
      </c>
      <c r="G116" s="435" t="s">
        <v>86</v>
      </c>
      <c r="H116" t="s">
        <v>264</v>
      </c>
      <c r="I116" t="s">
        <v>7</v>
      </c>
      <c r="J116" t="s">
        <v>299</v>
      </c>
      <c r="K116" s="101"/>
      <c r="L116" s="101"/>
      <c r="N116" t="s">
        <v>202</v>
      </c>
      <c r="O116" t="s">
        <v>202</v>
      </c>
      <c r="P116" s="81"/>
      <c r="Q116" s="81"/>
      <c r="R116" s="435"/>
      <c r="S116" s="435"/>
      <c r="U116" s="81"/>
      <c r="V116" s="81" t="str">
        <f>IF(U116="","",VLOOKUP(U116,'1.3 Lists'!$L$10:$M$313,2,FALSE))</f>
        <v/>
      </c>
      <c r="AC116" t="s">
        <v>3</v>
      </c>
      <c r="AD116" s="81"/>
      <c r="AE116" s="81"/>
      <c r="AF116" s="81"/>
      <c r="AG116" s="81"/>
      <c r="AH116" s="81"/>
      <c r="AI116" s="81"/>
      <c r="AJ116" s="81"/>
    </row>
    <row r="117" spans="4:36">
      <c r="D117" t="s">
        <v>79</v>
      </c>
      <c r="E117" t="s">
        <v>68</v>
      </c>
      <c r="F117" s="435" t="s">
        <v>1869</v>
      </c>
      <c r="G117" s="435" t="s">
        <v>86</v>
      </c>
      <c r="H117" t="s">
        <v>264</v>
      </c>
      <c r="I117" t="s">
        <v>7</v>
      </c>
      <c r="J117" t="s">
        <v>299</v>
      </c>
      <c r="K117" s="101"/>
      <c r="L117" s="101"/>
      <c r="N117" t="s">
        <v>202</v>
      </c>
      <c r="O117" t="s">
        <v>202</v>
      </c>
      <c r="P117" s="81"/>
      <c r="Q117" s="81"/>
      <c r="R117" s="435"/>
      <c r="S117" s="435"/>
      <c r="U117" s="81"/>
      <c r="V117" s="81" t="str">
        <f>IF(U117="","",VLOOKUP(U117,'1.3 Lists'!$L$10:$M$313,2,FALSE))</f>
        <v/>
      </c>
      <c r="AC117" t="s">
        <v>3</v>
      </c>
      <c r="AD117" s="81"/>
      <c r="AE117" s="81"/>
      <c r="AF117" s="81"/>
      <c r="AG117" s="81"/>
      <c r="AH117" s="81"/>
      <c r="AI117" s="81"/>
      <c r="AJ117" s="81"/>
    </row>
    <row r="118" spans="4:36">
      <c r="D118" t="s">
        <v>79</v>
      </c>
      <c r="E118" t="s">
        <v>68</v>
      </c>
      <c r="F118" s="435" t="s">
        <v>1869</v>
      </c>
      <c r="G118" s="435" t="s">
        <v>86</v>
      </c>
      <c r="H118" t="s">
        <v>264</v>
      </c>
      <c r="I118" t="s">
        <v>7</v>
      </c>
      <c r="J118" t="s">
        <v>299</v>
      </c>
      <c r="K118" s="101"/>
      <c r="L118" s="101"/>
      <c r="N118" t="s">
        <v>202</v>
      </c>
      <c r="O118" t="s">
        <v>202</v>
      </c>
      <c r="P118" s="81"/>
      <c r="Q118" s="81"/>
      <c r="R118" s="435"/>
      <c r="S118" s="435"/>
      <c r="U118" s="81"/>
      <c r="V118" s="81" t="str">
        <f>IF(U118="","",VLOOKUP(U118,'1.3 Lists'!$L$10:$M$313,2,FALSE))</f>
        <v/>
      </c>
      <c r="AC118" t="s">
        <v>3</v>
      </c>
      <c r="AD118" s="81"/>
      <c r="AE118" s="81"/>
      <c r="AF118" s="81"/>
      <c r="AG118" s="81"/>
      <c r="AH118" s="81"/>
      <c r="AI118" s="81"/>
      <c r="AJ118" s="81"/>
    </row>
    <row r="119" spans="4:36">
      <c r="D119" t="s">
        <v>79</v>
      </c>
      <c r="E119" t="s">
        <v>68</v>
      </c>
      <c r="F119" s="435" t="s">
        <v>1869</v>
      </c>
      <c r="G119" s="435" t="s">
        <v>86</v>
      </c>
      <c r="H119" t="s">
        <v>264</v>
      </c>
      <c r="I119" t="s">
        <v>7</v>
      </c>
      <c r="J119" t="s">
        <v>299</v>
      </c>
      <c r="K119" s="101"/>
      <c r="L119" s="101"/>
      <c r="N119" t="s">
        <v>202</v>
      </c>
      <c r="O119" t="s">
        <v>202</v>
      </c>
      <c r="P119" s="81"/>
      <c r="Q119" s="81"/>
      <c r="R119" s="435"/>
      <c r="S119" s="435"/>
      <c r="U119" s="81"/>
      <c r="V119" s="81" t="str">
        <f>IF(U119="","",VLOOKUP(U119,'1.3 Lists'!$L$10:$M$313,2,FALSE))</f>
        <v/>
      </c>
      <c r="AC119" t="s">
        <v>3</v>
      </c>
      <c r="AD119" s="81"/>
      <c r="AE119" s="81"/>
      <c r="AF119" s="81"/>
      <c r="AG119" s="81"/>
      <c r="AH119" s="81"/>
      <c r="AI119" s="81"/>
      <c r="AJ119" s="81"/>
    </row>
    <row r="120" spans="4:36">
      <c r="D120" t="s">
        <v>79</v>
      </c>
      <c r="E120" t="s">
        <v>68</v>
      </c>
      <c r="F120" s="435" t="s">
        <v>1869</v>
      </c>
      <c r="G120" s="435" t="s">
        <v>86</v>
      </c>
      <c r="H120" t="s">
        <v>264</v>
      </c>
      <c r="I120" t="s">
        <v>7</v>
      </c>
      <c r="J120" t="s">
        <v>299</v>
      </c>
      <c r="K120" s="101"/>
      <c r="L120" s="101"/>
      <c r="N120" t="s">
        <v>202</v>
      </c>
      <c r="O120" t="s">
        <v>202</v>
      </c>
      <c r="P120" s="81"/>
      <c r="Q120" s="81"/>
      <c r="R120" s="435"/>
      <c r="S120" s="435"/>
      <c r="U120" s="81"/>
      <c r="V120" s="81" t="str">
        <f>IF(U120="","",VLOOKUP(U120,'1.3 Lists'!$L$10:$M$313,2,FALSE))</f>
        <v/>
      </c>
      <c r="AC120" t="s">
        <v>3</v>
      </c>
      <c r="AD120" s="81"/>
      <c r="AE120" s="81"/>
      <c r="AF120" s="81"/>
      <c r="AG120" s="81"/>
      <c r="AH120" s="81"/>
      <c r="AI120" s="81"/>
      <c r="AJ120" s="81"/>
    </row>
    <row r="121" spans="4:36">
      <c r="D121" t="s">
        <v>79</v>
      </c>
      <c r="E121" t="s">
        <v>68</v>
      </c>
      <c r="F121" s="435" t="s">
        <v>1869</v>
      </c>
      <c r="G121" s="435" t="s">
        <v>86</v>
      </c>
      <c r="H121" t="s">
        <v>264</v>
      </c>
      <c r="I121" t="s">
        <v>7</v>
      </c>
      <c r="J121" t="s">
        <v>299</v>
      </c>
      <c r="K121" s="101"/>
      <c r="L121" s="101"/>
      <c r="N121" t="s">
        <v>202</v>
      </c>
      <c r="O121" t="s">
        <v>202</v>
      </c>
      <c r="P121" s="81"/>
      <c r="Q121" s="81"/>
      <c r="R121" s="435"/>
      <c r="S121" s="435"/>
      <c r="U121" s="81"/>
      <c r="V121" s="81" t="str">
        <f>IF(U121="","",VLOOKUP(U121,'1.3 Lists'!$L$10:$M$313,2,FALSE))</f>
        <v/>
      </c>
      <c r="AC121" t="s">
        <v>3</v>
      </c>
      <c r="AD121" s="81"/>
      <c r="AE121" s="81"/>
      <c r="AF121" s="81"/>
      <c r="AG121" s="81"/>
      <c r="AH121" s="81"/>
      <c r="AI121" s="81"/>
      <c r="AJ121" s="81"/>
    </row>
    <row r="122" spans="4:36">
      <c r="D122" t="s">
        <v>79</v>
      </c>
      <c r="E122" t="s">
        <v>68</v>
      </c>
      <c r="F122" s="435" t="s">
        <v>1869</v>
      </c>
      <c r="G122" s="435" t="s">
        <v>86</v>
      </c>
      <c r="H122" t="s">
        <v>264</v>
      </c>
      <c r="I122" t="s">
        <v>7</v>
      </c>
      <c r="J122" t="s">
        <v>299</v>
      </c>
      <c r="K122" s="101"/>
      <c r="L122" s="101"/>
      <c r="N122" t="s">
        <v>202</v>
      </c>
      <c r="O122" t="s">
        <v>202</v>
      </c>
      <c r="P122" s="81"/>
      <c r="Q122" s="81"/>
      <c r="R122" s="435"/>
      <c r="S122" s="435"/>
      <c r="U122" s="81"/>
      <c r="V122" s="81" t="str">
        <f>IF(U122="","",VLOOKUP(U122,'1.3 Lists'!$L$10:$M$313,2,FALSE))</f>
        <v/>
      </c>
      <c r="AC122" t="s">
        <v>3</v>
      </c>
      <c r="AD122" s="81"/>
      <c r="AE122" s="81"/>
      <c r="AF122" s="81"/>
      <c r="AG122" s="81"/>
      <c r="AH122" s="81"/>
      <c r="AI122" s="81"/>
      <c r="AJ122" s="81"/>
    </row>
    <row r="123" spans="4:36">
      <c r="D123" t="s">
        <v>79</v>
      </c>
      <c r="E123" t="s">
        <v>68</v>
      </c>
      <c r="F123" s="435" t="s">
        <v>1869</v>
      </c>
      <c r="G123" s="435" t="s">
        <v>86</v>
      </c>
      <c r="H123" t="s">
        <v>264</v>
      </c>
      <c r="I123" t="s">
        <v>7</v>
      </c>
      <c r="J123" t="s">
        <v>299</v>
      </c>
      <c r="K123" s="101"/>
      <c r="L123" s="101"/>
      <c r="N123" t="s">
        <v>202</v>
      </c>
      <c r="O123" t="s">
        <v>202</v>
      </c>
      <c r="P123" s="81"/>
      <c r="Q123" s="81"/>
      <c r="R123" s="435"/>
      <c r="S123" s="435"/>
      <c r="U123" s="81"/>
      <c r="V123" s="81" t="str">
        <f>IF(U123="","",VLOOKUP(U123,'1.3 Lists'!$L$10:$M$313,2,FALSE))</f>
        <v/>
      </c>
      <c r="AC123" t="s">
        <v>3</v>
      </c>
      <c r="AD123" s="81"/>
      <c r="AE123" s="81"/>
      <c r="AF123" s="81"/>
      <c r="AG123" s="81"/>
      <c r="AH123" s="81"/>
      <c r="AI123" s="81"/>
      <c r="AJ123" s="81"/>
    </row>
    <row r="124" spans="4:36">
      <c r="D124" t="s">
        <v>79</v>
      </c>
      <c r="E124" t="s">
        <v>68</v>
      </c>
      <c r="F124" s="435" t="s">
        <v>1869</v>
      </c>
      <c r="G124" s="435" t="s">
        <v>86</v>
      </c>
      <c r="H124" t="s">
        <v>264</v>
      </c>
      <c r="I124" t="s">
        <v>7</v>
      </c>
      <c r="J124" t="s">
        <v>299</v>
      </c>
      <c r="K124" s="101"/>
      <c r="L124" s="101"/>
      <c r="N124" t="s">
        <v>202</v>
      </c>
      <c r="O124" t="s">
        <v>202</v>
      </c>
      <c r="P124" s="81"/>
      <c r="Q124" s="81"/>
      <c r="R124" s="435"/>
      <c r="S124" s="435"/>
      <c r="U124" s="81"/>
      <c r="V124" s="81" t="str">
        <f>IF(U124="","",VLOOKUP(U124,'1.3 Lists'!$L$10:$M$313,2,FALSE))</f>
        <v/>
      </c>
      <c r="AC124" t="s">
        <v>3</v>
      </c>
      <c r="AD124" s="81"/>
      <c r="AE124" s="81"/>
      <c r="AF124" s="81"/>
      <c r="AG124" s="81"/>
      <c r="AH124" s="81"/>
      <c r="AI124" s="81"/>
      <c r="AJ124" s="81"/>
    </row>
    <row r="125" spans="4:36">
      <c r="D125" t="s">
        <v>79</v>
      </c>
      <c r="E125" t="s">
        <v>68</v>
      </c>
      <c r="F125" s="435" t="s">
        <v>1869</v>
      </c>
      <c r="G125" s="435" t="s">
        <v>86</v>
      </c>
      <c r="H125" t="s">
        <v>264</v>
      </c>
      <c r="I125" t="s">
        <v>7</v>
      </c>
      <c r="J125" t="s">
        <v>299</v>
      </c>
      <c r="K125" s="101"/>
      <c r="L125" s="101"/>
      <c r="N125" t="s">
        <v>202</v>
      </c>
      <c r="O125" t="s">
        <v>202</v>
      </c>
      <c r="P125" s="81"/>
      <c r="Q125" s="81"/>
      <c r="R125" s="435"/>
      <c r="S125" s="435"/>
      <c r="U125" s="81"/>
      <c r="V125" s="81" t="str">
        <f>IF(U125="","",VLOOKUP(U125,'1.3 Lists'!$L$10:$M$313,2,FALSE))</f>
        <v/>
      </c>
      <c r="AC125" t="s">
        <v>3</v>
      </c>
      <c r="AD125" s="81"/>
      <c r="AE125" s="81"/>
      <c r="AF125" s="81"/>
      <c r="AG125" s="81"/>
      <c r="AH125" s="81"/>
      <c r="AI125" s="81"/>
      <c r="AJ125" s="81"/>
    </row>
    <row r="126" spans="4:36">
      <c r="D126" t="s">
        <v>79</v>
      </c>
      <c r="E126" t="s">
        <v>68</v>
      </c>
      <c r="F126" s="435" t="s">
        <v>1869</v>
      </c>
      <c r="G126" s="435" t="s">
        <v>86</v>
      </c>
      <c r="H126" t="s">
        <v>264</v>
      </c>
      <c r="I126" t="s">
        <v>7</v>
      </c>
      <c r="J126" t="s">
        <v>299</v>
      </c>
      <c r="K126" s="101"/>
      <c r="L126" s="101"/>
      <c r="N126" t="s">
        <v>202</v>
      </c>
      <c r="O126" t="s">
        <v>202</v>
      </c>
      <c r="P126" s="81"/>
      <c r="Q126" s="81"/>
      <c r="R126" s="435"/>
      <c r="S126" s="435"/>
      <c r="U126" s="81"/>
      <c r="V126" s="81" t="str">
        <f>IF(U126="","",VLOOKUP(U126,'1.3 Lists'!$L$10:$M$313,2,FALSE))</f>
        <v/>
      </c>
      <c r="AC126" t="s">
        <v>3</v>
      </c>
      <c r="AD126" s="81"/>
      <c r="AE126" s="81"/>
      <c r="AF126" s="81"/>
      <c r="AG126" s="81"/>
      <c r="AH126" s="81"/>
      <c r="AI126" s="81"/>
      <c r="AJ126" s="81"/>
    </row>
    <row r="127" spans="4:36">
      <c r="D127" t="s">
        <v>79</v>
      </c>
      <c r="E127" t="s">
        <v>68</v>
      </c>
      <c r="F127" s="435" t="s">
        <v>1869</v>
      </c>
      <c r="G127" s="435" t="s">
        <v>86</v>
      </c>
      <c r="H127" t="s">
        <v>264</v>
      </c>
      <c r="I127" t="s">
        <v>7</v>
      </c>
      <c r="J127" t="s">
        <v>299</v>
      </c>
      <c r="K127" s="101"/>
      <c r="L127" s="101"/>
      <c r="N127" t="s">
        <v>202</v>
      </c>
      <c r="O127" t="s">
        <v>202</v>
      </c>
      <c r="P127" s="81"/>
      <c r="Q127" s="81"/>
      <c r="R127" s="435"/>
      <c r="S127" s="435"/>
      <c r="U127" s="81"/>
      <c r="V127" s="81" t="str">
        <f>IF(U127="","",VLOOKUP(U127,'1.3 Lists'!$L$10:$M$313,2,FALSE))</f>
        <v/>
      </c>
      <c r="AC127" t="s">
        <v>3</v>
      </c>
      <c r="AD127" s="81"/>
      <c r="AE127" s="81"/>
      <c r="AF127" s="81"/>
      <c r="AG127" s="81"/>
      <c r="AH127" s="81"/>
      <c r="AI127" s="81"/>
      <c r="AJ127" s="81"/>
    </row>
    <row r="128" spans="4:36">
      <c r="D128" t="s">
        <v>79</v>
      </c>
      <c r="E128" t="s">
        <v>68</v>
      </c>
      <c r="F128" s="435" t="s">
        <v>1869</v>
      </c>
      <c r="G128" s="435" t="s">
        <v>86</v>
      </c>
      <c r="H128" t="s">
        <v>264</v>
      </c>
      <c r="I128" t="s">
        <v>7</v>
      </c>
      <c r="J128" t="s">
        <v>299</v>
      </c>
      <c r="K128" s="101"/>
      <c r="L128" s="101"/>
      <c r="N128" t="s">
        <v>202</v>
      </c>
      <c r="O128" t="s">
        <v>202</v>
      </c>
      <c r="P128" s="81"/>
      <c r="Q128" s="81"/>
      <c r="R128" s="435"/>
      <c r="S128" s="435"/>
      <c r="U128" s="81"/>
      <c r="V128" s="81" t="str">
        <f>IF(U128="","",VLOOKUP(U128,'1.3 Lists'!$L$10:$M$313,2,FALSE))</f>
        <v/>
      </c>
      <c r="AC128" t="s">
        <v>3</v>
      </c>
      <c r="AD128" s="81"/>
      <c r="AE128" s="81"/>
      <c r="AF128" s="81"/>
      <c r="AG128" s="81"/>
      <c r="AH128" s="81"/>
      <c r="AI128" s="81"/>
      <c r="AJ128" s="81"/>
    </row>
    <row r="129" spans="4:36">
      <c r="D129" t="s">
        <v>79</v>
      </c>
      <c r="E129" t="s">
        <v>68</v>
      </c>
      <c r="F129" s="435" t="s">
        <v>1869</v>
      </c>
      <c r="G129" s="435" t="s">
        <v>86</v>
      </c>
      <c r="H129" t="s">
        <v>264</v>
      </c>
      <c r="I129" t="s">
        <v>7</v>
      </c>
      <c r="J129" t="s">
        <v>299</v>
      </c>
      <c r="K129" s="101"/>
      <c r="L129" s="101"/>
      <c r="N129" t="s">
        <v>202</v>
      </c>
      <c r="O129" t="s">
        <v>202</v>
      </c>
      <c r="P129" s="81"/>
      <c r="Q129" s="81"/>
      <c r="R129" s="435"/>
      <c r="S129" s="435"/>
      <c r="U129" s="81"/>
      <c r="V129" s="81" t="str">
        <f>IF(U129="","",VLOOKUP(U129,'1.3 Lists'!$L$10:$M$313,2,FALSE))</f>
        <v/>
      </c>
      <c r="AC129" t="s">
        <v>3</v>
      </c>
      <c r="AD129" s="81"/>
      <c r="AE129" s="81"/>
      <c r="AF129" s="81"/>
      <c r="AG129" s="81"/>
      <c r="AH129" s="81"/>
      <c r="AI129" s="81"/>
      <c r="AJ129" s="81"/>
    </row>
    <row r="130" spans="4:36">
      <c r="D130" t="s">
        <v>79</v>
      </c>
      <c r="E130" t="s">
        <v>68</v>
      </c>
      <c r="F130" s="435" t="s">
        <v>1869</v>
      </c>
      <c r="G130" s="435" t="s">
        <v>86</v>
      </c>
      <c r="H130" t="s">
        <v>264</v>
      </c>
      <c r="I130" t="s">
        <v>7</v>
      </c>
      <c r="J130" t="s">
        <v>299</v>
      </c>
      <c r="K130" s="101"/>
      <c r="L130" s="101"/>
      <c r="N130" t="s">
        <v>202</v>
      </c>
      <c r="O130" t="s">
        <v>202</v>
      </c>
      <c r="P130" s="81"/>
      <c r="Q130" s="81"/>
      <c r="R130" s="435"/>
      <c r="S130" s="435"/>
      <c r="U130" s="81"/>
      <c r="V130" s="81" t="str">
        <f>IF(U130="","",VLOOKUP(U130,'1.3 Lists'!$L$10:$M$313,2,FALSE))</f>
        <v/>
      </c>
      <c r="AC130" t="s">
        <v>3</v>
      </c>
      <c r="AD130" s="81"/>
      <c r="AE130" s="81"/>
      <c r="AF130" s="81"/>
      <c r="AG130" s="81"/>
      <c r="AH130" s="81"/>
      <c r="AI130" s="81"/>
      <c r="AJ130" s="81"/>
    </row>
    <row r="131" spans="4:36">
      <c r="D131" t="s">
        <v>79</v>
      </c>
      <c r="E131" t="s">
        <v>68</v>
      </c>
      <c r="F131" s="435" t="s">
        <v>1869</v>
      </c>
      <c r="G131" s="435" t="s">
        <v>86</v>
      </c>
      <c r="H131" t="s">
        <v>264</v>
      </c>
      <c r="I131" t="s">
        <v>7</v>
      </c>
      <c r="J131" t="s">
        <v>299</v>
      </c>
      <c r="K131" s="101"/>
      <c r="L131" s="101"/>
      <c r="N131" t="s">
        <v>202</v>
      </c>
      <c r="O131" t="s">
        <v>202</v>
      </c>
      <c r="P131" s="81"/>
      <c r="Q131" s="81"/>
      <c r="R131" s="435"/>
      <c r="S131" s="435"/>
      <c r="U131" s="81"/>
      <c r="V131" s="81" t="str">
        <f>IF(U131="","",VLOOKUP(U131,'1.3 Lists'!$L$10:$M$313,2,FALSE))</f>
        <v/>
      </c>
      <c r="AC131" t="s">
        <v>3</v>
      </c>
      <c r="AD131" s="81"/>
      <c r="AE131" s="81"/>
      <c r="AF131" s="81"/>
      <c r="AG131" s="81"/>
      <c r="AH131" s="81"/>
      <c r="AI131" s="81"/>
      <c r="AJ131" s="81"/>
    </row>
    <row r="132" spans="4:36">
      <c r="D132" t="s">
        <v>79</v>
      </c>
      <c r="E132" t="s">
        <v>68</v>
      </c>
      <c r="F132" s="435" t="s">
        <v>1869</v>
      </c>
      <c r="G132" s="435" t="s">
        <v>86</v>
      </c>
      <c r="H132" t="s">
        <v>264</v>
      </c>
      <c r="I132" t="s">
        <v>7</v>
      </c>
      <c r="J132" t="s">
        <v>299</v>
      </c>
      <c r="K132" s="101"/>
      <c r="L132" s="101"/>
      <c r="N132" t="s">
        <v>202</v>
      </c>
      <c r="O132" t="s">
        <v>202</v>
      </c>
      <c r="P132" s="81"/>
      <c r="Q132" s="81"/>
      <c r="R132" s="435"/>
      <c r="S132" s="435"/>
      <c r="U132" s="81"/>
      <c r="V132" s="81" t="str">
        <f>IF(U132="","",VLOOKUP(U132,'1.3 Lists'!$L$10:$M$313,2,FALSE))</f>
        <v/>
      </c>
      <c r="AC132" t="s">
        <v>3</v>
      </c>
      <c r="AD132" s="81"/>
      <c r="AE132" s="81"/>
      <c r="AF132" s="81"/>
      <c r="AG132" s="81"/>
      <c r="AH132" s="81"/>
      <c r="AI132" s="81"/>
      <c r="AJ132" s="81"/>
    </row>
    <row r="133" spans="4:36">
      <c r="D133" t="s">
        <v>79</v>
      </c>
      <c r="E133" t="s">
        <v>68</v>
      </c>
      <c r="F133" s="435" t="s">
        <v>1869</v>
      </c>
      <c r="G133" s="435" t="s">
        <v>86</v>
      </c>
      <c r="H133" t="s">
        <v>264</v>
      </c>
      <c r="I133" t="s">
        <v>7</v>
      </c>
      <c r="J133" t="s">
        <v>299</v>
      </c>
      <c r="K133" s="101"/>
      <c r="L133" s="101"/>
      <c r="N133" t="s">
        <v>202</v>
      </c>
      <c r="O133" t="s">
        <v>202</v>
      </c>
      <c r="P133" s="81"/>
      <c r="Q133" s="81"/>
      <c r="R133" s="435"/>
      <c r="S133" s="435"/>
      <c r="U133" s="81"/>
      <c r="V133" s="81" t="str">
        <f>IF(U133="","",VLOOKUP(U133,'1.3 Lists'!$L$10:$M$313,2,FALSE))</f>
        <v/>
      </c>
      <c r="AC133" t="s">
        <v>3</v>
      </c>
      <c r="AD133" s="81"/>
      <c r="AE133" s="81"/>
      <c r="AF133" s="81"/>
      <c r="AG133" s="81"/>
      <c r="AH133" s="81"/>
      <c r="AI133" s="81"/>
      <c r="AJ133" s="81"/>
    </row>
    <row r="134" spans="4:36">
      <c r="D134" t="s">
        <v>79</v>
      </c>
      <c r="E134" t="s">
        <v>68</v>
      </c>
      <c r="F134" s="435" t="s">
        <v>1869</v>
      </c>
      <c r="G134" s="435" t="s">
        <v>86</v>
      </c>
      <c r="H134" t="s">
        <v>264</v>
      </c>
      <c r="I134" t="s">
        <v>7</v>
      </c>
      <c r="J134" t="s">
        <v>299</v>
      </c>
      <c r="K134" s="101"/>
      <c r="L134" s="101"/>
      <c r="N134" t="s">
        <v>202</v>
      </c>
      <c r="O134" t="s">
        <v>202</v>
      </c>
      <c r="P134" s="81"/>
      <c r="Q134" s="81"/>
      <c r="R134" s="435"/>
      <c r="S134" s="435"/>
      <c r="U134" s="81"/>
      <c r="V134" s="81" t="str">
        <f>IF(U134="","",VLOOKUP(U134,'1.3 Lists'!$L$10:$M$313,2,FALSE))</f>
        <v/>
      </c>
      <c r="AC134" t="s">
        <v>3</v>
      </c>
      <c r="AD134" s="81"/>
      <c r="AE134" s="81"/>
      <c r="AF134" s="81"/>
      <c r="AG134" s="81"/>
      <c r="AH134" s="81"/>
      <c r="AI134" s="81"/>
      <c r="AJ134" s="81"/>
    </row>
    <row r="135" spans="4:36">
      <c r="D135" t="s">
        <v>79</v>
      </c>
      <c r="E135" t="s">
        <v>68</v>
      </c>
      <c r="F135" s="435" t="s">
        <v>1869</v>
      </c>
      <c r="G135" s="435" t="s">
        <v>86</v>
      </c>
      <c r="H135" t="s">
        <v>264</v>
      </c>
      <c r="I135" t="s">
        <v>7</v>
      </c>
      <c r="J135" t="s">
        <v>299</v>
      </c>
      <c r="K135" s="101"/>
      <c r="L135" s="101"/>
      <c r="N135" t="s">
        <v>202</v>
      </c>
      <c r="O135" t="s">
        <v>202</v>
      </c>
      <c r="P135" s="81"/>
      <c r="Q135" s="81"/>
      <c r="R135" s="435"/>
      <c r="S135" s="435"/>
      <c r="U135" s="81"/>
      <c r="V135" s="81" t="str">
        <f>IF(U135="","",VLOOKUP(U135,'1.3 Lists'!$L$10:$M$313,2,FALSE))</f>
        <v/>
      </c>
      <c r="AC135" t="s">
        <v>3</v>
      </c>
      <c r="AD135" s="81"/>
      <c r="AE135" s="81"/>
      <c r="AF135" s="81"/>
      <c r="AG135" s="81"/>
      <c r="AH135" s="81"/>
      <c r="AI135" s="81"/>
      <c r="AJ135" s="81"/>
    </row>
    <row r="136" spans="4:36">
      <c r="D136" t="s">
        <v>79</v>
      </c>
      <c r="E136" t="s">
        <v>68</v>
      </c>
      <c r="F136" s="435" t="s">
        <v>1869</v>
      </c>
      <c r="G136" s="435" t="s">
        <v>86</v>
      </c>
      <c r="H136" t="s">
        <v>264</v>
      </c>
      <c r="I136" t="s">
        <v>7</v>
      </c>
      <c r="J136" t="s">
        <v>299</v>
      </c>
      <c r="K136" s="101"/>
      <c r="L136" s="101"/>
      <c r="N136" t="s">
        <v>202</v>
      </c>
      <c r="O136" t="s">
        <v>202</v>
      </c>
      <c r="P136" s="81"/>
      <c r="Q136" s="81"/>
      <c r="R136" s="435"/>
      <c r="S136" s="435"/>
      <c r="U136" s="81"/>
      <c r="V136" s="81" t="str">
        <f>IF(U136="","",VLOOKUP(U136,'1.3 Lists'!$L$10:$M$313,2,FALSE))</f>
        <v/>
      </c>
      <c r="AC136" t="s">
        <v>3</v>
      </c>
      <c r="AD136" s="81"/>
      <c r="AE136" s="81"/>
      <c r="AF136" s="81"/>
      <c r="AG136" s="81"/>
      <c r="AH136" s="81"/>
      <c r="AI136" s="81"/>
      <c r="AJ136" s="81"/>
    </row>
    <row r="137" spans="4:36">
      <c r="D137" t="s">
        <v>79</v>
      </c>
      <c r="E137" t="s">
        <v>68</v>
      </c>
      <c r="F137" s="435" t="s">
        <v>1869</v>
      </c>
      <c r="G137" s="435" t="s">
        <v>86</v>
      </c>
      <c r="H137" t="s">
        <v>264</v>
      </c>
      <c r="I137" t="s">
        <v>7</v>
      </c>
      <c r="J137" t="s">
        <v>299</v>
      </c>
      <c r="K137" s="101"/>
      <c r="L137" s="101"/>
      <c r="N137" t="s">
        <v>202</v>
      </c>
      <c r="O137" t="s">
        <v>202</v>
      </c>
      <c r="P137" s="81"/>
      <c r="Q137" s="81"/>
      <c r="R137" s="435"/>
      <c r="S137" s="435"/>
      <c r="U137" s="81"/>
      <c r="V137" s="81" t="str">
        <f>IF(U137="","",VLOOKUP(U137,'1.3 Lists'!$L$10:$M$313,2,FALSE))</f>
        <v/>
      </c>
      <c r="AC137" t="s">
        <v>3</v>
      </c>
      <c r="AD137" s="81"/>
      <c r="AE137" s="81"/>
      <c r="AF137" s="81"/>
      <c r="AG137" s="81"/>
      <c r="AH137" s="81"/>
      <c r="AI137" s="81"/>
      <c r="AJ137" s="81"/>
    </row>
    <row r="138" spans="4:36">
      <c r="D138" t="s">
        <v>79</v>
      </c>
      <c r="E138" t="s">
        <v>68</v>
      </c>
      <c r="F138" s="435" t="s">
        <v>1869</v>
      </c>
      <c r="G138" s="435" t="s">
        <v>86</v>
      </c>
      <c r="H138" t="s">
        <v>264</v>
      </c>
      <c r="I138" t="s">
        <v>7</v>
      </c>
      <c r="J138" t="s">
        <v>299</v>
      </c>
      <c r="K138" s="101"/>
      <c r="L138" s="101"/>
      <c r="N138" t="s">
        <v>202</v>
      </c>
      <c r="O138" t="s">
        <v>202</v>
      </c>
      <c r="P138" s="81"/>
      <c r="Q138" s="81"/>
      <c r="R138" s="435"/>
      <c r="S138" s="435"/>
      <c r="U138" s="81"/>
      <c r="V138" s="81" t="str">
        <f>IF(U138="","",VLOOKUP(U138,'1.3 Lists'!$L$10:$M$313,2,FALSE))</f>
        <v/>
      </c>
      <c r="AC138" t="s">
        <v>3</v>
      </c>
      <c r="AD138" s="81"/>
      <c r="AE138" s="81"/>
      <c r="AF138" s="81"/>
      <c r="AG138" s="81"/>
      <c r="AH138" s="81"/>
      <c r="AI138" s="81"/>
      <c r="AJ138" s="81"/>
    </row>
    <row r="139" spans="4:36">
      <c r="D139" t="s">
        <v>79</v>
      </c>
      <c r="E139" t="s">
        <v>68</v>
      </c>
      <c r="F139" s="435" t="s">
        <v>1869</v>
      </c>
      <c r="G139" s="435" t="s">
        <v>86</v>
      </c>
      <c r="H139" t="s">
        <v>264</v>
      </c>
      <c r="I139" t="s">
        <v>7</v>
      </c>
      <c r="J139" t="s">
        <v>299</v>
      </c>
      <c r="K139" s="101"/>
      <c r="L139" s="101"/>
      <c r="N139" t="s">
        <v>202</v>
      </c>
      <c r="O139" t="s">
        <v>202</v>
      </c>
      <c r="P139" s="81"/>
      <c r="Q139" s="81"/>
      <c r="R139" s="435"/>
      <c r="S139" s="435"/>
      <c r="U139" s="81"/>
      <c r="V139" s="81" t="str">
        <f>IF(U139="","",VLOOKUP(U139,'1.3 Lists'!$L$10:$M$313,2,FALSE))</f>
        <v/>
      </c>
      <c r="AC139" t="s">
        <v>3</v>
      </c>
      <c r="AD139" s="81"/>
      <c r="AE139" s="81"/>
      <c r="AF139" s="81"/>
      <c r="AG139" s="81"/>
      <c r="AH139" s="81"/>
      <c r="AI139" s="81"/>
      <c r="AJ139" s="81"/>
    </row>
    <row r="140" spans="4:36">
      <c r="D140" t="s">
        <v>79</v>
      </c>
      <c r="E140" t="s">
        <v>68</v>
      </c>
      <c r="F140" s="435" t="s">
        <v>1869</v>
      </c>
      <c r="G140" s="435" t="s">
        <v>86</v>
      </c>
      <c r="H140" t="s">
        <v>264</v>
      </c>
      <c r="I140" t="s">
        <v>7</v>
      </c>
      <c r="J140" t="s">
        <v>299</v>
      </c>
      <c r="K140" s="101"/>
      <c r="L140" s="101"/>
      <c r="N140" t="s">
        <v>202</v>
      </c>
      <c r="O140" t="s">
        <v>202</v>
      </c>
      <c r="P140" s="81"/>
      <c r="Q140" s="81"/>
      <c r="R140" s="435"/>
      <c r="S140" s="435"/>
      <c r="U140" s="81"/>
      <c r="V140" s="81" t="str">
        <f>IF(U140="","",VLOOKUP(U140,'1.3 Lists'!$L$10:$M$313,2,FALSE))</f>
        <v/>
      </c>
      <c r="AC140" t="s">
        <v>3</v>
      </c>
      <c r="AD140" s="81"/>
      <c r="AE140" s="81"/>
      <c r="AF140" s="81"/>
      <c r="AG140" s="81"/>
      <c r="AH140" s="81"/>
      <c r="AI140" s="81"/>
      <c r="AJ140" s="81"/>
    </row>
    <row r="141" spans="4:36">
      <c r="D141" t="s">
        <v>79</v>
      </c>
      <c r="E141" t="s">
        <v>68</v>
      </c>
      <c r="F141" s="435" t="s">
        <v>1869</v>
      </c>
      <c r="G141" s="435" t="s">
        <v>86</v>
      </c>
      <c r="H141" t="s">
        <v>264</v>
      </c>
      <c r="I141" t="s">
        <v>7</v>
      </c>
      <c r="J141" t="s">
        <v>299</v>
      </c>
      <c r="K141" s="101"/>
      <c r="L141" s="101"/>
      <c r="N141" t="s">
        <v>202</v>
      </c>
      <c r="O141" t="s">
        <v>202</v>
      </c>
      <c r="P141" s="81"/>
      <c r="Q141" s="81"/>
      <c r="R141" s="435"/>
      <c r="S141" s="435"/>
      <c r="U141" s="81"/>
      <c r="V141" s="81" t="str">
        <f>IF(U141="","",VLOOKUP(U141,'1.3 Lists'!$L$10:$M$313,2,FALSE))</f>
        <v/>
      </c>
      <c r="AC141" t="s">
        <v>3</v>
      </c>
      <c r="AD141" s="81"/>
      <c r="AE141" s="81"/>
      <c r="AF141" s="81"/>
      <c r="AG141" s="81"/>
      <c r="AH141" s="81"/>
      <c r="AI141" s="81"/>
      <c r="AJ141" s="81"/>
    </row>
    <row r="142" spans="4:36">
      <c r="D142" t="s">
        <v>79</v>
      </c>
      <c r="E142" t="s">
        <v>68</v>
      </c>
      <c r="F142" s="435" t="s">
        <v>1869</v>
      </c>
      <c r="G142" s="435" t="s">
        <v>86</v>
      </c>
      <c r="H142" t="s">
        <v>264</v>
      </c>
      <c r="I142" t="s">
        <v>7</v>
      </c>
      <c r="J142" t="s">
        <v>299</v>
      </c>
      <c r="K142" s="101"/>
      <c r="L142" s="101"/>
      <c r="N142" t="s">
        <v>202</v>
      </c>
      <c r="O142" t="s">
        <v>202</v>
      </c>
      <c r="P142" s="81"/>
      <c r="Q142" s="81"/>
      <c r="R142" s="435"/>
      <c r="S142" s="435"/>
      <c r="U142" s="81"/>
      <c r="V142" s="81" t="str">
        <f>IF(U142="","",VLOOKUP(U142,'1.3 Lists'!$L$10:$M$313,2,FALSE))</f>
        <v/>
      </c>
      <c r="AC142" t="s">
        <v>3</v>
      </c>
      <c r="AD142" s="81"/>
      <c r="AE142" s="81"/>
      <c r="AF142" s="81"/>
      <c r="AG142" s="81"/>
      <c r="AH142" s="81"/>
      <c r="AI142" s="81"/>
      <c r="AJ142" s="81"/>
    </row>
    <row r="143" spans="4:36">
      <c r="D143" t="s">
        <v>79</v>
      </c>
      <c r="E143" t="s">
        <v>68</v>
      </c>
      <c r="F143" s="435" t="s">
        <v>1869</v>
      </c>
      <c r="G143" s="435" t="s">
        <v>86</v>
      </c>
      <c r="H143" t="s">
        <v>264</v>
      </c>
      <c r="I143" t="s">
        <v>7</v>
      </c>
      <c r="J143" t="s">
        <v>299</v>
      </c>
      <c r="K143" s="101"/>
      <c r="L143" s="101"/>
      <c r="N143" t="s">
        <v>202</v>
      </c>
      <c r="O143" t="s">
        <v>202</v>
      </c>
      <c r="P143" s="81"/>
      <c r="Q143" s="81"/>
      <c r="R143" s="435"/>
      <c r="S143" s="435"/>
      <c r="U143" s="81"/>
      <c r="V143" s="81" t="str">
        <f>IF(U143="","",VLOOKUP(U143,'1.3 Lists'!$L$10:$M$313,2,FALSE))</f>
        <v/>
      </c>
      <c r="AC143" t="s">
        <v>3</v>
      </c>
      <c r="AD143" s="81"/>
      <c r="AE143" s="81"/>
      <c r="AF143" s="81"/>
      <c r="AG143" s="81"/>
      <c r="AH143" s="81"/>
      <c r="AI143" s="81"/>
      <c r="AJ143" s="81"/>
    </row>
    <row r="144" spans="4:36">
      <c r="D144" t="s">
        <v>79</v>
      </c>
      <c r="E144" t="s">
        <v>68</v>
      </c>
      <c r="F144" s="435" t="s">
        <v>1869</v>
      </c>
      <c r="G144" s="435" t="s">
        <v>86</v>
      </c>
      <c r="H144" t="s">
        <v>264</v>
      </c>
      <c r="I144" t="s">
        <v>7</v>
      </c>
      <c r="J144" t="s">
        <v>299</v>
      </c>
      <c r="K144" s="101"/>
      <c r="L144" s="101"/>
      <c r="N144" t="s">
        <v>202</v>
      </c>
      <c r="O144" t="s">
        <v>202</v>
      </c>
      <c r="P144" s="81"/>
      <c r="Q144" s="81"/>
      <c r="R144" s="435"/>
      <c r="S144" s="435"/>
      <c r="U144" s="81"/>
      <c r="V144" s="81" t="str">
        <f>IF(U144="","",VLOOKUP(U144,'1.3 Lists'!$L$10:$M$313,2,FALSE))</f>
        <v/>
      </c>
      <c r="AC144" t="s">
        <v>3</v>
      </c>
      <c r="AD144" s="81"/>
      <c r="AE144" s="81"/>
      <c r="AF144" s="81"/>
      <c r="AG144" s="81"/>
      <c r="AH144" s="81"/>
      <c r="AI144" s="81"/>
      <c r="AJ144" s="81"/>
    </row>
    <row r="145" spans="4:36">
      <c r="D145" t="s">
        <v>79</v>
      </c>
      <c r="E145" t="s">
        <v>68</v>
      </c>
      <c r="F145" s="435" t="s">
        <v>1869</v>
      </c>
      <c r="G145" s="435" t="s">
        <v>86</v>
      </c>
      <c r="H145" t="s">
        <v>264</v>
      </c>
      <c r="I145" t="s">
        <v>7</v>
      </c>
      <c r="J145" t="s">
        <v>299</v>
      </c>
      <c r="K145" s="101"/>
      <c r="L145" s="101"/>
      <c r="N145" t="s">
        <v>202</v>
      </c>
      <c r="O145" t="s">
        <v>202</v>
      </c>
      <c r="P145" s="81"/>
      <c r="Q145" s="81"/>
      <c r="R145" s="435"/>
      <c r="S145" s="435"/>
      <c r="U145" s="81"/>
      <c r="V145" s="81" t="str">
        <f>IF(U145="","",VLOOKUP(U145,'1.3 Lists'!$L$10:$M$313,2,FALSE))</f>
        <v/>
      </c>
      <c r="AC145" t="s">
        <v>3</v>
      </c>
      <c r="AD145" s="81"/>
      <c r="AE145" s="81"/>
      <c r="AF145" s="81"/>
      <c r="AG145" s="81"/>
      <c r="AH145" s="81"/>
      <c r="AI145" s="81"/>
      <c r="AJ145" s="81"/>
    </row>
    <row r="146" spans="4:36">
      <c r="D146" t="s">
        <v>79</v>
      </c>
      <c r="E146" t="s">
        <v>68</v>
      </c>
      <c r="F146" s="435" t="s">
        <v>1869</v>
      </c>
      <c r="G146" s="435" t="s">
        <v>86</v>
      </c>
      <c r="H146" t="s">
        <v>264</v>
      </c>
      <c r="I146" t="s">
        <v>7</v>
      </c>
      <c r="J146" t="s">
        <v>299</v>
      </c>
      <c r="K146" s="101"/>
      <c r="L146" s="101"/>
      <c r="N146" t="s">
        <v>202</v>
      </c>
      <c r="O146" t="s">
        <v>202</v>
      </c>
      <c r="P146" s="81"/>
      <c r="Q146" s="81"/>
      <c r="R146" s="435"/>
      <c r="S146" s="435"/>
      <c r="U146" s="81"/>
      <c r="V146" s="81" t="str">
        <f>IF(U146="","",VLOOKUP(U146,'1.3 Lists'!$L$10:$M$313,2,FALSE))</f>
        <v/>
      </c>
      <c r="AC146" t="s">
        <v>3</v>
      </c>
      <c r="AD146" s="81"/>
      <c r="AE146" s="81"/>
      <c r="AF146" s="81"/>
      <c r="AG146" s="81"/>
      <c r="AH146" s="81"/>
      <c r="AI146" s="81"/>
      <c r="AJ146" s="81"/>
    </row>
    <row r="147" spans="4:36">
      <c r="D147" t="s">
        <v>79</v>
      </c>
      <c r="E147" t="s">
        <v>68</v>
      </c>
      <c r="F147" s="435" t="s">
        <v>1869</v>
      </c>
      <c r="G147" s="435" t="s">
        <v>86</v>
      </c>
      <c r="H147" t="s">
        <v>264</v>
      </c>
      <c r="I147" t="s">
        <v>7</v>
      </c>
      <c r="J147" t="s">
        <v>299</v>
      </c>
      <c r="K147" s="101"/>
      <c r="L147" s="101"/>
      <c r="N147" t="s">
        <v>202</v>
      </c>
      <c r="O147" t="s">
        <v>202</v>
      </c>
      <c r="P147" s="81"/>
      <c r="Q147" s="81"/>
      <c r="R147" s="435"/>
      <c r="S147" s="435"/>
      <c r="U147" s="81"/>
      <c r="V147" s="81" t="str">
        <f>IF(U147="","",VLOOKUP(U147,'1.3 Lists'!$L$10:$M$313,2,FALSE))</f>
        <v/>
      </c>
      <c r="AC147" t="s">
        <v>3</v>
      </c>
      <c r="AD147" s="81"/>
      <c r="AE147" s="81"/>
      <c r="AF147" s="81"/>
      <c r="AG147" s="81"/>
      <c r="AH147" s="81"/>
      <c r="AI147" s="81"/>
      <c r="AJ147" s="81"/>
    </row>
    <row r="148" spans="4:36">
      <c r="D148" t="s">
        <v>79</v>
      </c>
      <c r="E148" t="s">
        <v>68</v>
      </c>
      <c r="F148" s="435" t="s">
        <v>1869</v>
      </c>
      <c r="G148" s="435" t="s">
        <v>86</v>
      </c>
      <c r="H148" t="s">
        <v>264</v>
      </c>
      <c r="I148" t="s">
        <v>7</v>
      </c>
      <c r="J148" t="s">
        <v>299</v>
      </c>
      <c r="K148" s="101"/>
      <c r="L148" s="101"/>
      <c r="N148" t="s">
        <v>202</v>
      </c>
      <c r="O148" t="s">
        <v>202</v>
      </c>
      <c r="P148" s="81"/>
      <c r="Q148" s="81"/>
      <c r="R148" s="435"/>
      <c r="S148" s="435"/>
      <c r="U148" s="81"/>
      <c r="V148" s="81" t="str">
        <f>IF(U148="","",VLOOKUP(U148,'1.3 Lists'!$L$10:$M$313,2,FALSE))</f>
        <v/>
      </c>
      <c r="AC148" t="s">
        <v>3</v>
      </c>
      <c r="AD148" s="81"/>
      <c r="AE148" s="81"/>
      <c r="AF148" s="81"/>
      <c r="AG148" s="81"/>
      <c r="AH148" s="81"/>
      <c r="AI148" s="81"/>
      <c r="AJ148" s="81"/>
    </row>
    <row r="149" spans="4:36">
      <c r="D149" t="s">
        <v>79</v>
      </c>
      <c r="E149" t="s">
        <v>68</v>
      </c>
      <c r="F149" s="435" t="s">
        <v>1869</v>
      </c>
      <c r="G149" s="435" t="s">
        <v>86</v>
      </c>
      <c r="H149" t="s">
        <v>264</v>
      </c>
      <c r="I149" t="s">
        <v>7</v>
      </c>
      <c r="J149" t="s">
        <v>299</v>
      </c>
      <c r="K149" s="101"/>
      <c r="L149" s="101"/>
      <c r="N149" t="s">
        <v>202</v>
      </c>
      <c r="O149" t="s">
        <v>202</v>
      </c>
      <c r="P149" s="81"/>
      <c r="Q149" s="81"/>
      <c r="R149" s="435"/>
      <c r="S149" s="435"/>
      <c r="U149" s="81"/>
      <c r="V149" s="81" t="str">
        <f>IF(U149="","",VLOOKUP(U149,'1.3 Lists'!$L$10:$M$313,2,FALSE))</f>
        <v/>
      </c>
      <c r="AC149" t="s">
        <v>3</v>
      </c>
      <c r="AD149" s="81"/>
      <c r="AE149" s="81"/>
      <c r="AF149" s="81"/>
      <c r="AG149" s="81"/>
      <c r="AH149" s="81"/>
      <c r="AI149" s="81"/>
      <c r="AJ149" s="81"/>
    </row>
    <row r="150" spans="4:36">
      <c r="D150" t="s">
        <v>79</v>
      </c>
      <c r="E150" t="s">
        <v>68</v>
      </c>
      <c r="F150" s="435" t="s">
        <v>1869</v>
      </c>
      <c r="G150" s="435" t="s">
        <v>86</v>
      </c>
      <c r="H150" t="s">
        <v>264</v>
      </c>
      <c r="I150" t="s">
        <v>7</v>
      </c>
      <c r="J150" t="s">
        <v>299</v>
      </c>
      <c r="K150" s="101"/>
      <c r="L150" s="101"/>
      <c r="N150" t="s">
        <v>202</v>
      </c>
      <c r="O150" t="s">
        <v>202</v>
      </c>
      <c r="P150" s="81"/>
      <c r="Q150" s="81"/>
      <c r="R150" s="435"/>
      <c r="S150" s="435"/>
      <c r="U150" s="81"/>
      <c r="V150" s="81" t="str">
        <f>IF(U150="","",VLOOKUP(U150,'1.3 Lists'!$L$10:$M$313,2,FALSE))</f>
        <v/>
      </c>
      <c r="AC150" t="s">
        <v>3</v>
      </c>
      <c r="AD150" s="81"/>
      <c r="AE150" s="81"/>
      <c r="AF150" s="81"/>
      <c r="AG150" s="81"/>
      <c r="AH150" s="81"/>
      <c r="AI150" s="81"/>
      <c r="AJ150" s="81"/>
    </row>
    <row r="151" spans="4:36">
      <c r="D151" t="s">
        <v>79</v>
      </c>
      <c r="E151" t="s">
        <v>68</v>
      </c>
      <c r="F151" s="435" t="s">
        <v>1869</v>
      </c>
      <c r="G151" s="435" t="s">
        <v>86</v>
      </c>
      <c r="H151" t="s">
        <v>264</v>
      </c>
      <c r="I151" t="s">
        <v>7</v>
      </c>
      <c r="J151" t="s">
        <v>299</v>
      </c>
      <c r="K151" s="101"/>
      <c r="L151" s="101"/>
      <c r="N151" t="s">
        <v>202</v>
      </c>
      <c r="O151" t="s">
        <v>202</v>
      </c>
      <c r="P151" s="81"/>
      <c r="Q151" s="81"/>
      <c r="R151" s="435"/>
      <c r="S151" s="435"/>
      <c r="U151" s="81"/>
      <c r="V151" s="81" t="str">
        <f>IF(U151="","",VLOOKUP(U151,'1.3 Lists'!$L$10:$M$313,2,FALSE))</f>
        <v/>
      </c>
      <c r="AC151" t="s">
        <v>3</v>
      </c>
      <c r="AD151" s="81"/>
      <c r="AE151" s="81"/>
      <c r="AF151" s="81"/>
      <c r="AG151" s="81"/>
      <c r="AH151" s="81"/>
      <c r="AI151" s="81"/>
      <c r="AJ151" s="81"/>
    </row>
    <row r="152" spans="4:36">
      <c r="D152" t="s">
        <v>79</v>
      </c>
      <c r="E152" t="s">
        <v>68</v>
      </c>
      <c r="F152" s="435" t="s">
        <v>1869</v>
      </c>
      <c r="G152" s="435" t="s">
        <v>86</v>
      </c>
      <c r="H152" t="s">
        <v>264</v>
      </c>
      <c r="I152" t="s">
        <v>7</v>
      </c>
      <c r="J152" t="s">
        <v>299</v>
      </c>
      <c r="K152" s="101"/>
      <c r="L152" s="101"/>
      <c r="N152" t="s">
        <v>202</v>
      </c>
      <c r="O152" t="s">
        <v>202</v>
      </c>
      <c r="P152" s="81"/>
      <c r="Q152" s="81"/>
      <c r="R152" s="435"/>
      <c r="S152" s="435"/>
      <c r="U152" s="81"/>
      <c r="V152" s="81" t="str">
        <f>IF(U152="","",VLOOKUP(U152,'1.3 Lists'!$L$10:$M$313,2,FALSE))</f>
        <v/>
      </c>
      <c r="AC152" t="s">
        <v>3</v>
      </c>
      <c r="AD152" s="81"/>
      <c r="AE152" s="81"/>
      <c r="AF152" s="81"/>
      <c r="AG152" s="81"/>
      <c r="AH152" s="81"/>
      <c r="AI152" s="81"/>
      <c r="AJ152" s="81"/>
    </row>
    <row r="153" spans="4:36">
      <c r="D153" t="s">
        <v>79</v>
      </c>
      <c r="E153" t="s">
        <v>68</v>
      </c>
      <c r="F153" s="435" t="s">
        <v>1869</v>
      </c>
      <c r="G153" s="435" t="s">
        <v>86</v>
      </c>
      <c r="H153" t="s">
        <v>264</v>
      </c>
      <c r="I153" t="s">
        <v>7</v>
      </c>
      <c r="J153" t="s">
        <v>299</v>
      </c>
      <c r="K153" s="101"/>
      <c r="L153" s="101"/>
      <c r="N153" t="s">
        <v>202</v>
      </c>
      <c r="O153" t="s">
        <v>202</v>
      </c>
      <c r="P153" s="81"/>
      <c r="Q153" s="81"/>
      <c r="R153" s="435"/>
      <c r="S153" s="435"/>
      <c r="U153" s="81"/>
      <c r="V153" s="81" t="str">
        <f>IF(U153="","",VLOOKUP(U153,'1.3 Lists'!$L$10:$M$313,2,FALSE))</f>
        <v/>
      </c>
      <c r="AC153" t="s">
        <v>3</v>
      </c>
      <c r="AD153" s="81"/>
      <c r="AE153" s="81"/>
      <c r="AF153" s="81"/>
      <c r="AG153" s="81"/>
      <c r="AH153" s="81"/>
      <c r="AI153" s="81"/>
      <c r="AJ153" s="81"/>
    </row>
    <row r="154" spans="4:36">
      <c r="D154" t="s">
        <v>79</v>
      </c>
      <c r="E154" t="s">
        <v>68</v>
      </c>
      <c r="F154" s="435" t="s">
        <v>1869</v>
      </c>
      <c r="G154" s="435" t="s">
        <v>86</v>
      </c>
      <c r="H154" t="s">
        <v>264</v>
      </c>
      <c r="I154" t="s">
        <v>7</v>
      </c>
      <c r="J154" t="s">
        <v>299</v>
      </c>
      <c r="K154" s="101"/>
      <c r="L154" s="101"/>
      <c r="N154" t="s">
        <v>202</v>
      </c>
      <c r="O154" t="s">
        <v>202</v>
      </c>
      <c r="P154" s="81"/>
      <c r="Q154" s="81"/>
      <c r="R154" s="435"/>
      <c r="S154" s="435"/>
      <c r="U154" s="81"/>
      <c r="V154" s="81" t="str">
        <f>IF(U154="","",VLOOKUP(U154,'1.3 Lists'!$L$10:$M$313,2,FALSE))</f>
        <v/>
      </c>
      <c r="AC154" t="s">
        <v>3</v>
      </c>
      <c r="AD154" s="81"/>
      <c r="AE154" s="81"/>
      <c r="AF154" s="81"/>
      <c r="AG154" s="81"/>
      <c r="AH154" s="81"/>
      <c r="AI154" s="81"/>
      <c r="AJ154" s="81"/>
    </row>
    <row r="155" spans="4:36">
      <c r="D155" t="s">
        <v>79</v>
      </c>
      <c r="E155" t="s">
        <v>68</v>
      </c>
      <c r="F155" s="435" t="s">
        <v>1869</v>
      </c>
      <c r="G155" s="435" t="s">
        <v>86</v>
      </c>
      <c r="H155" t="s">
        <v>264</v>
      </c>
      <c r="I155" t="s">
        <v>7</v>
      </c>
      <c r="J155" t="s">
        <v>299</v>
      </c>
      <c r="K155" s="101"/>
      <c r="L155" s="101"/>
      <c r="N155" t="s">
        <v>202</v>
      </c>
      <c r="O155" t="s">
        <v>202</v>
      </c>
      <c r="P155" s="81"/>
      <c r="Q155" s="81"/>
      <c r="R155" s="435"/>
      <c r="S155" s="435"/>
      <c r="U155" s="81"/>
      <c r="V155" s="81" t="str">
        <f>IF(U155="","",VLOOKUP(U155,'1.3 Lists'!$L$10:$M$313,2,FALSE))</f>
        <v/>
      </c>
      <c r="AC155" t="s">
        <v>3</v>
      </c>
      <c r="AD155" s="81"/>
      <c r="AE155" s="81"/>
      <c r="AF155" s="81"/>
      <c r="AG155" s="81"/>
      <c r="AH155" s="81"/>
      <c r="AI155" s="81"/>
      <c r="AJ155" s="81"/>
    </row>
    <row r="156" spans="4:36">
      <c r="D156" t="s">
        <v>79</v>
      </c>
      <c r="E156" t="s">
        <v>68</v>
      </c>
      <c r="F156" s="435" t="s">
        <v>1869</v>
      </c>
      <c r="G156" s="435" t="s">
        <v>86</v>
      </c>
      <c r="H156" t="s">
        <v>264</v>
      </c>
      <c r="I156" t="s">
        <v>7</v>
      </c>
      <c r="J156" t="s">
        <v>299</v>
      </c>
      <c r="K156" s="101"/>
      <c r="L156" s="101"/>
      <c r="N156" t="s">
        <v>202</v>
      </c>
      <c r="O156" t="s">
        <v>202</v>
      </c>
      <c r="P156" s="81"/>
      <c r="Q156" s="81"/>
      <c r="R156" s="435"/>
      <c r="S156" s="435"/>
      <c r="U156" s="81"/>
      <c r="V156" s="81" t="str">
        <f>IF(U156="","",VLOOKUP(U156,'1.3 Lists'!$L$10:$M$313,2,FALSE))</f>
        <v/>
      </c>
      <c r="AC156" t="s">
        <v>3</v>
      </c>
      <c r="AD156" s="81"/>
      <c r="AE156" s="81"/>
      <c r="AF156" s="81"/>
      <c r="AG156" s="81"/>
      <c r="AH156" s="81"/>
      <c r="AI156" s="81"/>
      <c r="AJ156" s="81"/>
    </row>
    <row r="157" spans="4:36">
      <c r="D157" t="s">
        <v>79</v>
      </c>
      <c r="E157" t="s">
        <v>68</v>
      </c>
      <c r="F157" s="435" t="s">
        <v>1869</v>
      </c>
      <c r="G157" s="435" t="s">
        <v>86</v>
      </c>
      <c r="H157" t="s">
        <v>264</v>
      </c>
      <c r="I157" t="s">
        <v>7</v>
      </c>
      <c r="J157" t="s">
        <v>299</v>
      </c>
      <c r="K157" s="101"/>
      <c r="L157" s="101"/>
      <c r="N157" t="s">
        <v>202</v>
      </c>
      <c r="O157" t="s">
        <v>202</v>
      </c>
      <c r="P157" s="81"/>
      <c r="Q157" s="81"/>
      <c r="R157" s="435"/>
      <c r="S157" s="435"/>
      <c r="U157" s="81"/>
      <c r="V157" s="81" t="str">
        <f>IF(U157="","",VLOOKUP(U157,'1.3 Lists'!$L$10:$M$313,2,FALSE))</f>
        <v/>
      </c>
      <c r="AC157" t="s">
        <v>3</v>
      </c>
      <c r="AD157" s="81"/>
      <c r="AE157" s="81"/>
      <c r="AF157" s="81"/>
      <c r="AG157" s="81"/>
      <c r="AH157" s="81"/>
      <c r="AI157" s="81"/>
      <c r="AJ157" s="81"/>
    </row>
    <row r="158" spans="4:36">
      <c r="D158" t="s">
        <v>79</v>
      </c>
      <c r="E158" t="s">
        <v>68</v>
      </c>
      <c r="F158" s="435" t="s">
        <v>1869</v>
      </c>
      <c r="G158" s="435" t="s">
        <v>86</v>
      </c>
      <c r="H158" t="s">
        <v>264</v>
      </c>
      <c r="I158" t="s">
        <v>7</v>
      </c>
      <c r="J158" t="s">
        <v>299</v>
      </c>
      <c r="K158" s="101"/>
      <c r="L158" s="101"/>
      <c r="N158" t="s">
        <v>202</v>
      </c>
      <c r="O158" t="s">
        <v>202</v>
      </c>
      <c r="P158" s="81"/>
      <c r="Q158" s="81"/>
      <c r="R158" s="435"/>
      <c r="S158" s="435"/>
      <c r="U158" s="81"/>
      <c r="V158" s="81" t="str">
        <f>IF(U158="","",VLOOKUP(U158,'1.3 Lists'!$L$10:$M$313,2,FALSE))</f>
        <v/>
      </c>
      <c r="AC158" t="s">
        <v>3</v>
      </c>
      <c r="AD158" s="81"/>
      <c r="AE158" s="81"/>
      <c r="AF158" s="81"/>
      <c r="AG158" s="81"/>
      <c r="AH158" s="81"/>
      <c r="AI158" s="81"/>
      <c r="AJ158" s="81"/>
    </row>
    <row r="159" spans="4:36">
      <c r="D159" t="s">
        <v>79</v>
      </c>
      <c r="E159" t="s">
        <v>68</v>
      </c>
      <c r="F159" s="435" t="s">
        <v>1869</v>
      </c>
      <c r="G159" s="435" t="s">
        <v>86</v>
      </c>
      <c r="H159" t="s">
        <v>264</v>
      </c>
      <c r="I159" t="s">
        <v>7</v>
      </c>
      <c r="J159" t="s">
        <v>299</v>
      </c>
      <c r="K159" s="101"/>
      <c r="L159" s="101"/>
      <c r="N159" t="s">
        <v>202</v>
      </c>
      <c r="O159" t="s">
        <v>202</v>
      </c>
      <c r="P159" s="81"/>
      <c r="Q159" s="81"/>
      <c r="R159" s="435"/>
      <c r="S159" s="435"/>
      <c r="U159" s="81"/>
      <c r="V159" s="81" t="str">
        <f>IF(U159="","",VLOOKUP(U159,'1.3 Lists'!$L$10:$M$313,2,FALSE))</f>
        <v/>
      </c>
      <c r="AC159" t="s">
        <v>3</v>
      </c>
      <c r="AD159" s="81"/>
      <c r="AE159" s="81"/>
      <c r="AF159" s="81"/>
      <c r="AG159" s="81"/>
      <c r="AH159" s="81"/>
      <c r="AI159" s="81"/>
      <c r="AJ159" s="81"/>
    </row>
    <row r="160" spans="4:36">
      <c r="D160" t="s">
        <v>79</v>
      </c>
      <c r="E160" t="s">
        <v>68</v>
      </c>
      <c r="F160" s="435" t="s">
        <v>1869</v>
      </c>
      <c r="G160" s="435" t="s">
        <v>86</v>
      </c>
      <c r="H160" t="s">
        <v>264</v>
      </c>
      <c r="I160" t="s">
        <v>7</v>
      </c>
      <c r="J160" t="s">
        <v>299</v>
      </c>
      <c r="K160" s="101"/>
      <c r="L160" s="101"/>
      <c r="N160" t="s">
        <v>202</v>
      </c>
      <c r="O160" t="s">
        <v>202</v>
      </c>
      <c r="P160" s="81"/>
      <c r="Q160" s="81"/>
      <c r="R160" s="435"/>
      <c r="S160" s="435"/>
      <c r="U160" s="81"/>
      <c r="V160" s="81" t="str">
        <f>IF(U160="","",VLOOKUP(U160,'1.3 Lists'!$L$10:$M$313,2,FALSE))</f>
        <v/>
      </c>
      <c r="AC160" t="s">
        <v>3</v>
      </c>
      <c r="AD160" s="81"/>
      <c r="AE160" s="81"/>
      <c r="AF160" s="81"/>
      <c r="AG160" s="81"/>
      <c r="AH160" s="81"/>
      <c r="AI160" s="81"/>
      <c r="AJ160" s="81"/>
    </row>
    <row r="161" spans="4:36">
      <c r="D161" t="s">
        <v>79</v>
      </c>
      <c r="E161" t="s">
        <v>68</v>
      </c>
      <c r="F161" s="435" t="s">
        <v>1869</v>
      </c>
      <c r="G161" s="435" t="s">
        <v>86</v>
      </c>
      <c r="H161" t="s">
        <v>264</v>
      </c>
      <c r="I161" t="s">
        <v>7</v>
      </c>
      <c r="J161" t="s">
        <v>299</v>
      </c>
      <c r="K161" s="101"/>
      <c r="L161" s="101"/>
      <c r="N161" t="s">
        <v>202</v>
      </c>
      <c r="O161" t="s">
        <v>202</v>
      </c>
      <c r="P161" s="81"/>
      <c r="Q161" s="81"/>
      <c r="R161" s="435"/>
      <c r="S161" s="435"/>
      <c r="U161" s="81"/>
      <c r="V161" s="81" t="str">
        <f>IF(U161="","",VLOOKUP(U161,'1.3 Lists'!$L$10:$M$313,2,FALSE))</f>
        <v/>
      </c>
      <c r="AC161" t="s">
        <v>3</v>
      </c>
      <c r="AD161" s="81"/>
      <c r="AE161" s="81"/>
      <c r="AF161" s="81"/>
      <c r="AG161" s="81"/>
      <c r="AH161" s="81"/>
      <c r="AI161" s="81"/>
      <c r="AJ161" s="81"/>
    </row>
    <row r="162" spans="4:36">
      <c r="D162" t="s">
        <v>79</v>
      </c>
      <c r="E162" t="s">
        <v>68</v>
      </c>
      <c r="F162" s="435" t="s">
        <v>1869</v>
      </c>
      <c r="G162" s="435" t="s">
        <v>86</v>
      </c>
      <c r="H162" t="s">
        <v>264</v>
      </c>
      <c r="I162" t="s">
        <v>7</v>
      </c>
      <c r="J162" t="s">
        <v>299</v>
      </c>
      <c r="K162" s="101"/>
      <c r="L162" s="101"/>
      <c r="N162" t="s">
        <v>202</v>
      </c>
      <c r="O162" t="s">
        <v>202</v>
      </c>
      <c r="P162" s="81"/>
      <c r="Q162" s="81"/>
      <c r="R162" s="435"/>
      <c r="S162" s="435"/>
      <c r="U162" s="81"/>
      <c r="V162" s="81" t="str">
        <f>IF(U162="","",VLOOKUP(U162,'1.3 Lists'!$L$10:$M$313,2,FALSE))</f>
        <v/>
      </c>
      <c r="AC162" t="s">
        <v>3</v>
      </c>
      <c r="AD162" s="81"/>
      <c r="AE162" s="81"/>
      <c r="AF162" s="81"/>
      <c r="AG162" s="81"/>
      <c r="AH162" s="81"/>
      <c r="AI162" s="81"/>
      <c r="AJ162" s="81"/>
    </row>
    <row r="163" spans="4:36">
      <c r="D163" t="s">
        <v>79</v>
      </c>
      <c r="E163" t="s">
        <v>68</v>
      </c>
      <c r="F163" s="435" t="s">
        <v>1869</v>
      </c>
      <c r="G163" s="435" t="s">
        <v>86</v>
      </c>
      <c r="H163" t="s">
        <v>264</v>
      </c>
      <c r="I163" t="s">
        <v>7</v>
      </c>
      <c r="J163" t="s">
        <v>299</v>
      </c>
      <c r="K163" s="101"/>
      <c r="L163" s="101"/>
      <c r="N163" t="s">
        <v>202</v>
      </c>
      <c r="O163" t="s">
        <v>202</v>
      </c>
      <c r="P163" s="81"/>
      <c r="Q163" s="81"/>
      <c r="R163" s="435"/>
      <c r="S163" s="435"/>
      <c r="U163" s="81"/>
      <c r="V163" s="81" t="str">
        <f>IF(U163="","",VLOOKUP(U163,'1.3 Lists'!$L$10:$M$313,2,FALSE))</f>
        <v/>
      </c>
      <c r="AC163" t="s">
        <v>3</v>
      </c>
      <c r="AD163" s="81"/>
      <c r="AE163" s="81"/>
      <c r="AF163" s="81"/>
      <c r="AG163" s="81"/>
      <c r="AH163" s="81"/>
      <c r="AI163" s="81"/>
      <c r="AJ163" s="81"/>
    </row>
    <row r="164" spans="4:36">
      <c r="D164" t="s">
        <v>79</v>
      </c>
      <c r="E164" t="s">
        <v>68</v>
      </c>
      <c r="F164" s="435" t="s">
        <v>1869</v>
      </c>
      <c r="G164" s="435" t="s">
        <v>86</v>
      </c>
      <c r="H164" t="s">
        <v>264</v>
      </c>
      <c r="I164" t="s">
        <v>7</v>
      </c>
      <c r="J164" t="s">
        <v>299</v>
      </c>
      <c r="K164" s="101"/>
      <c r="L164" s="101"/>
      <c r="N164" t="s">
        <v>202</v>
      </c>
      <c r="O164" t="s">
        <v>202</v>
      </c>
      <c r="P164" s="81"/>
      <c r="Q164" s="81"/>
      <c r="R164" s="435"/>
      <c r="S164" s="435"/>
      <c r="U164" s="81"/>
      <c r="V164" s="81" t="str">
        <f>IF(U164="","",VLOOKUP(U164,'1.3 Lists'!$L$10:$M$313,2,FALSE))</f>
        <v/>
      </c>
      <c r="AC164" t="s">
        <v>3</v>
      </c>
      <c r="AD164" s="81"/>
      <c r="AE164" s="81"/>
      <c r="AF164" s="81"/>
      <c r="AG164" s="81"/>
      <c r="AH164" s="81"/>
      <c r="AI164" s="81"/>
      <c r="AJ164" s="81"/>
    </row>
    <row r="165" spans="4:36">
      <c r="D165" t="s">
        <v>79</v>
      </c>
      <c r="E165" t="s">
        <v>68</v>
      </c>
      <c r="F165" s="435" t="s">
        <v>1869</v>
      </c>
      <c r="G165" s="435" t="s">
        <v>86</v>
      </c>
      <c r="H165" t="s">
        <v>264</v>
      </c>
      <c r="I165" t="s">
        <v>7</v>
      </c>
      <c r="J165" t="s">
        <v>299</v>
      </c>
      <c r="K165" s="101"/>
      <c r="L165" s="101"/>
      <c r="N165" t="s">
        <v>202</v>
      </c>
      <c r="O165" t="s">
        <v>202</v>
      </c>
      <c r="P165" s="81"/>
      <c r="Q165" s="81"/>
      <c r="R165" s="435"/>
      <c r="S165" s="435"/>
      <c r="U165" s="81"/>
      <c r="V165" s="81" t="str">
        <f>IF(U165="","",VLOOKUP(U165,'1.3 Lists'!$L$10:$M$313,2,FALSE))</f>
        <v/>
      </c>
      <c r="AC165" t="s">
        <v>3</v>
      </c>
      <c r="AD165" s="81"/>
      <c r="AE165" s="81"/>
      <c r="AF165" s="81"/>
      <c r="AG165" s="81"/>
      <c r="AH165" s="81"/>
      <c r="AI165" s="81"/>
      <c r="AJ165" s="81"/>
    </row>
    <row r="166" spans="4:36">
      <c r="D166" t="s">
        <v>79</v>
      </c>
      <c r="E166" t="s">
        <v>68</v>
      </c>
      <c r="F166" s="435" t="s">
        <v>1869</v>
      </c>
      <c r="G166" s="435" t="s">
        <v>86</v>
      </c>
      <c r="H166" t="s">
        <v>264</v>
      </c>
      <c r="I166" t="s">
        <v>7</v>
      </c>
      <c r="J166" t="s">
        <v>299</v>
      </c>
      <c r="K166" s="101"/>
      <c r="L166" s="101"/>
      <c r="N166" t="s">
        <v>202</v>
      </c>
      <c r="O166" t="s">
        <v>202</v>
      </c>
      <c r="P166" s="81"/>
      <c r="Q166" s="81"/>
      <c r="R166" s="435"/>
      <c r="S166" s="435"/>
      <c r="U166" s="81"/>
      <c r="V166" s="81" t="str">
        <f>IF(U166="","",VLOOKUP(U166,'1.3 Lists'!$L$10:$M$313,2,FALSE))</f>
        <v/>
      </c>
      <c r="AC166" t="s">
        <v>3</v>
      </c>
      <c r="AD166" s="81"/>
      <c r="AE166" s="81"/>
      <c r="AF166" s="81"/>
      <c r="AG166" s="81"/>
      <c r="AH166" s="81"/>
      <c r="AI166" s="81"/>
      <c r="AJ166" s="81"/>
    </row>
    <row r="167" spans="4:36">
      <c r="D167" t="s">
        <v>79</v>
      </c>
      <c r="E167" t="s">
        <v>68</v>
      </c>
      <c r="F167" s="435" t="s">
        <v>1869</v>
      </c>
      <c r="G167" s="435" t="s">
        <v>86</v>
      </c>
      <c r="H167" t="s">
        <v>264</v>
      </c>
      <c r="I167" t="s">
        <v>7</v>
      </c>
      <c r="J167" t="s">
        <v>299</v>
      </c>
      <c r="K167" s="101"/>
      <c r="L167" s="101"/>
      <c r="N167" t="s">
        <v>202</v>
      </c>
      <c r="O167" t="s">
        <v>202</v>
      </c>
      <c r="P167" s="81"/>
      <c r="Q167" s="81"/>
      <c r="R167" s="435"/>
      <c r="S167" s="435"/>
      <c r="U167" s="81"/>
      <c r="V167" s="81" t="str">
        <f>IF(U167="","",VLOOKUP(U167,'1.3 Lists'!$L$10:$M$313,2,FALSE))</f>
        <v/>
      </c>
      <c r="AC167" t="s">
        <v>3</v>
      </c>
      <c r="AD167" s="81"/>
      <c r="AE167" s="81"/>
      <c r="AF167" s="81"/>
      <c r="AG167" s="81"/>
      <c r="AH167" s="81"/>
      <c r="AI167" s="81"/>
      <c r="AJ167" s="81"/>
    </row>
    <row r="168" spans="4:36">
      <c r="D168" t="s">
        <v>79</v>
      </c>
      <c r="E168" t="s">
        <v>68</v>
      </c>
      <c r="F168" s="435" t="s">
        <v>1869</v>
      </c>
      <c r="G168" s="435" t="s">
        <v>86</v>
      </c>
      <c r="H168" t="s">
        <v>264</v>
      </c>
      <c r="I168" t="s">
        <v>7</v>
      </c>
      <c r="J168" t="s">
        <v>299</v>
      </c>
      <c r="K168" s="101"/>
      <c r="L168" s="101"/>
      <c r="N168" t="s">
        <v>202</v>
      </c>
      <c r="O168" t="s">
        <v>202</v>
      </c>
      <c r="P168" s="81"/>
      <c r="Q168" s="81"/>
      <c r="R168" s="435"/>
      <c r="S168" s="435"/>
      <c r="U168" s="81"/>
      <c r="V168" s="81" t="str">
        <f>IF(U168="","",VLOOKUP(U168,'1.3 Lists'!$L$10:$M$313,2,FALSE))</f>
        <v/>
      </c>
      <c r="AC168" t="s">
        <v>3</v>
      </c>
      <c r="AD168" s="81"/>
      <c r="AE168" s="81"/>
      <c r="AF168" s="81"/>
      <c r="AG168" s="81"/>
      <c r="AH168" s="81"/>
      <c r="AI168" s="81"/>
      <c r="AJ168" s="81"/>
    </row>
    <row r="169" spans="4:36">
      <c r="D169" t="s">
        <v>79</v>
      </c>
      <c r="E169" t="s">
        <v>68</v>
      </c>
      <c r="F169" s="435" t="s">
        <v>1869</v>
      </c>
      <c r="G169" s="435" t="s">
        <v>86</v>
      </c>
      <c r="H169" t="s">
        <v>264</v>
      </c>
      <c r="I169" t="s">
        <v>7</v>
      </c>
      <c r="J169" t="s">
        <v>299</v>
      </c>
      <c r="K169" s="101"/>
      <c r="L169" s="101"/>
      <c r="N169" t="s">
        <v>202</v>
      </c>
      <c r="O169" t="s">
        <v>202</v>
      </c>
      <c r="P169" s="81"/>
      <c r="Q169" s="81"/>
      <c r="R169" s="435"/>
      <c r="S169" s="435"/>
      <c r="U169" s="81"/>
      <c r="V169" s="81" t="str">
        <f>IF(U169="","",VLOOKUP(U169,'1.3 Lists'!$L$10:$M$313,2,FALSE))</f>
        <v/>
      </c>
      <c r="AC169" t="s">
        <v>3</v>
      </c>
      <c r="AD169" s="81"/>
      <c r="AE169" s="81"/>
      <c r="AF169" s="81"/>
      <c r="AG169" s="81"/>
      <c r="AH169" s="81"/>
      <c r="AI169" s="81"/>
      <c r="AJ169" s="81"/>
    </row>
    <row r="170" spans="4:36">
      <c r="D170" t="s">
        <v>79</v>
      </c>
      <c r="E170" t="s">
        <v>68</v>
      </c>
      <c r="F170" s="435" t="s">
        <v>1869</v>
      </c>
      <c r="G170" s="435" t="s">
        <v>86</v>
      </c>
      <c r="H170" t="s">
        <v>264</v>
      </c>
      <c r="I170" t="s">
        <v>7</v>
      </c>
      <c r="J170" t="s">
        <v>299</v>
      </c>
      <c r="K170" s="101"/>
      <c r="L170" s="101"/>
      <c r="N170" t="s">
        <v>202</v>
      </c>
      <c r="O170" t="s">
        <v>202</v>
      </c>
      <c r="P170" s="81"/>
      <c r="Q170" s="81"/>
      <c r="R170" s="435"/>
      <c r="S170" s="435"/>
      <c r="U170" s="81"/>
      <c r="V170" s="81" t="str">
        <f>IF(U170="","",VLOOKUP(U170,'1.3 Lists'!$L$10:$M$313,2,FALSE))</f>
        <v/>
      </c>
      <c r="AC170" t="s">
        <v>3</v>
      </c>
      <c r="AD170" s="81"/>
      <c r="AE170" s="81"/>
      <c r="AF170" s="81"/>
      <c r="AG170" s="81"/>
      <c r="AH170" s="81"/>
      <c r="AI170" s="81"/>
      <c r="AJ170" s="81"/>
    </row>
    <row r="171" spans="4:36">
      <c r="D171" t="s">
        <v>79</v>
      </c>
      <c r="E171" t="s">
        <v>68</v>
      </c>
      <c r="F171" s="435" t="s">
        <v>1869</v>
      </c>
      <c r="G171" s="435" t="s">
        <v>86</v>
      </c>
      <c r="H171" t="s">
        <v>264</v>
      </c>
      <c r="I171" t="s">
        <v>7</v>
      </c>
      <c r="J171" t="s">
        <v>299</v>
      </c>
      <c r="K171" s="101"/>
      <c r="L171" s="101"/>
      <c r="N171" t="s">
        <v>202</v>
      </c>
      <c r="O171" t="s">
        <v>202</v>
      </c>
      <c r="P171" s="81"/>
      <c r="Q171" s="81"/>
      <c r="R171" s="435"/>
      <c r="S171" s="435"/>
      <c r="U171" s="81"/>
      <c r="V171" s="81" t="str">
        <f>IF(U171="","",VLOOKUP(U171,'1.3 Lists'!$L$10:$M$313,2,FALSE))</f>
        <v/>
      </c>
      <c r="AC171" t="s">
        <v>3</v>
      </c>
      <c r="AD171" s="81"/>
      <c r="AE171" s="81"/>
      <c r="AF171" s="81"/>
      <c r="AG171" s="81"/>
      <c r="AH171" s="81"/>
      <c r="AI171" s="81"/>
      <c r="AJ171" s="81"/>
    </row>
    <row r="172" spans="4:36">
      <c r="D172" t="s">
        <v>79</v>
      </c>
      <c r="E172" t="s">
        <v>68</v>
      </c>
      <c r="F172" s="435" t="s">
        <v>1869</v>
      </c>
      <c r="G172" s="435" t="s">
        <v>86</v>
      </c>
      <c r="H172" t="s">
        <v>264</v>
      </c>
      <c r="I172" t="s">
        <v>7</v>
      </c>
      <c r="J172" t="s">
        <v>299</v>
      </c>
      <c r="K172" s="101"/>
      <c r="L172" s="101"/>
      <c r="N172" t="s">
        <v>202</v>
      </c>
      <c r="O172" t="s">
        <v>202</v>
      </c>
      <c r="P172" s="81"/>
      <c r="Q172" s="81"/>
      <c r="R172" s="435"/>
      <c r="S172" s="435"/>
      <c r="U172" s="81"/>
      <c r="V172" s="81" t="str">
        <f>IF(U172="","",VLOOKUP(U172,'1.3 Lists'!$L$10:$M$313,2,FALSE))</f>
        <v/>
      </c>
      <c r="AC172" t="s">
        <v>3</v>
      </c>
      <c r="AD172" s="81"/>
      <c r="AE172" s="81"/>
      <c r="AF172" s="81"/>
      <c r="AG172" s="81"/>
      <c r="AH172" s="81"/>
      <c r="AI172" s="81"/>
      <c r="AJ172" s="81"/>
    </row>
    <row r="173" spans="4:36">
      <c r="D173" t="s">
        <v>79</v>
      </c>
      <c r="E173" t="s">
        <v>68</v>
      </c>
      <c r="F173" s="435" t="s">
        <v>1869</v>
      </c>
      <c r="G173" s="435" t="s">
        <v>86</v>
      </c>
      <c r="H173" t="s">
        <v>264</v>
      </c>
      <c r="I173" t="s">
        <v>7</v>
      </c>
      <c r="J173" t="s">
        <v>299</v>
      </c>
      <c r="K173" s="101"/>
      <c r="L173" s="101"/>
      <c r="N173" t="s">
        <v>202</v>
      </c>
      <c r="O173" t="s">
        <v>202</v>
      </c>
      <c r="P173" s="81"/>
      <c r="Q173" s="81"/>
      <c r="R173" s="435"/>
      <c r="S173" s="435"/>
      <c r="U173" s="81"/>
      <c r="V173" s="81" t="str">
        <f>IF(U173="","",VLOOKUP(U173,'1.3 Lists'!$L$10:$M$313,2,FALSE))</f>
        <v/>
      </c>
      <c r="AC173" t="s">
        <v>3</v>
      </c>
      <c r="AD173" s="81"/>
      <c r="AE173" s="81"/>
      <c r="AF173" s="81"/>
      <c r="AG173" s="81"/>
      <c r="AH173" s="81"/>
      <c r="AI173" s="81"/>
      <c r="AJ173" s="81"/>
    </row>
    <row r="174" spans="4:36">
      <c r="D174" t="s">
        <v>79</v>
      </c>
      <c r="E174" t="s">
        <v>68</v>
      </c>
      <c r="F174" s="435" t="s">
        <v>1869</v>
      </c>
      <c r="G174" s="435" t="s">
        <v>86</v>
      </c>
      <c r="H174" t="s">
        <v>264</v>
      </c>
      <c r="I174" t="s">
        <v>7</v>
      </c>
      <c r="J174" t="s">
        <v>299</v>
      </c>
      <c r="K174" s="101"/>
      <c r="L174" s="101"/>
      <c r="N174" t="s">
        <v>202</v>
      </c>
      <c r="O174" t="s">
        <v>202</v>
      </c>
      <c r="P174" s="81"/>
      <c r="Q174" s="81"/>
      <c r="R174" s="435"/>
      <c r="S174" s="435"/>
      <c r="U174" s="81"/>
      <c r="V174" s="81" t="str">
        <f>IF(U174="","",VLOOKUP(U174,'1.3 Lists'!$L$10:$M$313,2,FALSE))</f>
        <v/>
      </c>
      <c r="AC174" t="s">
        <v>3</v>
      </c>
      <c r="AD174" s="81"/>
      <c r="AE174" s="81"/>
      <c r="AF174" s="81"/>
      <c r="AG174" s="81"/>
      <c r="AH174" s="81"/>
      <c r="AI174" s="81"/>
      <c r="AJ174" s="81"/>
    </row>
    <row r="175" spans="4:36">
      <c r="D175" t="s">
        <v>79</v>
      </c>
      <c r="E175" t="s">
        <v>68</v>
      </c>
      <c r="F175" s="435" t="s">
        <v>1869</v>
      </c>
      <c r="G175" s="435" t="s">
        <v>86</v>
      </c>
      <c r="H175" t="s">
        <v>264</v>
      </c>
      <c r="I175" t="s">
        <v>7</v>
      </c>
      <c r="J175" t="s">
        <v>299</v>
      </c>
      <c r="K175" s="101"/>
      <c r="L175" s="101"/>
      <c r="N175" t="s">
        <v>202</v>
      </c>
      <c r="O175" t="s">
        <v>202</v>
      </c>
      <c r="P175" s="81"/>
      <c r="Q175" s="81"/>
      <c r="R175" s="435"/>
      <c r="S175" s="435"/>
      <c r="U175" s="81"/>
      <c r="V175" s="81" t="str">
        <f>IF(U175="","",VLOOKUP(U175,'1.3 Lists'!$L$10:$M$313,2,FALSE))</f>
        <v/>
      </c>
      <c r="AC175" t="s">
        <v>3</v>
      </c>
      <c r="AD175" s="81"/>
      <c r="AE175" s="81"/>
      <c r="AF175" s="81"/>
      <c r="AG175" s="81"/>
      <c r="AH175" s="81"/>
      <c r="AI175" s="81"/>
      <c r="AJ175" s="81"/>
    </row>
    <row r="176" spans="4:36">
      <c r="D176" t="s">
        <v>79</v>
      </c>
      <c r="E176" t="s">
        <v>68</v>
      </c>
      <c r="F176" s="435" t="s">
        <v>1869</v>
      </c>
      <c r="G176" s="435" t="s">
        <v>86</v>
      </c>
      <c r="H176" t="s">
        <v>264</v>
      </c>
      <c r="I176" t="s">
        <v>7</v>
      </c>
      <c r="J176" t="s">
        <v>299</v>
      </c>
      <c r="K176" s="101"/>
      <c r="L176" s="101"/>
      <c r="N176" t="s">
        <v>202</v>
      </c>
      <c r="O176" t="s">
        <v>202</v>
      </c>
      <c r="P176" s="81"/>
      <c r="Q176" s="81"/>
      <c r="R176" s="435"/>
      <c r="S176" s="435"/>
      <c r="U176" s="81"/>
      <c r="V176" s="81" t="str">
        <f>IF(U176="","",VLOOKUP(U176,'1.3 Lists'!$L$10:$M$313,2,FALSE))</f>
        <v/>
      </c>
      <c r="AC176" t="s">
        <v>3</v>
      </c>
      <c r="AD176" s="81"/>
      <c r="AE176" s="81"/>
      <c r="AF176" s="81"/>
      <c r="AG176" s="81"/>
      <c r="AH176" s="81"/>
      <c r="AI176" s="81"/>
      <c r="AJ176" s="81"/>
    </row>
    <row r="177" spans="4:36">
      <c r="D177" t="s">
        <v>79</v>
      </c>
      <c r="E177" t="s">
        <v>68</v>
      </c>
      <c r="F177" s="435" t="s">
        <v>1869</v>
      </c>
      <c r="G177" s="435" t="s">
        <v>86</v>
      </c>
      <c r="H177" t="s">
        <v>264</v>
      </c>
      <c r="I177" t="s">
        <v>7</v>
      </c>
      <c r="J177" t="s">
        <v>299</v>
      </c>
      <c r="K177" s="101"/>
      <c r="L177" s="101"/>
      <c r="N177" t="s">
        <v>202</v>
      </c>
      <c r="O177" t="s">
        <v>202</v>
      </c>
      <c r="P177" s="81"/>
      <c r="Q177" s="81"/>
      <c r="R177" s="435"/>
      <c r="S177" s="435"/>
      <c r="U177" s="81"/>
      <c r="V177" s="81" t="str">
        <f>IF(U177="","",VLOOKUP(U177,'1.3 Lists'!$L$10:$M$313,2,FALSE))</f>
        <v/>
      </c>
      <c r="AC177" t="s">
        <v>3</v>
      </c>
      <c r="AD177" s="81"/>
      <c r="AE177" s="81"/>
      <c r="AF177" s="81"/>
      <c r="AG177" s="81"/>
      <c r="AH177" s="81"/>
      <c r="AI177" s="81"/>
      <c r="AJ177" s="81"/>
    </row>
    <row r="178" spans="4:36">
      <c r="D178" t="s">
        <v>79</v>
      </c>
      <c r="E178" t="s">
        <v>68</v>
      </c>
      <c r="F178" s="435" t="s">
        <v>1869</v>
      </c>
      <c r="G178" s="435" t="s">
        <v>86</v>
      </c>
      <c r="H178" t="s">
        <v>264</v>
      </c>
      <c r="I178" t="s">
        <v>7</v>
      </c>
      <c r="J178" t="s">
        <v>299</v>
      </c>
      <c r="K178" s="101"/>
      <c r="L178" s="101"/>
      <c r="N178" t="s">
        <v>202</v>
      </c>
      <c r="O178" t="s">
        <v>202</v>
      </c>
      <c r="P178" s="81"/>
      <c r="Q178" s="81"/>
      <c r="R178" s="435"/>
      <c r="S178" s="435"/>
      <c r="U178" s="81"/>
      <c r="V178" s="81" t="str">
        <f>IF(U178="","",VLOOKUP(U178,'1.3 Lists'!$L$10:$M$313,2,FALSE))</f>
        <v/>
      </c>
      <c r="AC178" t="s">
        <v>3</v>
      </c>
      <c r="AD178" s="81"/>
      <c r="AE178" s="81"/>
      <c r="AF178" s="81"/>
      <c r="AG178" s="81"/>
      <c r="AH178" s="81"/>
      <c r="AI178" s="81"/>
      <c r="AJ178" s="81"/>
    </row>
    <row r="179" spans="4:36">
      <c r="D179" t="s">
        <v>79</v>
      </c>
      <c r="E179" t="s">
        <v>68</v>
      </c>
      <c r="F179" s="435" t="s">
        <v>1869</v>
      </c>
      <c r="G179" s="435" t="s">
        <v>86</v>
      </c>
      <c r="H179" t="s">
        <v>264</v>
      </c>
      <c r="I179" t="s">
        <v>7</v>
      </c>
      <c r="J179" t="s">
        <v>299</v>
      </c>
      <c r="K179" s="101"/>
      <c r="L179" s="101"/>
      <c r="N179" t="s">
        <v>202</v>
      </c>
      <c r="O179" t="s">
        <v>202</v>
      </c>
      <c r="P179" s="81"/>
      <c r="Q179" s="81"/>
      <c r="R179" s="435"/>
      <c r="S179" s="435"/>
      <c r="U179" s="81"/>
      <c r="V179" s="81" t="str">
        <f>IF(U179="","",VLOOKUP(U179,'1.3 Lists'!$L$10:$M$313,2,FALSE))</f>
        <v/>
      </c>
      <c r="AC179" t="s">
        <v>3</v>
      </c>
      <c r="AD179" s="81"/>
      <c r="AE179" s="81"/>
      <c r="AF179" s="81"/>
      <c r="AG179" s="81"/>
      <c r="AH179" s="81"/>
      <c r="AI179" s="81"/>
      <c r="AJ179" s="81"/>
    </row>
    <row r="180" spans="4:36">
      <c r="D180" t="s">
        <v>79</v>
      </c>
      <c r="E180" t="s">
        <v>68</v>
      </c>
      <c r="F180" s="435" t="s">
        <v>1869</v>
      </c>
      <c r="G180" s="435" t="s">
        <v>86</v>
      </c>
      <c r="H180" t="s">
        <v>264</v>
      </c>
      <c r="I180" t="s">
        <v>7</v>
      </c>
      <c r="J180" t="s">
        <v>299</v>
      </c>
      <c r="K180" s="101"/>
      <c r="L180" s="101"/>
      <c r="N180" t="s">
        <v>202</v>
      </c>
      <c r="O180" t="s">
        <v>202</v>
      </c>
      <c r="P180" s="81"/>
      <c r="Q180" s="81"/>
      <c r="R180" s="435"/>
      <c r="S180" s="435"/>
      <c r="U180" s="81"/>
      <c r="V180" s="81" t="str">
        <f>IF(U180="","",VLOOKUP(U180,'1.3 Lists'!$L$10:$M$313,2,FALSE))</f>
        <v/>
      </c>
      <c r="AC180" t="s">
        <v>3</v>
      </c>
      <c r="AD180" s="81"/>
      <c r="AE180" s="81"/>
      <c r="AF180" s="81"/>
      <c r="AG180" s="81"/>
      <c r="AH180" s="81"/>
      <c r="AI180" s="81"/>
      <c r="AJ180" s="81"/>
    </row>
    <row r="181" spans="4:36">
      <c r="D181" t="s">
        <v>79</v>
      </c>
      <c r="E181" t="s">
        <v>68</v>
      </c>
      <c r="F181" s="435" t="s">
        <v>1869</v>
      </c>
      <c r="G181" s="435" t="s">
        <v>86</v>
      </c>
      <c r="H181" t="s">
        <v>264</v>
      </c>
      <c r="I181" t="s">
        <v>7</v>
      </c>
      <c r="J181" t="s">
        <v>299</v>
      </c>
      <c r="K181" s="101"/>
      <c r="L181" s="101"/>
      <c r="N181" t="s">
        <v>202</v>
      </c>
      <c r="O181" t="s">
        <v>202</v>
      </c>
      <c r="P181" s="81"/>
      <c r="Q181" s="81"/>
      <c r="R181" s="435"/>
      <c r="S181" s="435"/>
      <c r="U181" s="81"/>
      <c r="V181" s="81" t="str">
        <f>IF(U181="","",VLOOKUP(U181,'1.3 Lists'!$L$10:$M$313,2,FALSE))</f>
        <v/>
      </c>
      <c r="AC181" t="s">
        <v>3</v>
      </c>
      <c r="AD181" s="81"/>
      <c r="AE181" s="81"/>
      <c r="AF181" s="81"/>
      <c r="AG181" s="81"/>
      <c r="AH181" s="81"/>
      <c r="AI181" s="81"/>
      <c r="AJ181" s="81"/>
    </row>
    <row r="182" spans="4:36">
      <c r="D182" t="s">
        <v>79</v>
      </c>
      <c r="E182" t="s">
        <v>68</v>
      </c>
      <c r="F182" s="435" t="s">
        <v>1869</v>
      </c>
      <c r="G182" s="435" t="s">
        <v>86</v>
      </c>
      <c r="H182" t="s">
        <v>264</v>
      </c>
      <c r="I182" t="s">
        <v>7</v>
      </c>
      <c r="J182" t="s">
        <v>299</v>
      </c>
      <c r="K182" s="101"/>
      <c r="L182" s="101"/>
      <c r="N182" t="s">
        <v>202</v>
      </c>
      <c r="O182" t="s">
        <v>202</v>
      </c>
      <c r="P182" s="81"/>
      <c r="Q182" s="81"/>
      <c r="R182" s="435"/>
      <c r="S182" s="435"/>
      <c r="U182" s="81"/>
      <c r="V182" s="81" t="str">
        <f>IF(U182="","",VLOOKUP(U182,'1.3 Lists'!$L$10:$M$313,2,FALSE))</f>
        <v/>
      </c>
      <c r="AC182" t="s">
        <v>3</v>
      </c>
      <c r="AD182" s="81"/>
      <c r="AE182" s="81"/>
      <c r="AF182" s="81"/>
      <c r="AG182" s="81"/>
      <c r="AH182" s="81"/>
      <c r="AI182" s="81"/>
      <c r="AJ182" s="81"/>
    </row>
    <row r="183" spans="4:36">
      <c r="D183" t="s">
        <v>79</v>
      </c>
      <c r="E183" t="s">
        <v>68</v>
      </c>
      <c r="F183" s="435" t="s">
        <v>1869</v>
      </c>
      <c r="G183" s="435" t="s">
        <v>86</v>
      </c>
      <c r="H183" t="s">
        <v>264</v>
      </c>
      <c r="I183" t="s">
        <v>7</v>
      </c>
      <c r="J183" t="s">
        <v>299</v>
      </c>
      <c r="K183" s="101"/>
      <c r="L183" s="101"/>
      <c r="N183" t="s">
        <v>202</v>
      </c>
      <c r="O183" t="s">
        <v>202</v>
      </c>
      <c r="P183" s="81"/>
      <c r="Q183" s="81"/>
      <c r="R183" s="435"/>
      <c r="S183" s="435"/>
      <c r="U183" s="81"/>
      <c r="V183" s="81" t="str">
        <f>IF(U183="","",VLOOKUP(U183,'1.3 Lists'!$L$10:$M$313,2,FALSE))</f>
        <v/>
      </c>
      <c r="AC183" t="s">
        <v>3</v>
      </c>
      <c r="AD183" s="81"/>
      <c r="AE183" s="81"/>
      <c r="AF183" s="81"/>
      <c r="AG183" s="81"/>
      <c r="AH183" s="81"/>
      <c r="AI183" s="81"/>
      <c r="AJ183" s="81"/>
    </row>
    <row r="184" spans="4:36">
      <c r="D184" t="s">
        <v>79</v>
      </c>
      <c r="E184" t="s">
        <v>68</v>
      </c>
      <c r="F184" s="435" t="s">
        <v>1869</v>
      </c>
      <c r="G184" s="435" t="s">
        <v>86</v>
      </c>
      <c r="H184" t="s">
        <v>264</v>
      </c>
      <c r="I184" t="s">
        <v>7</v>
      </c>
      <c r="J184" t="s">
        <v>299</v>
      </c>
      <c r="K184" s="101"/>
      <c r="L184" s="101"/>
      <c r="N184" t="s">
        <v>202</v>
      </c>
      <c r="O184" t="s">
        <v>202</v>
      </c>
      <c r="P184" s="81"/>
      <c r="Q184" s="81"/>
      <c r="R184" s="435"/>
      <c r="S184" s="435"/>
      <c r="U184" s="81"/>
      <c r="V184" s="81" t="str">
        <f>IF(U184="","",VLOOKUP(U184,'1.3 Lists'!$L$10:$M$313,2,FALSE))</f>
        <v/>
      </c>
      <c r="AC184" t="s">
        <v>3</v>
      </c>
      <c r="AD184" s="81"/>
      <c r="AE184" s="81"/>
      <c r="AF184" s="81"/>
      <c r="AG184" s="81"/>
      <c r="AH184" s="81"/>
      <c r="AI184" s="81"/>
      <c r="AJ184" s="81"/>
    </row>
    <row r="185" spans="4:36">
      <c r="D185" t="s">
        <v>79</v>
      </c>
      <c r="E185" t="s">
        <v>68</v>
      </c>
      <c r="F185" s="435" t="s">
        <v>1869</v>
      </c>
      <c r="G185" s="435" t="s">
        <v>86</v>
      </c>
      <c r="H185" t="s">
        <v>264</v>
      </c>
      <c r="I185" t="s">
        <v>7</v>
      </c>
      <c r="J185" t="s">
        <v>299</v>
      </c>
      <c r="K185" s="101"/>
      <c r="L185" s="101"/>
      <c r="N185" t="s">
        <v>202</v>
      </c>
      <c r="O185" t="s">
        <v>202</v>
      </c>
      <c r="P185" s="81"/>
      <c r="Q185" s="81"/>
      <c r="R185" s="435"/>
      <c r="S185" s="435"/>
      <c r="U185" s="81"/>
      <c r="V185" s="81" t="str">
        <f>IF(U185="","",VLOOKUP(U185,'1.3 Lists'!$L$10:$M$313,2,FALSE))</f>
        <v/>
      </c>
      <c r="AC185" t="s">
        <v>3</v>
      </c>
      <c r="AD185" s="81"/>
      <c r="AE185" s="81"/>
      <c r="AF185" s="81"/>
      <c r="AG185" s="81"/>
      <c r="AH185" s="81"/>
      <c r="AI185" s="81"/>
      <c r="AJ185" s="81"/>
    </row>
    <row r="186" spans="4:36">
      <c r="D186" t="s">
        <v>79</v>
      </c>
      <c r="E186" t="s">
        <v>68</v>
      </c>
      <c r="F186" s="435" t="s">
        <v>1869</v>
      </c>
      <c r="G186" s="435" t="s">
        <v>86</v>
      </c>
      <c r="H186" t="s">
        <v>264</v>
      </c>
      <c r="I186" t="s">
        <v>7</v>
      </c>
      <c r="J186" t="s">
        <v>299</v>
      </c>
      <c r="K186" s="101"/>
      <c r="L186" s="101"/>
      <c r="N186" t="s">
        <v>202</v>
      </c>
      <c r="O186" t="s">
        <v>202</v>
      </c>
      <c r="P186" s="81"/>
      <c r="Q186" s="81"/>
      <c r="R186" s="435"/>
      <c r="S186" s="435"/>
      <c r="U186" s="81"/>
      <c r="V186" s="81" t="str">
        <f>IF(U186="","",VLOOKUP(U186,'1.3 Lists'!$L$10:$M$313,2,FALSE))</f>
        <v/>
      </c>
      <c r="AC186" t="s">
        <v>3</v>
      </c>
      <c r="AD186" s="81"/>
      <c r="AE186" s="81"/>
      <c r="AF186" s="81"/>
      <c r="AG186" s="81"/>
      <c r="AH186" s="81"/>
      <c r="AI186" s="81"/>
      <c r="AJ186" s="81"/>
    </row>
    <row r="187" spans="4:36">
      <c r="D187" t="s">
        <v>79</v>
      </c>
      <c r="E187" t="s">
        <v>68</v>
      </c>
      <c r="F187" s="435" t="s">
        <v>1869</v>
      </c>
      <c r="G187" s="435" t="s">
        <v>86</v>
      </c>
      <c r="H187" t="s">
        <v>264</v>
      </c>
      <c r="I187" t="s">
        <v>7</v>
      </c>
      <c r="J187" t="s">
        <v>299</v>
      </c>
      <c r="K187" s="101"/>
      <c r="L187" s="101"/>
      <c r="N187" t="s">
        <v>202</v>
      </c>
      <c r="O187" t="s">
        <v>202</v>
      </c>
      <c r="P187" s="81"/>
      <c r="Q187" s="81"/>
      <c r="R187" s="435"/>
      <c r="S187" s="435"/>
      <c r="U187" s="81"/>
      <c r="V187" s="81" t="str">
        <f>IF(U187="","",VLOOKUP(U187,'1.3 Lists'!$L$10:$M$313,2,FALSE))</f>
        <v/>
      </c>
      <c r="AC187" t="s">
        <v>3</v>
      </c>
      <c r="AD187" s="81"/>
      <c r="AE187" s="81"/>
      <c r="AF187" s="81"/>
      <c r="AG187" s="81"/>
      <c r="AH187" s="81"/>
      <c r="AI187" s="81"/>
      <c r="AJ187" s="81"/>
    </row>
    <row r="188" spans="4:36">
      <c r="D188" t="s">
        <v>79</v>
      </c>
      <c r="E188" t="s">
        <v>68</v>
      </c>
      <c r="F188" s="435" t="s">
        <v>1869</v>
      </c>
      <c r="G188" s="435" t="s">
        <v>86</v>
      </c>
      <c r="H188" t="s">
        <v>264</v>
      </c>
      <c r="I188" t="s">
        <v>7</v>
      </c>
      <c r="J188" t="s">
        <v>299</v>
      </c>
      <c r="K188" s="101"/>
      <c r="L188" s="101"/>
      <c r="N188" t="s">
        <v>202</v>
      </c>
      <c r="O188" t="s">
        <v>202</v>
      </c>
      <c r="P188" s="81"/>
      <c r="Q188" s="81"/>
      <c r="R188" s="435"/>
      <c r="S188" s="435"/>
      <c r="U188" s="81"/>
      <c r="V188" s="81" t="str">
        <f>IF(U188="","",VLOOKUP(U188,'1.3 Lists'!$L$10:$M$313,2,FALSE))</f>
        <v/>
      </c>
      <c r="AC188" t="s">
        <v>3</v>
      </c>
      <c r="AD188" s="81"/>
      <c r="AE188" s="81"/>
      <c r="AF188" s="81"/>
      <c r="AG188" s="81"/>
      <c r="AH188" s="81"/>
      <c r="AI188" s="81"/>
      <c r="AJ188" s="81"/>
    </row>
    <row r="189" spans="4:36">
      <c r="D189" t="s">
        <v>79</v>
      </c>
      <c r="E189" t="s">
        <v>68</v>
      </c>
      <c r="F189" s="435" t="s">
        <v>1869</v>
      </c>
      <c r="G189" s="435" t="s">
        <v>86</v>
      </c>
      <c r="H189" t="s">
        <v>264</v>
      </c>
      <c r="I189" t="s">
        <v>7</v>
      </c>
      <c r="J189" t="s">
        <v>299</v>
      </c>
      <c r="K189" s="101"/>
      <c r="L189" s="101"/>
      <c r="N189" t="s">
        <v>202</v>
      </c>
      <c r="O189" t="s">
        <v>202</v>
      </c>
      <c r="P189" s="81"/>
      <c r="Q189" s="81"/>
      <c r="R189" s="435"/>
      <c r="S189" s="435"/>
      <c r="U189" s="81"/>
      <c r="V189" s="81" t="str">
        <f>IF(U189="","",VLOOKUP(U189,'1.3 Lists'!$L$10:$M$313,2,FALSE))</f>
        <v/>
      </c>
      <c r="AC189" t="s">
        <v>3</v>
      </c>
      <c r="AD189" s="81"/>
      <c r="AE189" s="81"/>
      <c r="AF189" s="81"/>
      <c r="AG189" s="81"/>
      <c r="AH189" s="81"/>
      <c r="AI189" s="81"/>
      <c r="AJ189" s="81"/>
    </row>
    <row r="190" spans="4:36">
      <c r="D190" t="s">
        <v>79</v>
      </c>
      <c r="E190" t="s">
        <v>68</v>
      </c>
      <c r="F190" s="435" t="s">
        <v>1869</v>
      </c>
      <c r="G190" s="435" t="s">
        <v>86</v>
      </c>
      <c r="H190" t="s">
        <v>264</v>
      </c>
      <c r="I190" t="s">
        <v>7</v>
      </c>
      <c r="J190" t="s">
        <v>299</v>
      </c>
      <c r="K190" s="101"/>
      <c r="L190" s="101"/>
      <c r="N190" t="s">
        <v>202</v>
      </c>
      <c r="O190" t="s">
        <v>202</v>
      </c>
      <c r="P190" s="81"/>
      <c r="Q190" s="81"/>
      <c r="R190" s="435"/>
      <c r="S190" s="435"/>
      <c r="U190" s="81"/>
      <c r="V190" s="81" t="str">
        <f>IF(U190="","",VLOOKUP(U190,'1.3 Lists'!$L$10:$M$313,2,FALSE))</f>
        <v/>
      </c>
      <c r="AC190" t="s">
        <v>3</v>
      </c>
      <c r="AD190" s="81"/>
      <c r="AE190" s="81"/>
      <c r="AF190" s="81"/>
      <c r="AG190" s="81"/>
      <c r="AH190" s="81"/>
      <c r="AI190" s="81"/>
      <c r="AJ190" s="81"/>
    </row>
    <row r="191" spans="4:36">
      <c r="D191" t="s">
        <v>79</v>
      </c>
      <c r="E191" t="s">
        <v>68</v>
      </c>
      <c r="F191" s="435" t="s">
        <v>1869</v>
      </c>
      <c r="G191" s="435" t="s">
        <v>86</v>
      </c>
      <c r="H191" t="s">
        <v>264</v>
      </c>
      <c r="I191" t="s">
        <v>7</v>
      </c>
      <c r="J191" t="s">
        <v>299</v>
      </c>
      <c r="K191" s="101"/>
      <c r="L191" s="101"/>
      <c r="N191" t="s">
        <v>202</v>
      </c>
      <c r="O191" t="s">
        <v>202</v>
      </c>
      <c r="P191" s="81"/>
      <c r="Q191" s="81"/>
      <c r="R191" s="435"/>
      <c r="S191" s="435"/>
      <c r="U191" s="81"/>
      <c r="V191" s="81" t="str">
        <f>IF(U191="","",VLOOKUP(U191,'1.3 Lists'!$L$10:$M$313,2,FALSE))</f>
        <v/>
      </c>
      <c r="AC191" t="s">
        <v>3</v>
      </c>
      <c r="AD191" s="81"/>
      <c r="AE191" s="81"/>
      <c r="AF191" s="81"/>
      <c r="AG191" s="81"/>
      <c r="AH191" s="81"/>
      <c r="AI191" s="81"/>
      <c r="AJ191" s="81"/>
    </row>
    <row r="192" spans="4:36">
      <c r="D192" t="s">
        <v>79</v>
      </c>
      <c r="E192" t="s">
        <v>68</v>
      </c>
      <c r="F192" s="435" t="s">
        <v>1869</v>
      </c>
      <c r="G192" s="435" t="s">
        <v>86</v>
      </c>
      <c r="H192" t="s">
        <v>264</v>
      </c>
      <c r="I192" t="s">
        <v>7</v>
      </c>
      <c r="J192" t="s">
        <v>299</v>
      </c>
      <c r="K192" s="101"/>
      <c r="L192" s="101"/>
      <c r="N192" t="s">
        <v>202</v>
      </c>
      <c r="O192" t="s">
        <v>202</v>
      </c>
      <c r="P192" s="81"/>
      <c r="Q192" s="81"/>
      <c r="R192" s="435"/>
      <c r="S192" s="435"/>
      <c r="U192" s="81"/>
      <c r="V192" s="81" t="str">
        <f>IF(U192="","",VLOOKUP(U192,'1.3 Lists'!$L$10:$M$313,2,FALSE))</f>
        <v/>
      </c>
      <c r="AC192" t="s">
        <v>3</v>
      </c>
      <c r="AD192" s="81"/>
      <c r="AE192" s="81"/>
      <c r="AF192" s="81"/>
      <c r="AG192" s="81"/>
      <c r="AH192" s="81"/>
      <c r="AI192" s="81"/>
      <c r="AJ192" s="81"/>
    </row>
    <row r="193" spans="4:36">
      <c r="D193" t="s">
        <v>79</v>
      </c>
      <c r="E193" t="s">
        <v>68</v>
      </c>
      <c r="F193" s="435" t="s">
        <v>1869</v>
      </c>
      <c r="G193" s="435" t="s">
        <v>86</v>
      </c>
      <c r="H193" t="s">
        <v>264</v>
      </c>
      <c r="I193" t="s">
        <v>7</v>
      </c>
      <c r="J193" t="s">
        <v>299</v>
      </c>
      <c r="K193" s="101"/>
      <c r="L193" s="101"/>
      <c r="N193" t="s">
        <v>202</v>
      </c>
      <c r="O193" t="s">
        <v>202</v>
      </c>
      <c r="P193" s="81"/>
      <c r="Q193" s="81"/>
      <c r="R193" s="435"/>
      <c r="S193" s="435"/>
      <c r="U193" s="81"/>
      <c r="V193" s="81" t="str">
        <f>IF(U193="","",VLOOKUP(U193,'1.3 Lists'!$L$10:$M$313,2,FALSE))</f>
        <v/>
      </c>
      <c r="AC193" t="s">
        <v>3</v>
      </c>
      <c r="AD193" s="81"/>
      <c r="AE193" s="81"/>
      <c r="AF193" s="81"/>
      <c r="AG193" s="81"/>
      <c r="AH193" s="81"/>
      <c r="AI193" s="81"/>
      <c r="AJ193" s="81"/>
    </row>
    <row r="194" spans="4:36">
      <c r="D194" t="s">
        <v>79</v>
      </c>
      <c r="E194" t="s">
        <v>68</v>
      </c>
      <c r="F194" s="435" t="s">
        <v>1869</v>
      </c>
      <c r="G194" s="435" t="s">
        <v>86</v>
      </c>
      <c r="H194" t="s">
        <v>264</v>
      </c>
      <c r="I194" t="s">
        <v>7</v>
      </c>
      <c r="J194" t="s">
        <v>299</v>
      </c>
      <c r="K194" s="101"/>
      <c r="L194" s="101"/>
      <c r="N194" t="s">
        <v>202</v>
      </c>
      <c r="O194" t="s">
        <v>202</v>
      </c>
      <c r="P194" s="81"/>
      <c r="Q194" s="81"/>
      <c r="R194" s="435"/>
      <c r="S194" s="435"/>
      <c r="U194" s="81"/>
      <c r="V194" s="81" t="str">
        <f>IF(U194="","",VLOOKUP(U194,'1.3 Lists'!$L$10:$M$313,2,FALSE))</f>
        <v/>
      </c>
      <c r="AC194" t="s">
        <v>3</v>
      </c>
      <c r="AD194" s="81"/>
      <c r="AE194" s="81"/>
      <c r="AF194" s="81"/>
      <c r="AG194" s="81"/>
      <c r="AH194" s="81"/>
      <c r="AI194" s="81"/>
      <c r="AJ194" s="81"/>
    </row>
    <row r="195" spans="4:36">
      <c r="D195" t="s">
        <v>79</v>
      </c>
      <c r="E195" t="s">
        <v>68</v>
      </c>
      <c r="F195" s="435" t="s">
        <v>1869</v>
      </c>
      <c r="G195" s="435" t="s">
        <v>86</v>
      </c>
      <c r="H195" t="s">
        <v>264</v>
      </c>
      <c r="I195" t="s">
        <v>7</v>
      </c>
      <c r="J195" t="s">
        <v>299</v>
      </c>
      <c r="K195" s="101"/>
      <c r="L195" s="101"/>
      <c r="N195" t="s">
        <v>202</v>
      </c>
      <c r="O195" t="s">
        <v>202</v>
      </c>
      <c r="P195" s="81"/>
      <c r="Q195" s="81"/>
      <c r="R195" s="435"/>
      <c r="S195" s="435"/>
      <c r="U195" s="81"/>
      <c r="V195" s="81" t="str">
        <f>IF(U195="","",VLOOKUP(U195,'1.3 Lists'!$L$10:$M$313,2,FALSE))</f>
        <v/>
      </c>
      <c r="AC195" t="s">
        <v>3</v>
      </c>
      <c r="AD195" s="81"/>
      <c r="AE195" s="81"/>
      <c r="AF195" s="81"/>
      <c r="AG195" s="81"/>
      <c r="AH195" s="81"/>
      <c r="AI195" s="81"/>
      <c r="AJ195" s="81"/>
    </row>
    <row r="196" spans="4:36">
      <c r="D196" t="s">
        <v>79</v>
      </c>
      <c r="E196" t="s">
        <v>68</v>
      </c>
      <c r="F196" s="435" t="s">
        <v>1869</v>
      </c>
      <c r="G196" s="435" t="s">
        <v>86</v>
      </c>
      <c r="H196" t="s">
        <v>264</v>
      </c>
      <c r="I196" t="s">
        <v>7</v>
      </c>
      <c r="J196" t="s">
        <v>299</v>
      </c>
      <c r="K196" s="101"/>
      <c r="L196" s="101"/>
      <c r="N196" t="s">
        <v>202</v>
      </c>
      <c r="O196" t="s">
        <v>202</v>
      </c>
      <c r="P196" s="81"/>
      <c r="Q196" s="81"/>
      <c r="R196" s="435"/>
      <c r="S196" s="435"/>
      <c r="U196" s="81"/>
      <c r="V196" s="81" t="str">
        <f>IF(U196="","",VLOOKUP(U196,'1.3 Lists'!$L$10:$M$313,2,FALSE))</f>
        <v/>
      </c>
      <c r="AC196" t="s">
        <v>3</v>
      </c>
      <c r="AD196" s="81"/>
      <c r="AE196" s="81"/>
      <c r="AF196" s="81"/>
      <c r="AG196" s="81"/>
      <c r="AH196" s="81"/>
      <c r="AI196" s="81"/>
      <c r="AJ196" s="81"/>
    </row>
    <row r="197" spans="4:36">
      <c r="D197" t="s">
        <v>79</v>
      </c>
      <c r="E197" t="s">
        <v>68</v>
      </c>
      <c r="F197" s="435" t="s">
        <v>1869</v>
      </c>
      <c r="G197" s="435" t="s">
        <v>86</v>
      </c>
      <c r="H197" t="s">
        <v>264</v>
      </c>
      <c r="I197" t="s">
        <v>7</v>
      </c>
      <c r="J197" t="s">
        <v>299</v>
      </c>
      <c r="K197" s="101"/>
      <c r="L197" s="101"/>
      <c r="N197" t="s">
        <v>202</v>
      </c>
      <c r="O197" t="s">
        <v>202</v>
      </c>
      <c r="P197" s="81"/>
      <c r="Q197" s="81"/>
      <c r="R197" s="435"/>
      <c r="S197" s="435"/>
      <c r="U197" s="81"/>
      <c r="V197" s="81" t="str">
        <f>IF(U197="","",VLOOKUP(U197,'1.3 Lists'!$L$10:$M$313,2,FALSE))</f>
        <v/>
      </c>
      <c r="AC197" t="s">
        <v>3</v>
      </c>
      <c r="AD197" s="81"/>
      <c r="AE197" s="81"/>
      <c r="AF197" s="81"/>
      <c r="AG197" s="81"/>
      <c r="AH197" s="81"/>
      <c r="AI197" s="81"/>
      <c r="AJ197" s="81"/>
    </row>
    <row r="198" spans="4:36">
      <c r="D198" t="s">
        <v>79</v>
      </c>
      <c r="E198" t="s">
        <v>68</v>
      </c>
      <c r="F198" s="435" t="s">
        <v>1869</v>
      </c>
      <c r="G198" s="435" t="s">
        <v>86</v>
      </c>
      <c r="H198" t="s">
        <v>264</v>
      </c>
      <c r="I198" t="s">
        <v>7</v>
      </c>
      <c r="J198" t="s">
        <v>299</v>
      </c>
      <c r="K198" s="101"/>
      <c r="L198" s="101"/>
      <c r="N198" t="s">
        <v>202</v>
      </c>
      <c r="O198" t="s">
        <v>202</v>
      </c>
      <c r="P198" s="81"/>
      <c r="Q198" s="81"/>
      <c r="R198" s="435"/>
      <c r="S198" s="435"/>
      <c r="U198" s="81"/>
      <c r="V198" s="81" t="str">
        <f>IF(U198="","",VLOOKUP(U198,'1.3 Lists'!$L$10:$M$313,2,FALSE))</f>
        <v/>
      </c>
      <c r="AC198" t="s">
        <v>3</v>
      </c>
      <c r="AD198" s="81"/>
      <c r="AE198" s="81"/>
      <c r="AF198" s="81"/>
      <c r="AG198" s="81"/>
      <c r="AH198" s="81"/>
      <c r="AI198" s="81"/>
      <c r="AJ198" s="81"/>
    </row>
    <row r="199" spans="4:36">
      <c r="D199" t="s">
        <v>79</v>
      </c>
      <c r="E199" t="s">
        <v>68</v>
      </c>
      <c r="F199" s="435" t="s">
        <v>1869</v>
      </c>
      <c r="G199" s="435" t="s">
        <v>86</v>
      </c>
      <c r="H199" t="s">
        <v>264</v>
      </c>
      <c r="I199" t="s">
        <v>7</v>
      </c>
      <c r="J199" t="s">
        <v>299</v>
      </c>
      <c r="K199" s="101"/>
      <c r="L199" s="101"/>
      <c r="N199" t="s">
        <v>202</v>
      </c>
      <c r="O199" t="s">
        <v>202</v>
      </c>
      <c r="P199" s="81"/>
      <c r="Q199" s="81"/>
      <c r="R199" s="435"/>
      <c r="S199" s="435"/>
      <c r="U199" s="81"/>
      <c r="V199" s="81" t="str">
        <f>IF(U199="","",VLOOKUP(U199,'1.3 Lists'!$L$10:$M$313,2,FALSE))</f>
        <v/>
      </c>
      <c r="AC199" t="s">
        <v>3</v>
      </c>
      <c r="AD199" s="81"/>
      <c r="AE199" s="81"/>
      <c r="AF199" s="81"/>
      <c r="AG199" s="81"/>
      <c r="AH199" s="81"/>
      <c r="AI199" s="81"/>
      <c r="AJ199" s="81"/>
    </row>
    <row r="200" spans="4:36">
      <c r="D200" t="s">
        <v>79</v>
      </c>
      <c r="E200" t="s">
        <v>68</v>
      </c>
      <c r="F200" s="435" t="s">
        <v>1869</v>
      </c>
      <c r="G200" s="435" t="s">
        <v>86</v>
      </c>
      <c r="H200" t="s">
        <v>264</v>
      </c>
      <c r="I200" t="s">
        <v>7</v>
      </c>
      <c r="J200" t="s">
        <v>299</v>
      </c>
      <c r="K200" s="101"/>
      <c r="L200" s="101"/>
      <c r="N200" t="s">
        <v>202</v>
      </c>
      <c r="O200" t="s">
        <v>202</v>
      </c>
      <c r="P200" s="81"/>
      <c r="Q200" s="81"/>
      <c r="R200" s="435"/>
      <c r="S200" s="435"/>
      <c r="U200" s="81"/>
      <c r="V200" s="81" t="str">
        <f>IF(U200="","",VLOOKUP(U200,'1.3 Lists'!$L$10:$M$313,2,FALSE))</f>
        <v/>
      </c>
      <c r="AC200" t="s">
        <v>3</v>
      </c>
      <c r="AD200" s="81"/>
      <c r="AE200" s="81"/>
      <c r="AF200" s="81"/>
      <c r="AG200" s="81"/>
      <c r="AH200" s="81"/>
      <c r="AI200" s="81"/>
      <c r="AJ200" s="81"/>
    </row>
    <row r="201" spans="4:36">
      <c r="D201" t="s">
        <v>79</v>
      </c>
      <c r="E201" t="s">
        <v>68</v>
      </c>
      <c r="F201" s="435" t="s">
        <v>1869</v>
      </c>
      <c r="G201" s="435" t="s">
        <v>86</v>
      </c>
      <c r="H201" t="s">
        <v>264</v>
      </c>
      <c r="I201" t="s">
        <v>7</v>
      </c>
      <c r="J201" t="s">
        <v>299</v>
      </c>
      <c r="K201" s="101"/>
      <c r="L201" s="101"/>
      <c r="N201" t="s">
        <v>202</v>
      </c>
      <c r="O201" t="s">
        <v>202</v>
      </c>
      <c r="P201" s="81"/>
      <c r="Q201" s="81"/>
      <c r="R201" s="435"/>
      <c r="S201" s="435"/>
      <c r="U201" s="81"/>
      <c r="V201" s="81" t="str">
        <f>IF(U201="","",VLOOKUP(U201,'1.3 Lists'!$L$10:$M$313,2,FALSE))</f>
        <v/>
      </c>
      <c r="AC201" t="s">
        <v>3</v>
      </c>
      <c r="AD201" s="81"/>
      <c r="AE201" s="81"/>
      <c r="AF201" s="81"/>
      <c r="AG201" s="81"/>
      <c r="AH201" s="81"/>
      <c r="AI201" s="81"/>
      <c r="AJ201" s="81"/>
    </row>
    <row r="202" spans="4:36">
      <c r="D202" t="s">
        <v>79</v>
      </c>
      <c r="E202" t="s">
        <v>68</v>
      </c>
      <c r="F202" s="435" t="s">
        <v>1869</v>
      </c>
      <c r="G202" s="435" t="s">
        <v>86</v>
      </c>
      <c r="H202" t="s">
        <v>264</v>
      </c>
      <c r="I202" t="s">
        <v>7</v>
      </c>
      <c r="J202" t="s">
        <v>299</v>
      </c>
      <c r="K202" s="101"/>
      <c r="L202" s="101"/>
      <c r="N202" t="s">
        <v>202</v>
      </c>
      <c r="O202" t="s">
        <v>202</v>
      </c>
      <c r="P202" s="81"/>
      <c r="Q202" s="81"/>
      <c r="R202" s="435"/>
      <c r="S202" s="435"/>
      <c r="U202" s="81"/>
      <c r="V202" s="81" t="str">
        <f>IF(U202="","",VLOOKUP(U202,'1.3 Lists'!$L$10:$M$313,2,FALSE))</f>
        <v/>
      </c>
      <c r="AC202" t="s">
        <v>3</v>
      </c>
      <c r="AD202" s="81"/>
      <c r="AE202" s="81"/>
      <c r="AF202" s="81"/>
      <c r="AG202" s="81"/>
      <c r="AH202" s="81"/>
      <c r="AI202" s="81"/>
      <c r="AJ202" s="81"/>
    </row>
    <row r="203" spans="4:36">
      <c r="D203" t="s">
        <v>79</v>
      </c>
      <c r="E203" t="s">
        <v>68</v>
      </c>
      <c r="F203" s="435" t="s">
        <v>1869</v>
      </c>
      <c r="G203" s="435" t="s">
        <v>86</v>
      </c>
      <c r="H203" t="s">
        <v>264</v>
      </c>
      <c r="I203" t="s">
        <v>7</v>
      </c>
      <c r="J203" t="s">
        <v>299</v>
      </c>
      <c r="K203" s="101"/>
      <c r="L203" s="101"/>
      <c r="N203" t="s">
        <v>202</v>
      </c>
      <c r="O203" t="s">
        <v>202</v>
      </c>
      <c r="P203" s="81"/>
      <c r="Q203" s="81"/>
      <c r="R203" s="435"/>
      <c r="S203" s="435"/>
      <c r="U203" s="81"/>
      <c r="V203" s="81" t="str">
        <f>IF(U203="","",VLOOKUP(U203,'1.3 Lists'!$L$10:$M$313,2,FALSE))</f>
        <v/>
      </c>
      <c r="AC203" t="s">
        <v>3</v>
      </c>
      <c r="AD203" s="81"/>
      <c r="AE203" s="81"/>
      <c r="AF203" s="81"/>
      <c r="AG203" s="81"/>
      <c r="AH203" s="81"/>
      <c r="AI203" s="81"/>
      <c r="AJ203" s="81"/>
    </row>
    <row r="204" spans="4:36">
      <c r="D204" t="s">
        <v>79</v>
      </c>
      <c r="E204" t="s">
        <v>68</v>
      </c>
      <c r="F204" s="435" t="s">
        <v>1869</v>
      </c>
      <c r="G204" s="435" t="s">
        <v>86</v>
      </c>
      <c r="H204" t="s">
        <v>264</v>
      </c>
      <c r="I204" t="s">
        <v>7</v>
      </c>
      <c r="J204" t="s">
        <v>299</v>
      </c>
      <c r="K204" s="101"/>
      <c r="L204" s="101"/>
      <c r="N204" t="s">
        <v>202</v>
      </c>
      <c r="O204" t="s">
        <v>202</v>
      </c>
      <c r="P204" s="81"/>
      <c r="Q204" s="81"/>
      <c r="R204" s="435"/>
      <c r="S204" s="435"/>
      <c r="U204" s="81"/>
      <c r="V204" s="81" t="str">
        <f>IF(U204="","",VLOOKUP(U204,'1.3 Lists'!$L$10:$M$313,2,FALSE))</f>
        <v/>
      </c>
      <c r="AC204" t="s">
        <v>3</v>
      </c>
      <c r="AD204" s="81"/>
      <c r="AE204" s="81"/>
      <c r="AF204" s="81"/>
      <c r="AG204" s="81"/>
      <c r="AH204" s="81"/>
      <c r="AI204" s="81"/>
      <c r="AJ204" s="81"/>
    </row>
    <row r="205" spans="4:36">
      <c r="D205" t="s">
        <v>79</v>
      </c>
      <c r="E205" t="s">
        <v>68</v>
      </c>
      <c r="F205" s="435" t="s">
        <v>1869</v>
      </c>
      <c r="G205" s="435" t="s">
        <v>86</v>
      </c>
      <c r="H205" t="s">
        <v>264</v>
      </c>
      <c r="I205" t="s">
        <v>7</v>
      </c>
      <c r="J205" t="s">
        <v>299</v>
      </c>
      <c r="K205" s="101"/>
      <c r="L205" s="101"/>
      <c r="N205" t="s">
        <v>202</v>
      </c>
      <c r="O205" t="s">
        <v>202</v>
      </c>
      <c r="P205" s="81"/>
      <c r="Q205" s="81"/>
      <c r="R205" s="435"/>
      <c r="S205" s="435"/>
      <c r="U205" s="81"/>
      <c r="V205" s="81" t="str">
        <f>IF(U205="","",VLOOKUP(U205,'1.3 Lists'!$L$10:$M$313,2,FALSE))</f>
        <v/>
      </c>
      <c r="AC205" t="s">
        <v>3</v>
      </c>
      <c r="AD205" s="81"/>
      <c r="AE205" s="81"/>
      <c r="AF205" s="81"/>
      <c r="AG205" s="81"/>
      <c r="AH205" s="81"/>
      <c r="AI205" s="81"/>
      <c r="AJ205" s="81"/>
    </row>
    <row r="206" spans="4:36">
      <c r="D206" t="s">
        <v>79</v>
      </c>
      <c r="E206" t="s">
        <v>68</v>
      </c>
      <c r="F206" s="435" t="s">
        <v>1869</v>
      </c>
      <c r="G206" s="435" t="s">
        <v>86</v>
      </c>
      <c r="H206" t="s">
        <v>264</v>
      </c>
      <c r="I206" t="s">
        <v>7</v>
      </c>
      <c r="J206" t="s">
        <v>299</v>
      </c>
      <c r="K206" s="101"/>
      <c r="L206" s="101"/>
      <c r="N206" t="s">
        <v>202</v>
      </c>
      <c r="O206" t="s">
        <v>202</v>
      </c>
      <c r="P206" s="81"/>
      <c r="Q206" s="81"/>
      <c r="R206" s="435"/>
      <c r="S206" s="435"/>
      <c r="U206" s="81"/>
      <c r="V206" s="81" t="str">
        <f>IF(U206="","",VLOOKUP(U206,'1.3 Lists'!$L$10:$M$313,2,FALSE))</f>
        <v/>
      </c>
      <c r="AC206" t="s">
        <v>3</v>
      </c>
      <c r="AD206" s="81"/>
      <c r="AE206" s="81"/>
      <c r="AF206" s="81"/>
      <c r="AG206" s="81"/>
      <c r="AH206" s="81"/>
      <c r="AI206" s="81"/>
      <c r="AJ206" s="81"/>
    </row>
    <row r="207" spans="4:36">
      <c r="D207" t="s">
        <v>79</v>
      </c>
      <c r="E207" t="s">
        <v>68</v>
      </c>
      <c r="F207" s="435" t="s">
        <v>1869</v>
      </c>
      <c r="G207" s="435" t="s">
        <v>86</v>
      </c>
      <c r="H207" t="s">
        <v>264</v>
      </c>
      <c r="I207" t="s">
        <v>7</v>
      </c>
      <c r="J207" t="s">
        <v>299</v>
      </c>
      <c r="K207" s="101"/>
      <c r="L207" s="101"/>
      <c r="N207" t="s">
        <v>202</v>
      </c>
      <c r="O207" t="s">
        <v>202</v>
      </c>
      <c r="P207" s="81"/>
      <c r="Q207" s="81"/>
      <c r="R207" s="435"/>
      <c r="S207" s="435"/>
      <c r="U207" s="81"/>
      <c r="V207" s="81" t="str">
        <f>IF(U207="","",VLOOKUP(U207,'1.3 Lists'!$L$10:$M$313,2,FALSE))</f>
        <v/>
      </c>
      <c r="AC207" t="s">
        <v>3</v>
      </c>
      <c r="AD207" s="81"/>
      <c r="AE207" s="81"/>
      <c r="AF207" s="81"/>
      <c r="AG207" s="81"/>
      <c r="AH207" s="81"/>
      <c r="AI207" s="81"/>
      <c r="AJ207" s="81"/>
    </row>
    <row r="208" spans="4:36">
      <c r="D208" t="s">
        <v>79</v>
      </c>
      <c r="E208" t="s">
        <v>68</v>
      </c>
      <c r="F208" s="435" t="s">
        <v>1869</v>
      </c>
      <c r="G208" s="435" t="s">
        <v>86</v>
      </c>
      <c r="H208" t="s">
        <v>264</v>
      </c>
      <c r="I208" t="s">
        <v>7</v>
      </c>
      <c r="J208" t="s">
        <v>299</v>
      </c>
      <c r="K208" s="101"/>
      <c r="L208" s="101"/>
      <c r="N208" t="s">
        <v>202</v>
      </c>
      <c r="O208" t="s">
        <v>202</v>
      </c>
      <c r="P208" s="81"/>
      <c r="Q208" s="81"/>
      <c r="R208" s="435"/>
      <c r="S208" s="435"/>
      <c r="U208" s="81"/>
      <c r="V208" s="81" t="str">
        <f>IF(U208="","",VLOOKUP(U208,'1.3 Lists'!$L$10:$M$313,2,FALSE))</f>
        <v/>
      </c>
      <c r="AC208" t="s">
        <v>3</v>
      </c>
      <c r="AD208" s="81"/>
      <c r="AE208" s="81"/>
      <c r="AF208" s="81"/>
      <c r="AG208" s="81"/>
      <c r="AH208" s="81"/>
      <c r="AI208" s="81"/>
      <c r="AJ208" s="81"/>
    </row>
    <row r="209" spans="4:36">
      <c r="D209" t="s">
        <v>79</v>
      </c>
      <c r="E209" t="s">
        <v>68</v>
      </c>
      <c r="F209" s="435" t="s">
        <v>1869</v>
      </c>
      <c r="G209" s="435" t="s">
        <v>86</v>
      </c>
      <c r="H209" t="s">
        <v>264</v>
      </c>
      <c r="I209" t="s">
        <v>7</v>
      </c>
      <c r="J209" t="s">
        <v>299</v>
      </c>
      <c r="K209" s="101"/>
      <c r="L209" s="101"/>
      <c r="N209" t="s">
        <v>202</v>
      </c>
      <c r="O209" t="s">
        <v>202</v>
      </c>
      <c r="P209" s="81"/>
      <c r="Q209" s="81"/>
      <c r="R209" s="435"/>
      <c r="S209" s="435"/>
      <c r="U209" s="81"/>
      <c r="V209" s="81" t="str">
        <f>IF(U209="","",VLOOKUP(U209,'1.3 Lists'!$L$10:$M$313,2,FALSE))</f>
        <v/>
      </c>
      <c r="AC209" t="s">
        <v>3</v>
      </c>
      <c r="AD209" s="81"/>
      <c r="AE209" s="81"/>
      <c r="AF209" s="81"/>
      <c r="AG209" s="81"/>
      <c r="AH209" s="81"/>
      <c r="AI209" s="81"/>
      <c r="AJ209" s="81"/>
    </row>
    <row r="210" spans="4:36">
      <c r="D210" t="s">
        <v>79</v>
      </c>
      <c r="E210" t="s">
        <v>68</v>
      </c>
      <c r="F210" s="435" t="s">
        <v>1869</v>
      </c>
      <c r="G210" s="435" t="s">
        <v>86</v>
      </c>
      <c r="H210" t="s">
        <v>264</v>
      </c>
      <c r="I210" t="s">
        <v>7</v>
      </c>
      <c r="J210" t="s">
        <v>299</v>
      </c>
      <c r="K210" s="101"/>
      <c r="L210" s="101"/>
      <c r="N210" t="s">
        <v>202</v>
      </c>
      <c r="O210" t="s">
        <v>202</v>
      </c>
      <c r="P210" s="81"/>
      <c r="Q210" s="81"/>
      <c r="R210" s="435"/>
      <c r="S210" s="435"/>
      <c r="U210" s="81"/>
      <c r="V210" s="81" t="str">
        <f>IF(U210="","",VLOOKUP(U210,'1.3 Lists'!$L$10:$M$313,2,FALSE))</f>
        <v/>
      </c>
      <c r="AC210" t="s">
        <v>3</v>
      </c>
      <c r="AD210" s="81"/>
      <c r="AE210" s="81"/>
      <c r="AF210" s="81"/>
      <c r="AG210" s="81"/>
      <c r="AH210" s="81"/>
      <c r="AI210" s="81"/>
      <c r="AJ210" s="81"/>
    </row>
    <row r="211" spans="4:36">
      <c r="D211" t="s">
        <v>79</v>
      </c>
      <c r="E211" t="s">
        <v>68</v>
      </c>
      <c r="F211" s="435" t="s">
        <v>1869</v>
      </c>
      <c r="G211" s="435" t="s">
        <v>86</v>
      </c>
      <c r="H211" t="s">
        <v>264</v>
      </c>
      <c r="I211" t="s">
        <v>7</v>
      </c>
      <c r="J211" t="s">
        <v>299</v>
      </c>
      <c r="K211" s="101"/>
      <c r="L211" s="101"/>
      <c r="N211" t="s">
        <v>202</v>
      </c>
      <c r="O211" t="s">
        <v>202</v>
      </c>
      <c r="P211" s="81"/>
      <c r="Q211" s="81"/>
      <c r="R211" s="435"/>
      <c r="S211" s="435"/>
      <c r="U211" s="81"/>
      <c r="V211" s="81" t="str">
        <f>IF(U211="","",VLOOKUP(U211,'1.3 Lists'!$L$10:$M$313,2,FALSE))</f>
        <v/>
      </c>
      <c r="AC211" t="s">
        <v>3</v>
      </c>
      <c r="AD211" s="81"/>
      <c r="AE211" s="81"/>
      <c r="AF211" s="81"/>
      <c r="AG211" s="81"/>
      <c r="AH211" s="81"/>
      <c r="AI211" s="81"/>
      <c r="AJ211" s="81"/>
    </row>
    <row r="212" spans="4:36">
      <c r="D212" t="s">
        <v>79</v>
      </c>
      <c r="E212" t="s">
        <v>68</v>
      </c>
      <c r="F212" s="435" t="s">
        <v>1869</v>
      </c>
      <c r="G212" s="435" t="s">
        <v>86</v>
      </c>
      <c r="H212" t="s">
        <v>264</v>
      </c>
      <c r="I212" t="s">
        <v>7</v>
      </c>
      <c r="J212" t="s">
        <v>299</v>
      </c>
      <c r="K212" s="101"/>
      <c r="L212" s="101"/>
      <c r="N212" t="s">
        <v>202</v>
      </c>
      <c r="O212" t="s">
        <v>202</v>
      </c>
      <c r="P212" s="81"/>
      <c r="Q212" s="81"/>
      <c r="R212" s="435"/>
      <c r="S212" s="435"/>
      <c r="U212" s="81"/>
      <c r="V212" s="81" t="str">
        <f>IF(U212="","",VLOOKUP(U212,'1.3 Lists'!$L$10:$M$313,2,FALSE))</f>
        <v/>
      </c>
      <c r="AC212" t="s">
        <v>3</v>
      </c>
      <c r="AD212" s="81"/>
      <c r="AE212" s="81"/>
      <c r="AF212" s="81"/>
      <c r="AG212" s="81"/>
      <c r="AH212" s="81"/>
      <c r="AI212" s="81"/>
      <c r="AJ212" s="81"/>
    </row>
    <row r="213" spans="4:36">
      <c r="D213" t="s">
        <v>79</v>
      </c>
      <c r="E213" t="s">
        <v>68</v>
      </c>
      <c r="F213" s="435" t="s">
        <v>1869</v>
      </c>
      <c r="G213" s="435" t="s">
        <v>86</v>
      </c>
      <c r="H213" t="s">
        <v>264</v>
      </c>
      <c r="I213" t="s">
        <v>7</v>
      </c>
      <c r="J213" t="s">
        <v>299</v>
      </c>
      <c r="K213" s="101"/>
      <c r="L213" s="101"/>
      <c r="N213" t="s">
        <v>202</v>
      </c>
      <c r="O213" t="s">
        <v>202</v>
      </c>
      <c r="P213" s="81"/>
      <c r="Q213" s="81"/>
      <c r="R213" s="435"/>
      <c r="S213" s="435"/>
      <c r="U213" s="81"/>
      <c r="V213" s="81" t="str">
        <f>IF(U213="","",VLOOKUP(U213,'1.3 Lists'!$L$10:$M$313,2,FALSE))</f>
        <v/>
      </c>
      <c r="AC213" t="s">
        <v>3</v>
      </c>
      <c r="AD213" s="81"/>
      <c r="AE213" s="81"/>
      <c r="AF213" s="81"/>
      <c r="AG213" s="81"/>
      <c r="AH213" s="81"/>
      <c r="AI213" s="81"/>
      <c r="AJ213" s="81"/>
    </row>
    <row r="214" spans="4:36">
      <c r="D214" t="s">
        <v>79</v>
      </c>
      <c r="E214" t="s">
        <v>68</v>
      </c>
      <c r="F214" s="435" t="s">
        <v>1869</v>
      </c>
      <c r="G214" s="435" t="s">
        <v>86</v>
      </c>
      <c r="H214" t="s">
        <v>264</v>
      </c>
      <c r="I214" t="s">
        <v>7</v>
      </c>
      <c r="J214" t="s">
        <v>299</v>
      </c>
      <c r="K214" s="101"/>
      <c r="L214" s="101"/>
      <c r="N214" t="s">
        <v>202</v>
      </c>
      <c r="O214" t="s">
        <v>202</v>
      </c>
      <c r="P214" s="81"/>
      <c r="Q214" s="81"/>
      <c r="R214" s="435"/>
      <c r="S214" s="435"/>
      <c r="U214" s="81"/>
      <c r="V214" s="81" t="str">
        <f>IF(U214="","",VLOOKUP(U214,'1.3 Lists'!$L$10:$M$313,2,FALSE))</f>
        <v/>
      </c>
      <c r="AC214" t="s">
        <v>3</v>
      </c>
      <c r="AD214" s="81"/>
      <c r="AE214" s="81"/>
      <c r="AF214" s="81"/>
      <c r="AG214" s="81"/>
      <c r="AH214" s="81"/>
      <c r="AI214" s="81"/>
      <c r="AJ214" s="81"/>
    </row>
    <row r="215" spans="4:36">
      <c r="D215" t="s">
        <v>79</v>
      </c>
      <c r="E215" t="s">
        <v>68</v>
      </c>
      <c r="F215" s="435" t="s">
        <v>1869</v>
      </c>
      <c r="G215" s="435" t="s">
        <v>86</v>
      </c>
      <c r="H215" t="s">
        <v>264</v>
      </c>
      <c r="I215" t="s">
        <v>7</v>
      </c>
      <c r="J215" t="s">
        <v>299</v>
      </c>
      <c r="K215" s="101"/>
      <c r="L215" s="101"/>
      <c r="N215" t="s">
        <v>202</v>
      </c>
      <c r="O215" t="s">
        <v>202</v>
      </c>
      <c r="P215" s="81"/>
      <c r="Q215" s="81"/>
      <c r="R215" s="435"/>
      <c r="S215" s="435"/>
      <c r="U215" s="81"/>
      <c r="V215" s="81" t="str">
        <f>IF(U215="","",VLOOKUP(U215,'1.3 Lists'!$L$10:$M$313,2,FALSE))</f>
        <v/>
      </c>
      <c r="AC215" t="s">
        <v>3</v>
      </c>
      <c r="AD215" s="81"/>
      <c r="AE215" s="81"/>
      <c r="AF215" s="81"/>
      <c r="AG215" s="81"/>
      <c r="AH215" s="81"/>
      <c r="AI215" s="81"/>
      <c r="AJ215" s="81"/>
    </row>
    <row r="216" spans="4:36">
      <c r="D216" t="s">
        <v>79</v>
      </c>
      <c r="E216" t="s">
        <v>68</v>
      </c>
      <c r="F216" s="435" t="s">
        <v>1869</v>
      </c>
      <c r="G216" s="435" t="s">
        <v>86</v>
      </c>
      <c r="H216" t="s">
        <v>264</v>
      </c>
      <c r="I216" t="s">
        <v>7</v>
      </c>
      <c r="J216" t="s">
        <v>299</v>
      </c>
      <c r="K216" s="101"/>
      <c r="L216" s="101"/>
      <c r="N216" t="s">
        <v>202</v>
      </c>
      <c r="O216" t="s">
        <v>202</v>
      </c>
      <c r="P216" s="81"/>
      <c r="Q216" s="81"/>
      <c r="R216" s="435"/>
      <c r="S216" s="435"/>
      <c r="U216" s="81"/>
      <c r="V216" s="81" t="str">
        <f>IF(U216="","",VLOOKUP(U216,'1.3 Lists'!$L$10:$M$313,2,FALSE))</f>
        <v/>
      </c>
      <c r="AC216" t="s">
        <v>3</v>
      </c>
      <c r="AD216" s="81"/>
      <c r="AE216" s="81"/>
      <c r="AF216" s="81"/>
      <c r="AG216" s="81"/>
      <c r="AH216" s="81"/>
      <c r="AI216" s="81"/>
      <c r="AJ216" s="81"/>
    </row>
    <row r="217" spans="4:36">
      <c r="D217" t="s">
        <v>79</v>
      </c>
      <c r="E217" t="s">
        <v>68</v>
      </c>
      <c r="F217" s="435" t="s">
        <v>1869</v>
      </c>
      <c r="G217" s="435" t="s">
        <v>86</v>
      </c>
      <c r="H217" t="s">
        <v>264</v>
      </c>
      <c r="I217" t="s">
        <v>7</v>
      </c>
      <c r="J217" t="s">
        <v>299</v>
      </c>
      <c r="K217" s="101"/>
      <c r="L217" s="101"/>
      <c r="N217" t="s">
        <v>202</v>
      </c>
      <c r="O217" t="s">
        <v>202</v>
      </c>
      <c r="P217" s="81"/>
      <c r="Q217" s="81"/>
      <c r="R217" s="435"/>
      <c r="S217" s="435"/>
      <c r="U217" s="81"/>
      <c r="V217" s="81" t="str">
        <f>IF(U217="","",VLOOKUP(U217,'1.3 Lists'!$L$10:$M$313,2,FALSE))</f>
        <v/>
      </c>
      <c r="AC217" t="s">
        <v>3</v>
      </c>
      <c r="AD217" s="81"/>
      <c r="AE217" s="81"/>
      <c r="AF217" s="81"/>
      <c r="AG217" s="81"/>
      <c r="AH217" s="81"/>
      <c r="AI217" s="81"/>
      <c r="AJ217" s="81"/>
    </row>
    <row r="218" spans="4:36">
      <c r="D218" t="s">
        <v>79</v>
      </c>
      <c r="E218" t="s">
        <v>68</v>
      </c>
      <c r="F218" s="435" t="s">
        <v>1869</v>
      </c>
      <c r="G218" s="435" t="s">
        <v>86</v>
      </c>
      <c r="H218" t="s">
        <v>264</v>
      </c>
      <c r="I218" t="s">
        <v>7</v>
      </c>
      <c r="J218" t="s">
        <v>299</v>
      </c>
      <c r="K218" s="101"/>
      <c r="L218" s="101"/>
      <c r="N218" t="s">
        <v>202</v>
      </c>
      <c r="O218" t="s">
        <v>202</v>
      </c>
      <c r="P218" s="81"/>
      <c r="Q218" s="81"/>
      <c r="R218" s="435"/>
      <c r="S218" s="435"/>
      <c r="U218" s="81"/>
      <c r="V218" s="81" t="str">
        <f>IF(U218="","",VLOOKUP(U218,'1.3 Lists'!$L$10:$M$313,2,FALSE))</f>
        <v/>
      </c>
      <c r="AC218" t="s">
        <v>3</v>
      </c>
      <c r="AD218" s="81"/>
      <c r="AE218" s="81"/>
      <c r="AF218" s="81"/>
      <c r="AG218" s="81"/>
      <c r="AH218" s="81"/>
      <c r="AI218" s="81"/>
      <c r="AJ218" s="81"/>
    </row>
    <row r="219" spans="4:36">
      <c r="D219" t="s">
        <v>79</v>
      </c>
      <c r="E219" t="s">
        <v>68</v>
      </c>
      <c r="F219" s="435" t="s">
        <v>1869</v>
      </c>
      <c r="G219" s="435" t="s">
        <v>86</v>
      </c>
      <c r="H219" t="s">
        <v>264</v>
      </c>
      <c r="I219" t="s">
        <v>7</v>
      </c>
      <c r="J219" t="s">
        <v>299</v>
      </c>
      <c r="K219" s="101"/>
      <c r="L219" s="101"/>
      <c r="N219" t="s">
        <v>202</v>
      </c>
      <c r="O219" t="s">
        <v>202</v>
      </c>
      <c r="P219" s="81"/>
      <c r="Q219" s="81"/>
      <c r="R219" s="435"/>
      <c r="S219" s="435"/>
      <c r="U219" s="81"/>
      <c r="V219" s="81" t="str">
        <f>IF(U219="","",VLOOKUP(U219,'1.3 Lists'!$L$10:$M$313,2,FALSE))</f>
        <v/>
      </c>
      <c r="AC219" t="s">
        <v>3</v>
      </c>
      <c r="AD219" s="81"/>
      <c r="AE219" s="81"/>
      <c r="AF219" s="81"/>
      <c r="AG219" s="81"/>
      <c r="AH219" s="81"/>
      <c r="AI219" s="81"/>
      <c r="AJ219" s="81"/>
    </row>
    <row r="220" spans="4:36">
      <c r="D220" t="s">
        <v>79</v>
      </c>
      <c r="E220" t="s">
        <v>68</v>
      </c>
      <c r="F220" s="435" t="s">
        <v>1869</v>
      </c>
      <c r="G220" s="435" t="s">
        <v>86</v>
      </c>
      <c r="H220" t="s">
        <v>264</v>
      </c>
      <c r="I220" t="s">
        <v>7</v>
      </c>
      <c r="J220" t="s">
        <v>299</v>
      </c>
      <c r="K220" s="101"/>
      <c r="L220" s="101"/>
      <c r="N220" t="s">
        <v>202</v>
      </c>
      <c r="O220" t="s">
        <v>202</v>
      </c>
      <c r="P220" s="81"/>
      <c r="Q220" s="81"/>
      <c r="R220" s="435"/>
      <c r="S220" s="435"/>
      <c r="U220" s="81"/>
      <c r="V220" s="81" t="str">
        <f>IF(U220="","",VLOOKUP(U220,'1.3 Lists'!$L$10:$M$313,2,FALSE))</f>
        <v/>
      </c>
      <c r="AC220" t="s">
        <v>3</v>
      </c>
      <c r="AD220" s="81"/>
      <c r="AE220" s="81"/>
      <c r="AF220" s="81"/>
      <c r="AG220" s="81"/>
      <c r="AH220" s="81"/>
      <c r="AI220" s="81"/>
      <c r="AJ220" s="81"/>
    </row>
    <row r="221" spans="4:36">
      <c r="D221" t="s">
        <v>79</v>
      </c>
      <c r="E221" t="s">
        <v>68</v>
      </c>
      <c r="F221" s="435" t="s">
        <v>1869</v>
      </c>
      <c r="G221" s="435" t="s">
        <v>86</v>
      </c>
      <c r="H221" t="s">
        <v>264</v>
      </c>
      <c r="I221" t="s">
        <v>7</v>
      </c>
      <c r="J221" t="s">
        <v>299</v>
      </c>
      <c r="K221" s="101"/>
      <c r="L221" s="101"/>
      <c r="N221" t="s">
        <v>202</v>
      </c>
      <c r="O221" t="s">
        <v>202</v>
      </c>
      <c r="P221" s="81"/>
      <c r="Q221" s="81"/>
      <c r="R221" s="435"/>
      <c r="S221" s="435"/>
      <c r="U221" s="81"/>
      <c r="V221" s="81" t="str">
        <f>IF(U221="","",VLOOKUP(U221,'1.3 Lists'!$L$10:$M$313,2,FALSE))</f>
        <v/>
      </c>
      <c r="AC221" t="s">
        <v>3</v>
      </c>
      <c r="AD221" s="81"/>
      <c r="AE221" s="81"/>
      <c r="AF221" s="81"/>
      <c r="AG221" s="81"/>
      <c r="AH221" s="81"/>
      <c r="AI221" s="81"/>
      <c r="AJ221" s="81"/>
    </row>
    <row r="222" spans="4:36">
      <c r="D222" t="s">
        <v>79</v>
      </c>
      <c r="E222" t="s">
        <v>68</v>
      </c>
      <c r="F222" s="435" t="s">
        <v>1869</v>
      </c>
      <c r="G222" s="435" t="s">
        <v>86</v>
      </c>
      <c r="H222" t="s">
        <v>264</v>
      </c>
      <c r="I222" t="s">
        <v>7</v>
      </c>
      <c r="J222" t="s">
        <v>299</v>
      </c>
      <c r="K222" s="101"/>
      <c r="L222" s="101"/>
      <c r="N222" t="s">
        <v>202</v>
      </c>
      <c r="O222" t="s">
        <v>202</v>
      </c>
      <c r="P222" s="81"/>
      <c r="Q222" s="81"/>
      <c r="R222" s="435"/>
      <c r="S222" s="435"/>
      <c r="U222" s="81"/>
      <c r="V222" s="81" t="str">
        <f>IF(U222="","",VLOOKUP(U222,'1.3 Lists'!$L$10:$M$313,2,FALSE))</f>
        <v/>
      </c>
      <c r="AC222" t="s">
        <v>3</v>
      </c>
      <c r="AD222" s="81"/>
      <c r="AE222" s="81"/>
      <c r="AF222" s="81"/>
      <c r="AG222" s="81"/>
      <c r="AH222" s="81"/>
      <c r="AI222" s="81"/>
      <c r="AJ222" s="81"/>
    </row>
    <row r="223" spans="4:36">
      <c r="D223" t="s">
        <v>79</v>
      </c>
      <c r="E223" t="s">
        <v>68</v>
      </c>
      <c r="F223" s="435" t="s">
        <v>1869</v>
      </c>
      <c r="G223" s="435" t="s">
        <v>86</v>
      </c>
      <c r="H223" t="s">
        <v>264</v>
      </c>
      <c r="I223" t="s">
        <v>7</v>
      </c>
      <c r="J223" t="s">
        <v>299</v>
      </c>
      <c r="K223" s="101"/>
      <c r="L223" s="101"/>
      <c r="N223" t="s">
        <v>202</v>
      </c>
      <c r="O223" t="s">
        <v>202</v>
      </c>
      <c r="P223" s="81"/>
      <c r="Q223" s="81"/>
      <c r="R223" s="435"/>
      <c r="S223" s="435"/>
      <c r="U223" s="81"/>
      <c r="V223" s="81" t="str">
        <f>IF(U223="","",VLOOKUP(U223,'1.3 Lists'!$L$10:$M$313,2,FALSE))</f>
        <v/>
      </c>
      <c r="AC223" t="s">
        <v>3</v>
      </c>
      <c r="AD223" s="81"/>
      <c r="AE223" s="81"/>
      <c r="AF223" s="81"/>
      <c r="AG223" s="81"/>
      <c r="AH223" s="81"/>
      <c r="AI223" s="81"/>
      <c r="AJ223" s="81"/>
    </row>
    <row r="224" spans="4:36">
      <c r="D224" t="s">
        <v>79</v>
      </c>
      <c r="E224" t="s">
        <v>68</v>
      </c>
      <c r="F224" s="435" t="s">
        <v>1869</v>
      </c>
      <c r="G224" s="435" t="s">
        <v>86</v>
      </c>
      <c r="H224" t="s">
        <v>264</v>
      </c>
      <c r="I224" t="s">
        <v>7</v>
      </c>
      <c r="J224" t="s">
        <v>299</v>
      </c>
      <c r="K224" s="101"/>
      <c r="L224" s="101"/>
      <c r="N224" t="s">
        <v>202</v>
      </c>
      <c r="O224" t="s">
        <v>202</v>
      </c>
      <c r="P224" s="81"/>
      <c r="Q224" s="81"/>
      <c r="R224" s="435"/>
      <c r="S224" s="435"/>
      <c r="U224" s="81"/>
      <c r="V224" s="81" t="str">
        <f>IF(U224="","",VLOOKUP(U224,'1.3 Lists'!$L$10:$M$313,2,FALSE))</f>
        <v/>
      </c>
      <c r="AC224" t="s">
        <v>3</v>
      </c>
      <c r="AD224" s="81"/>
      <c r="AE224" s="81"/>
      <c r="AF224" s="81"/>
      <c r="AG224" s="81"/>
      <c r="AH224" s="81"/>
      <c r="AI224" s="81"/>
      <c r="AJ224" s="81"/>
    </row>
    <row r="225" spans="4:36">
      <c r="D225" t="s">
        <v>79</v>
      </c>
      <c r="E225" t="s">
        <v>68</v>
      </c>
      <c r="F225" s="435" t="s">
        <v>1869</v>
      </c>
      <c r="G225" s="435" t="s">
        <v>86</v>
      </c>
      <c r="H225" t="s">
        <v>264</v>
      </c>
      <c r="I225" t="s">
        <v>7</v>
      </c>
      <c r="J225" t="s">
        <v>299</v>
      </c>
      <c r="K225" s="101"/>
      <c r="L225" s="101"/>
      <c r="N225" t="s">
        <v>202</v>
      </c>
      <c r="O225" t="s">
        <v>202</v>
      </c>
      <c r="P225" s="81"/>
      <c r="Q225" s="81"/>
      <c r="R225" s="435"/>
      <c r="S225" s="435"/>
      <c r="U225" s="81"/>
      <c r="V225" s="81" t="str">
        <f>IF(U225="","",VLOOKUP(U225,'1.3 Lists'!$L$10:$M$313,2,FALSE))</f>
        <v/>
      </c>
      <c r="AC225" t="s">
        <v>3</v>
      </c>
      <c r="AD225" s="81"/>
      <c r="AE225" s="81"/>
      <c r="AF225" s="81"/>
      <c r="AG225" s="81"/>
      <c r="AH225" s="81"/>
      <c r="AI225" s="81"/>
      <c r="AJ225" s="81"/>
    </row>
    <row r="226" spans="4:36">
      <c r="D226" t="s">
        <v>79</v>
      </c>
      <c r="E226" t="s">
        <v>68</v>
      </c>
      <c r="F226" s="435" t="s">
        <v>1869</v>
      </c>
      <c r="G226" s="435" t="s">
        <v>86</v>
      </c>
      <c r="H226" t="s">
        <v>264</v>
      </c>
      <c r="I226" t="s">
        <v>7</v>
      </c>
      <c r="J226" t="s">
        <v>299</v>
      </c>
      <c r="K226" s="101"/>
      <c r="L226" s="101"/>
      <c r="N226" t="s">
        <v>202</v>
      </c>
      <c r="O226" t="s">
        <v>202</v>
      </c>
      <c r="P226" s="81"/>
      <c r="Q226" s="81"/>
      <c r="R226" s="435"/>
      <c r="S226" s="435"/>
      <c r="U226" s="81"/>
      <c r="V226" s="81" t="str">
        <f>IF(U226="","",VLOOKUP(U226,'1.3 Lists'!$L$10:$M$313,2,FALSE))</f>
        <v/>
      </c>
      <c r="AC226" t="s">
        <v>3</v>
      </c>
      <c r="AD226" s="81"/>
      <c r="AE226" s="81"/>
      <c r="AF226" s="81"/>
      <c r="AG226" s="81"/>
      <c r="AH226" s="81"/>
      <c r="AI226" s="81"/>
      <c r="AJ226" s="81"/>
    </row>
    <row r="227" spans="4:36">
      <c r="D227" t="s">
        <v>79</v>
      </c>
      <c r="E227" t="s">
        <v>68</v>
      </c>
      <c r="F227" s="435" t="s">
        <v>1869</v>
      </c>
      <c r="G227" s="435" t="s">
        <v>86</v>
      </c>
      <c r="H227" t="s">
        <v>264</v>
      </c>
      <c r="I227" t="s">
        <v>7</v>
      </c>
      <c r="J227" t="s">
        <v>299</v>
      </c>
      <c r="K227" s="101"/>
      <c r="L227" s="101"/>
      <c r="N227" t="s">
        <v>202</v>
      </c>
      <c r="O227" t="s">
        <v>202</v>
      </c>
      <c r="P227" s="81"/>
      <c r="Q227" s="81"/>
      <c r="R227" s="435"/>
      <c r="S227" s="435"/>
      <c r="U227" s="81"/>
      <c r="V227" s="81" t="str">
        <f>IF(U227="","",VLOOKUP(U227,'1.3 Lists'!$L$10:$M$313,2,FALSE))</f>
        <v/>
      </c>
      <c r="AC227" t="s">
        <v>3</v>
      </c>
      <c r="AD227" s="81"/>
      <c r="AE227" s="81"/>
      <c r="AF227" s="81"/>
      <c r="AG227" s="81"/>
      <c r="AH227" s="81"/>
      <c r="AI227" s="81"/>
      <c r="AJ227" s="81"/>
    </row>
    <row r="228" spans="4:36">
      <c r="D228" t="s">
        <v>79</v>
      </c>
      <c r="E228" t="s">
        <v>68</v>
      </c>
      <c r="F228" s="435" t="s">
        <v>1869</v>
      </c>
      <c r="G228" s="435" t="s">
        <v>86</v>
      </c>
      <c r="H228" t="s">
        <v>264</v>
      </c>
      <c r="I228" t="s">
        <v>7</v>
      </c>
      <c r="J228" t="s">
        <v>299</v>
      </c>
      <c r="K228" s="101"/>
      <c r="L228" s="101"/>
      <c r="N228" t="s">
        <v>202</v>
      </c>
      <c r="O228" t="s">
        <v>202</v>
      </c>
      <c r="P228" s="81"/>
      <c r="Q228" s="81"/>
      <c r="R228" s="435"/>
      <c r="S228" s="435"/>
      <c r="U228" s="81"/>
      <c r="V228" s="81" t="str">
        <f>IF(U228="","",VLOOKUP(U228,'1.3 Lists'!$L$10:$M$313,2,FALSE))</f>
        <v/>
      </c>
      <c r="AC228" t="s">
        <v>3</v>
      </c>
      <c r="AD228" s="81"/>
      <c r="AE228" s="81"/>
      <c r="AF228" s="81"/>
      <c r="AG228" s="81"/>
      <c r="AH228" s="81"/>
      <c r="AI228" s="81"/>
      <c r="AJ228" s="81"/>
    </row>
    <row r="229" spans="4:36">
      <c r="D229" t="s">
        <v>79</v>
      </c>
      <c r="E229" t="s">
        <v>68</v>
      </c>
      <c r="F229" s="435" t="s">
        <v>1869</v>
      </c>
      <c r="G229" s="435" t="s">
        <v>86</v>
      </c>
      <c r="H229" t="s">
        <v>264</v>
      </c>
      <c r="I229" t="s">
        <v>7</v>
      </c>
      <c r="J229" t="s">
        <v>299</v>
      </c>
      <c r="K229" s="101"/>
      <c r="L229" s="101"/>
      <c r="N229" t="s">
        <v>202</v>
      </c>
      <c r="O229" t="s">
        <v>202</v>
      </c>
      <c r="P229" s="81"/>
      <c r="Q229" s="81"/>
      <c r="R229" s="435"/>
      <c r="S229" s="435"/>
      <c r="U229" s="81"/>
      <c r="V229" s="81" t="str">
        <f>IF(U229="","",VLOOKUP(U229,'1.3 Lists'!$L$10:$M$313,2,FALSE))</f>
        <v/>
      </c>
      <c r="AC229" t="s">
        <v>3</v>
      </c>
      <c r="AD229" s="81"/>
      <c r="AE229" s="81"/>
      <c r="AF229" s="81"/>
      <c r="AG229" s="81"/>
      <c r="AH229" s="81"/>
      <c r="AI229" s="81"/>
      <c r="AJ229" s="81"/>
    </row>
    <row r="230" spans="4:36">
      <c r="D230" t="s">
        <v>79</v>
      </c>
      <c r="E230" t="s">
        <v>68</v>
      </c>
      <c r="F230" s="435" t="s">
        <v>1869</v>
      </c>
      <c r="G230" s="435" t="s">
        <v>86</v>
      </c>
      <c r="H230" t="s">
        <v>264</v>
      </c>
      <c r="I230" t="s">
        <v>7</v>
      </c>
      <c r="J230" t="s">
        <v>299</v>
      </c>
      <c r="K230" s="101"/>
      <c r="L230" s="101"/>
      <c r="N230" t="s">
        <v>202</v>
      </c>
      <c r="O230" t="s">
        <v>202</v>
      </c>
      <c r="P230" s="81"/>
      <c r="Q230" s="81"/>
      <c r="R230" s="435"/>
      <c r="S230" s="435"/>
      <c r="U230" s="81"/>
      <c r="V230" s="81" t="str">
        <f>IF(U230="","",VLOOKUP(U230,'1.3 Lists'!$L$10:$M$313,2,FALSE))</f>
        <v/>
      </c>
      <c r="AC230" t="s">
        <v>3</v>
      </c>
      <c r="AD230" s="81"/>
      <c r="AE230" s="81"/>
      <c r="AF230" s="81"/>
      <c r="AG230" s="81"/>
      <c r="AH230" s="81"/>
      <c r="AI230" s="81"/>
      <c r="AJ230" s="81"/>
    </row>
    <row r="231" spans="4:36">
      <c r="D231" t="s">
        <v>79</v>
      </c>
      <c r="E231" t="s">
        <v>68</v>
      </c>
      <c r="F231" s="435" t="s">
        <v>1869</v>
      </c>
      <c r="G231" s="435" t="s">
        <v>86</v>
      </c>
      <c r="H231" t="s">
        <v>264</v>
      </c>
      <c r="I231" t="s">
        <v>7</v>
      </c>
      <c r="J231" t="s">
        <v>299</v>
      </c>
      <c r="K231" s="101"/>
      <c r="L231" s="101"/>
      <c r="N231" t="s">
        <v>202</v>
      </c>
      <c r="O231" t="s">
        <v>202</v>
      </c>
      <c r="P231" s="81"/>
      <c r="Q231" s="81"/>
      <c r="R231" s="435"/>
      <c r="S231" s="435"/>
      <c r="U231" s="81"/>
      <c r="V231" s="81" t="str">
        <f>IF(U231="","",VLOOKUP(U231,'1.3 Lists'!$L$10:$M$313,2,FALSE))</f>
        <v/>
      </c>
      <c r="AC231" t="s">
        <v>3</v>
      </c>
      <c r="AD231" s="81"/>
      <c r="AE231" s="81"/>
      <c r="AF231" s="81"/>
      <c r="AG231" s="81"/>
      <c r="AH231" s="81"/>
      <c r="AI231" s="81"/>
      <c r="AJ231" s="81"/>
    </row>
    <row r="232" spans="4:36">
      <c r="D232" t="s">
        <v>79</v>
      </c>
      <c r="E232" t="s">
        <v>68</v>
      </c>
      <c r="F232" s="435" t="s">
        <v>1869</v>
      </c>
      <c r="G232" s="435" t="s">
        <v>86</v>
      </c>
      <c r="H232" t="s">
        <v>264</v>
      </c>
      <c r="I232" t="s">
        <v>7</v>
      </c>
      <c r="J232" t="s">
        <v>299</v>
      </c>
      <c r="K232" s="101"/>
      <c r="L232" s="101"/>
      <c r="N232" t="s">
        <v>202</v>
      </c>
      <c r="O232" t="s">
        <v>202</v>
      </c>
      <c r="P232" s="81"/>
      <c r="Q232" s="81"/>
      <c r="R232" s="435"/>
      <c r="S232" s="435"/>
      <c r="U232" s="81"/>
      <c r="V232" s="81" t="str">
        <f>IF(U232="","",VLOOKUP(U232,'1.3 Lists'!$L$10:$M$313,2,FALSE))</f>
        <v/>
      </c>
      <c r="AC232" t="s">
        <v>3</v>
      </c>
      <c r="AD232" s="81"/>
      <c r="AE232" s="81"/>
      <c r="AF232" s="81"/>
      <c r="AG232" s="81"/>
      <c r="AH232" s="81"/>
      <c r="AI232" s="81"/>
      <c r="AJ232" s="81"/>
    </row>
    <row r="233" spans="4:36">
      <c r="D233" t="s">
        <v>79</v>
      </c>
      <c r="E233" t="s">
        <v>68</v>
      </c>
      <c r="F233" s="435" t="s">
        <v>1869</v>
      </c>
      <c r="G233" s="435" t="s">
        <v>86</v>
      </c>
      <c r="H233" t="s">
        <v>264</v>
      </c>
      <c r="I233" t="s">
        <v>7</v>
      </c>
      <c r="J233" t="s">
        <v>299</v>
      </c>
      <c r="K233" s="101"/>
      <c r="L233" s="101"/>
      <c r="N233" t="s">
        <v>202</v>
      </c>
      <c r="O233" t="s">
        <v>202</v>
      </c>
      <c r="P233" s="81"/>
      <c r="Q233" s="81"/>
      <c r="R233" s="435"/>
      <c r="S233" s="435"/>
      <c r="U233" s="81"/>
      <c r="V233" s="81" t="str">
        <f>IF(U233="","",VLOOKUP(U233,'1.3 Lists'!$L$10:$M$313,2,FALSE))</f>
        <v/>
      </c>
      <c r="AC233" t="s">
        <v>3</v>
      </c>
      <c r="AD233" s="81"/>
      <c r="AE233" s="81"/>
      <c r="AF233" s="81"/>
      <c r="AG233" s="81"/>
      <c r="AH233" s="81"/>
      <c r="AI233" s="81"/>
      <c r="AJ233" s="81"/>
    </row>
    <row r="234" spans="4:36">
      <c r="D234" t="s">
        <v>79</v>
      </c>
      <c r="E234" t="s">
        <v>68</v>
      </c>
      <c r="F234" s="435" t="s">
        <v>1869</v>
      </c>
      <c r="G234" s="435" t="s">
        <v>86</v>
      </c>
      <c r="H234" t="s">
        <v>264</v>
      </c>
      <c r="I234" t="s">
        <v>7</v>
      </c>
      <c r="J234" t="s">
        <v>299</v>
      </c>
      <c r="K234" s="101"/>
      <c r="L234" s="101"/>
      <c r="N234" t="s">
        <v>202</v>
      </c>
      <c r="O234" t="s">
        <v>202</v>
      </c>
      <c r="P234" s="81"/>
      <c r="Q234" s="81"/>
      <c r="R234" s="435"/>
      <c r="S234" s="435"/>
      <c r="U234" s="81"/>
      <c r="V234" s="81" t="str">
        <f>IF(U234="","",VLOOKUP(U234,'1.3 Lists'!$L$10:$M$313,2,FALSE))</f>
        <v/>
      </c>
      <c r="AC234" t="s">
        <v>3</v>
      </c>
      <c r="AD234" s="81"/>
      <c r="AE234" s="81"/>
      <c r="AF234" s="81"/>
      <c r="AG234" s="81"/>
      <c r="AH234" s="81"/>
      <c r="AI234" s="81"/>
      <c r="AJ234" s="81"/>
    </row>
    <row r="235" spans="4:36">
      <c r="D235" t="s">
        <v>79</v>
      </c>
      <c r="E235" t="s">
        <v>68</v>
      </c>
      <c r="F235" s="435" t="s">
        <v>1869</v>
      </c>
      <c r="G235" s="435" t="s">
        <v>86</v>
      </c>
      <c r="H235" t="s">
        <v>264</v>
      </c>
      <c r="I235" t="s">
        <v>7</v>
      </c>
      <c r="J235" t="s">
        <v>299</v>
      </c>
      <c r="K235" s="101"/>
      <c r="L235" s="101"/>
      <c r="N235" t="s">
        <v>202</v>
      </c>
      <c r="O235" t="s">
        <v>202</v>
      </c>
      <c r="P235" s="81"/>
      <c r="Q235" s="81"/>
      <c r="R235" s="435"/>
      <c r="S235" s="435"/>
      <c r="U235" s="81"/>
      <c r="V235" s="81" t="str">
        <f>IF(U235="","",VLOOKUP(U235,'1.3 Lists'!$L$10:$M$313,2,FALSE))</f>
        <v/>
      </c>
      <c r="AC235" t="s">
        <v>3</v>
      </c>
      <c r="AD235" s="81"/>
      <c r="AE235" s="81"/>
      <c r="AF235" s="81"/>
      <c r="AG235" s="81"/>
      <c r="AH235" s="81"/>
      <c r="AI235" s="81"/>
      <c r="AJ235" s="81"/>
    </row>
    <row r="236" spans="4:36">
      <c r="D236" t="s">
        <v>79</v>
      </c>
      <c r="E236" t="s">
        <v>68</v>
      </c>
      <c r="F236" s="435" t="s">
        <v>1869</v>
      </c>
      <c r="G236" s="435" t="s">
        <v>86</v>
      </c>
      <c r="H236" t="s">
        <v>264</v>
      </c>
      <c r="I236" t="s">
        <v>7</v>
      </c>
      <c r="J236" t="s">
        <v>299</v>
      </c>
      <c r="K236" s="101"/>
      <c r="L236" s="101"/>
      <c r="N236" t="s">
        <v>202</v>
      </c>
      <c r="O236" t="s">
        <v>202</v>
      </c>
      <c r="P236" s="81"/>
      <c r="Q236" s="81"/>
      <c r="R236" s="435"/>
      <c r="S236" s="435"/>
      <c r="U236" s="81"/>
      <c r="V236" s="81" t="str">
        <f>IF(U236="","",VLOOKUP(U236,'1.3 Lists'!$L$10:$M$313,2,FALSE))</f>
        <v/>
      </c>
      <c r="AC236" t="s">
        <v>3</v>
      </c>
      <c r="AD236" s="81"/>
      <c r="AE236" s="81"/>
      <c r="AF236" s="81"/>
      <c r="AG236" s="81"/>
      <c r="AH236" s="81"/>
      <c r="AI236" s="81"/>
      <c r="AJ236" s="81"/>
    </row>
    <row r="237" spans="4:36">
      <c r="D237" t="s">
        <v>79</v>
      </c>
      <c r="E237" t="s">
        <v>68</v>
      </c>
      <c r="F237" s="435" t="s">
        <v>1869</v>
      </c>
      <c r="G237" s="435" t="s">
        <v>86</v>
      </c>
      <c r="H237" t="s">
        <v>264</v>
      </c>
      <c r="I237" t="s">
        <v>7</v>
      </c>
      <c r="J237" t="s">
        <v>299</v>
      </c>
      <c r="K237" s="101"/>
      <c r="L237" s="101"/>
      <c r="N237" t="s">
        <v>202</v>
      </c>
      <c r="O237" t="s">
        <v>202</v>
      </c>
      <c r="P237" s="81"/>
      <c r="Q237" s="81"/>
      <c r="R237" s="435"/>
      <c r="S237" s="435"/>
      <c r="U237" s="81"/>
      <c r="V237" s="81" t="str">
        <f>IF(U237="","",VLOOKUP(U237,'1.3 Lists'!$L$10:$M$313,2,FALSE))</f>
        <v/>
      </c>
      <c r="AC237" t="s">
        <v>3</v>
      </c>
      <c r="AD237" s="81"/>
      <c r="AE237" s="81"/>
      <c r="AF237" s="81"/>
      <c r="AG237" s="81"/>
      <c r="AH237" s="81"/>
      <c r="AI237" s="81"/>
      <c r="AJ237" s="81"/>
    </row>
    <row r="238" spans="4:36">
      <c r="D238" t="s">
        <v>79</v>
      </c>
      <c r="E238" t="s">
        <v>68</v>
      </c>
      <c r="F238" s="435" t="s">
        <v>1869</v>
      </c>
      <c r="G238" s="435" t="s">
        <v>86</v>
      </c>
      <c r="H238" t="s">
        <v>264</v>
      </c>
      <c r="I238" t="s">
        <v>7</v>
      </c>
      <c r="J238" t="s">
        <v>299</v>
      </c>
      <c r="K238" s="101"/>
      <c r="L238" s="101"/>
      <c r="N238" t="s">
        <v>202</v>
      </c>
      <c r="O238" t="s">
        <v>202</v>
      </c>
      <c r="P238" s="81"/>
      <c r="Q238" s="81"/>
      <c r="R238" s="435"/>
      <c r="S238" s="435"/>
      <c r="U238" s="81"/>
      <c r="V238" s="81" t="str">
        <f>IF(U238="","",VLOOKUP(U238,'1.3 Lists'!$L$10:$M$313,2,FALSE))</f>
        <v/>
      </c>
      <c r="AC238" t="s">
        <v>3</v>
      </c>
      <c r="AD238" s="81"/>
      <c r="AE238" s="81"/>
      <c r="AF238" s="81"/>
      <c r="AG238" s="81"/>
      <c r="AH238" s="81"/>
      <c r="AI238" s="81"/>
      <c r="AJ238" s="81"/>
    </row>
    <row r="239" spans="4:36">
      <c r="D239" t="s">
        <v>79</v>
      </c>
      <c r="E239" t="s">
        <v>68</v>
      </c>
      <c r="F239" s="435" t="s">
        <v>1869</v>
      </c>
      <c r="G239" s="435" t="s">
        <v>86</v>
      </c>
      <c r="H239" t="s">
        <v>264</v>
      </c>
      <c r="I239" t="s">
        <v>7</v>
      </c>
      <c r="J239" t="s">
        <v>299</v>
      </c>
      <c r="K239" s="101"/>
      <c r="L239" s="101"/>
      <c r="N239" t="s">
        <v>202</v>
      </c>
      <c r="O239" t="s">
        <v>202</v>
      </c>
      <c r="P239" s="81"/>
      <c r="Q239" s="81"/>
      <c r="R239" s="435"/>
      <c r="S239" s="435"/>
      <c r="U239" s="81"/>
      <c r="V239" s="81" t="str">
        <f>IF(U239="","",VLOOKUP(U239,'1.3 Lists'!$L$10:$M$313,2,FALSE))</f>
        <v/>
      </c>
      <c r="AC239" t="s">
        <v>3</v>
      </c>
      <c r="AD239" s="81"/>
      <c r="AE239" s="81"/>
      <c r="AF239" s="81"/>
      <c r="AG239" s="81"/>
      <c r="AH239" s="81"/>
      <c r="AI239" s="81"/>
      <c r="AJ239" s="81"/>
    </row>
    <row r="240" spans="4:36">
      <c r="D240" t="s">
        <v>79</v>
      </c>
      <c r="E240" t="s">
        <v>68</v>
      </c>
      <c r="F240" s="435" t="s">
        <v>1869</v>
      </c>
      <c r="G240" s="435" t="s">
        <v>86</v>
      </c>
      <c r="H240" t="s">
        <v>264</v>
      </c>
      <c r="I240" t="s">
        <v>7</v>
      </c>
      <c r="J240" t="s">
        <v>299</v>
      </c>
      <c r="K240" s="101"/>
      <c r="L240" s="101"/>
      <c r="N240" t="s">
        <v>202</v>
      </c>
      <c r="O240" t="s">
        <v>202</v>
      </c>
      <c r="P240" s="81"/>
      <c r="Q240" s="81"/>
      <c r="R240" s="435"/>
      <c r="S240" s="435"/>
      <c r="U240" s="81"/>
      <c r="V240" s="81" t="str">
        <f>IF(U240="","",VLOOKUP(U240,'1.3 Lists'!$L$10:$M$313,2,FALSE))</f>
        <v/>
      </c>
      <c r="AC240" t="s">
        <v>3</v>
      </c>
      <c r="AD240" s="81"/>
      <c r="AE240" s="81"/>
      <c r="AF240" s="81"/>
      <c r="AG240" s="81"/>
      <c r="AH240" s="81"/>
      <c r="AI240" s="81"/>
      <c r="AJ240" s="81"/>
    </row>
    <row r="241" spans="4:36">
      <c r="D241" t="s">
        <v>79</v>
      </c>
      <c r="E241" t="s">
        <v>68</v>
      </c>
      <c r="F241" s="435" t="s">
        <v>1869</v>
      </c>
      <c r="G241" s="435" t="s">
        <v>86</v>
      </c>
      <c r="H241" t="s">
        <v>264</v>
      </c>
      <c r="I241" t="s">
        <v>7</v>
      </c>
      <c r="J241" t="s">
        <v>299</v>
      </c>
      <c r="K241" s="101"/>
      <c r="L241" s="101"/>
      <c r="N241" t="s">
        <v>202</v>
      </c>
      <c r="O241" t="s">
        <v>202</v>
      </c>
      <c r="P241" s="81"/>
      <c r="Q241" s="81"/>
      <c r="R241" s="435"/>
      <c r="S241" s="435"/>
      <c r="U241" s="81"/>
      <c r="V241" s="81" t="str">
        <f>IF(U241="","",VLOOKUP(U241,'1.3 Lists'!$L$10:$M$313,2,FALSE))</f>
        <v/>
      </c>
      <c r="AC241" t="s">
        <v>3</v>
      </c>
      <c r="AD241" s="81"/>
      <c r="AE241" s="81"/>
      <c r="AF241" s="81"/>
      <c r="AG241" s="81"/>
      <c r="AH241" s="81"/>
      <c r="AI241" s="81"/>
      <c r="AJ241" s="81"/>
    </row>
    <row r="242" spans="4:36">
      <c r="D242" t="s">
        <v>79</v>
      </c>
      <c r="E242" t="s">
        <v>68</v>
      </c>
      <c r="F242" s="435" t="s">
        <v>1869</v>
      </c>
      <c r="G242" s="435" t="s">
        <v>86</v>
      </c>
      <c r="H242" t="s">
        <v>264</v>
      </c>
      <c r="I242" t="s">
        <v>7</v>
      </c>
      <c r="J242" t="s">
        <v>299</v>
      </c>
      <c r="K242" s="101"/>
      <c r="L242" s="101"/>
      <c r="N242" t="s">
        <v>202</v>
      </c>
      <c r="O242" t="s">
        <v>202</v>
      </c>
      <c r="P242" s="81"/>
      <c r="Q242" s="81"/>
      <c r="R242" s="435"/>
      <c r="S242" s="435"/>
      <c r="U242" s="81"/>
      <c r="V242" s="81" t="str">
        <f>IF(U242="","",VLOOKUP(U242,'1.3 Lists'!$L$10:$M$313,2,FALSE))</f>
        <v/>
      </c>
      <c r="AC242" t="s">
        <v>3</v>
      </c>
      <c r="AD242" s="81"/>
      <c r="AE242" s="81"/>
      <c r="AF242" s="81"/>
      <c r="AG242" s="81"/>
      <c r="AH242" s="81"/>
      <c r="AI242" s="81"/>
      <c r="AJ242" s="81"/>
    </row>
    <row r="243" spans="4:36">
      <c r="D243" t="s">
        <v>79</v>
      </c>
      <c r="E243" t="s">
        <v>68</v>
      </c>
      <c r="F243" s="435" t="s">
        <v>1869</v>
      </c>
      <c r="G243" s="435" t="s">
        <v>86</v>
      </c>
      <c r="H243" t="s">
        <v>264</v>
      </c>
      <c r="I243" t="s">
        <v>7</v>
      </c>
      <c r="J243" t="s">
        <v>299</v>
      </c>
      <c r="K243" s="101"/>
      <c r="L243" s="101"/>
      <c r="N243" t="s">
        <v>202</v>
      </c>
      <c r="O243" t="s">
        <v>202</v>
      </c>
      <c r="P243" s="81"/>
      <c r="Q243" s="81"/>
      <c r="R243" s="435"/>
      <c r="S243" s="435"/>
      <c r="U243" s="81"/>
      <c r="V243" s="81" t="str">
        <f>IF(U243="","",VLOOKUP(U243,'1.3 Lists'!$L$10:$M$313,2,FALSE))</f>
        <v/>
      </c>
      <c r="AC243" t="s">
        <v>3</v>
      </c>
      <c r="AD243" s="81"/>
      <c r="AE243" s="81"/>
      <c r="AF243" s="81"/>
      <c r="AG243" s="81"/>
      <c r="AH243" s="81"/>
      <c r="AI243" s="81"/>
      <c r="AJ243" s="81"/>
    </row>
    <row r="244" spans="4:36">
      <c r="D244" t="s">
        <v>79</v>
      </c>
      <c r="E244" t="s">
        <v>68</v>
      </c>
      <c r="F244" s="435" t="s">
        <v>1869</v>
      </c>
      <c r="G244" s="435" t="s">
        <v>86</v>
      </c>
      <c r="H244" t="s">
        <v>264</v>
      </c>
      <c r="I244" t="s">
        <v>7</v>
      </c>
      <c r="J244" t="s">
        <v>299</v>
      </c>
      <c r="K244" s="101"/>
      <c r="L244" s="101"/>
      <c r="N244" t="s">
        <v>202</v>
      </c>
      <c r="O244" t="s">
        <v>202</v>
      </c>
      <c r="P244" s="81"/>
      <c r="Q244" s="81"/>
      <c r="R244" s="435"/>
      <c r="S244" s="435"/>
      <c r="U244" s="81"/>
      <c r="V244" s="81" t="str">
        <f>IF(U244="","",VLOOKUP(U244,'1.3 Lists'!$L$10:$M$313,2,FALSE))</f>
        <v/>
      </c>
      <c r="AC244" t="s">
        <v>3</v>
      </c>
      <c r="AD244" s="81"/>
      <c r="AE244" s="81"/>
      <c r="AF244" s="81"/>
      <c r="AG244" s="81"/>
      <c r="AH244" s="81"/>
      <c r="AI244" s="81"/>
      <c r="AJ244" s="81"/>
    </row>
    <row r="245" spans="4:36">
      <c r="D245" t="s">
        <v>79</v>
      </c>
      <c r="E245" t="s">
        <v>68</v>
      </c>
      <c r="F245" s="435" t="s">
        <v>1869</v>
      </c>
      <c r="G245" s="435" t="s">
        <v>86</v>
      </c>
      <c r="H245" t="s">
        <v>264</v>
      </c>
      <c r="I245" t="s">
        <v>7</v>
      </c>
      <c r="J245" t="s">
        <v>299</v>
      </c>
      <c r="K245" s="101"/>
      <c r="L245" s="101"/>
      <c r="N245" t="s">
        <v>202</v>
      </c>
      <c r="O245" t="s">
        <v>202</v>
      </c>
      <c r="P245" s="81"/>
      <c r="Q245" s="81"/>
      <c r="R245" s="435"/>
      <c r="S245" s="435"/>
      <c r="U245" s="81"/>
      <c r="V245" s="81" t="str">
        <f>IF(U245="","",VLOOKUP(U245,'1.3 Lists'!$L$10:$M$313,2,FALSE))</f>
        <v/>
      </c>
      <c r="AC245" t="s">
        <v>3</v>
      </c>
      <c r="AD245" s="81"/>
      <c r="AE245" s="81"/>
      <c r="AF245" s="81"/>
      <c r="AG245" s="81"/>
      <c r="AH245" s="81"/>
      <c r="AI245" s="81"/>
      <c r="AJ245" s="81"/>
    </row>
    <row r="246" spans="4:36">
      <c r="D246" t="s">
        <v>79</v>
      </c>
      <c r="E246" t="s">
        <v>68</v>
      </c>
      <c r="F246" s="435" t="s">
        <v>1869</v>
      </c>
      <c r="G246" s="435" t="s">
        <v>86</v>
      </c>
      <c r="H246" t="s">
        <v>264</v>
      </c>
      <c r="I246" t="s">
        <v>7</v>
      </c>
      <c r="J246" t="s">
        <v>299</v>
      </c>
      <c r="K246" s="101"/>
      <c r="L246" s="101"/>
      <c r="N246" t="s">
        <v>202</v>
      </c>
      <c r="O246" t="s">
        <v>202</v>
      </c>
      <c r="P246" s="81"/>
      <c r="Q246" s="81"/>
      <c r="R246" s="435"/>
      <c r="S246" s="435"/>
      <c r="U246" s="81"/>
      <c r="V246" s="81" t="str">
        <f>IF(U246="","",VLOOKUP(U246,'1.3 Lists'!$L$10:$M$313,2,FALSE))</f>
        <v/>
      </c>
      <c r="AC246" t="s">
        <v>3</v>
      </c>
      <c r="AD246" s="81"/>
      <c r="AE246" s="81"/>
      <c r="AF246" s="81"/>
      <c r="AG246" s="81"/>
      <c r="AH246" s="81"/>
      <c r="AI246" s="81"/>
      <c r="AJ246" s="81"/>
    </row>
    <row r="247" spans="4:36">
      <c r="D247" t="s">
        <v>79</v>
      </c>
      <c r="E247" t="s">
        <v>68</v>
      </c>
      <c r="F247" s="435" t="s">
        <v>1869</v>
      </c>
      <c r="G247" s="435" t="s">
        <v>86</v>
      </c>
      <c r="H247" t="s">
        <v>264</v>
      </c>
      <c r="I247" t="s">
        <v>7</v>
      </c>
      <c r="J247" t="s">
        <v>299</v>
      </c>
      <c r="K247" s="101"/>
      <c r="L247" s="101"/>
      <c r="N247" t="s">
        <v>202</v>
      </c>
      <c r="O247" t="s">
        <v>202</v>
      </c>
      <c r="P247" s="81"/>
      <c r="Q247" s="81"/>
      <c r="R247" s="435"/>
      <c r="S247" s="435"/>
      <c r="U247" s="81"/>
      <c r="V247" s="81" t="str">
        <f>IF(U247="","",VLOOKUP(U247,'1.3 Lists'!$L$10:$M$313,2,FALSE))</f>
        <v/>
      </c>
      <c r="AC247" t="s">
        <v>3</v>
      </c>
      <c r="AD247" s="81"/>
      <c r="AE247" s="81"/>
      <c r="AF247" s="81"/>
      <c r="AG247" s="81"/>
      <c r="AH247" s="81"/>
      <c r="AI247" s="81"/>
      <c r="AJ247" s="81"/>
    </row>
    <row r="248" spans="4:36">
      <c r="D248" t="s">
        <v>79</v>
      </c>
      <c r="E248" t="s">
        <v>68</v>
      </c>
      <c r="F248" s="435" t="s">
        <v>1869</v>
      </c>
      <c r="G248" s="435" t="s">
        <v>86</v>
      </c>
      <c r="H248" t="s">
        <v>264</v>
      </c>
      <c r="I248" t="s">
        <v>7</v>
      </c>
      <c r="J248" t="s">
        <v>299</v>
      </c>
      <c r="K248" s="101"/>
      <c r="L248" s="101"/>
      <c r="N248" t="s">
        <v>202</v>
      </c>
      <c r="O248" t="s">
        <v>202</v>
      </c>
      <c r="P248" s="81"/>
      <c r="Q248" s="81"/>
      <c r="R248" s="435"/>
      <c r="S248" s="435"/>
      <c r="U248" s="81"/>
      <c r="V248" s="81" t="str">
        <f>IF(U248="","",VLOOKUP(U248,'1.3 Lists'!$L$10:$M$313,2,FALSE))</f>
        <v/>
      </c>
      <c r="AC248" t="s">
        <v>3</v>
      </c>
      <c r="AD248" s="81"/>
      <c r="AE248" s="81"/>
      <c r="AF248" s="81"/>
      <c r="AG248" s="81"/>
      <c r="AH248" s="81"/>
      <c r="AI248" s="81"/>
      <c r="AJ248" s="81"/>
    </row>
    <row r="249" spans="4:36">
      <c r="D249" t="s">
        <v>79</v>
      </c>
      <c r="E249" t="s">
        <v>68</v>
      </c>
      <c r="F249" s="435" t="s">
        <v>1869</v>
      </c>
      <c r="G249" s="435" t="s">
        <v>86</v>
      </c>
      <c r="H249" t="s">
        <v>264</v>
      </c>
      <c r="I249" t="s">
        <v>7</v>
      </c>
      <c r="J249" t="s">
        <v>299</v>
      </c>
      <c r="K249" s="101"/>
      <c r="L249" s="101"/>
      <c r="N249" t="s">
        <v>202</v>
      </c>
      <c r="O249" t="s">
        <v>202</v>
      </c>
      <c r="P249" s="81"/>
      <c r="Q249" s="81"/>
      <c r="R249" s="435"/>
      <c r="S249" s="435"/>
      <c r="U249" s="81"/>
      <c r="V249" s="81" t="str">
        <f>IF(U249="","",VLOOKUP(U249,'1.3 Lists'!$L$10:$M$313,2,FALSE))</f>
        <v/>
      </c>
      <c r="AC249" t="s">
        <v>3</v>
      </c>
      <c r="AD249" s="81"/>
      <c r="AE249" s="81"/>
      <c r="AF249" s="81"/>
      <c r="AG249" s="81"/>
      <c r="AH249" s="81"/>
      <c r="AI249" s="81"/>
      <c r="AJ249" s="81"/>
    </row>
    <row r="250" spans="4:36">
      <c r="D250" t="s">
        <v>79</v>
      </c>
      <c r="E250" t="s">
        <v>68</v>
      </c>
      <c r="F250" s="435" t="s">
        <v>1869</v>
      </c>
      <c r="G250" s="435" t="s">
        <v>86</v>
      </c>
      <c r="H250" t="s">
        <v>264</v>
      </c>
      <c r="I250" t="s">
        <v>7</v>
      </c>
      <c r="J250" t="s">
        <v>299</v>
      </c>
      <c r="K250" s="101"/>
      <c r="L250" s="101"/>
      <c r="N250" t="s">
        <v>202</v>
      </c>
      <c r="O250" t="s">
        <v>202</v>
      </c>
      <c r="P250" s="81"/>
      <c r="Q250" s="81"/>
      <c r="R250" s="435"/>
      <c r="S250" s="435"/>
      <c r="U250" s="81"/>
      <c r="V250" s="81" t="str">
        <f>IF(U250="","",VLOOKUP(U250,'1.3 Lists'!$L$10:$M$313,2,FALSE))</f>
        <v/>
      </c>
      <c r="AC250" t="s">
        <v>3</v>
      </c>
      <c r="AD250" s="81"/>
      <c r="AE250" s="81"/>
      <c r="AF250" s="81"/>
      <c r="AG250" s="81"/>
      <c r="AH250" s="81"/>
      <c r="AI250" s="81"/>
      <c r="AJ250" s="81"/>
    </row>
    <row r="251" spans="4:36">
      <c r="D251" t="s">
        <v>79</v>
      </c>
      <c r="E251" t="s">
        <v>68</v>
      </c>
      <c r="F251" s="435" t="s">
        <v>1869</v>
      </c>
      <c r="G251" s="435" t="s">
        <v>86</v>
      </c>
      <c r="H251" t="s">
        <v>264</v>
      </c>
      <c r="I251" t="s">
        <v>7</v>
      </c>
      <c r="J251" t="s">
        <v>299</v>
      </c>
      <c r="K251" s="101"/>
      <c r="L251" s="101"/>
      <c r="N251" t="s">
        <v>202</v>
      </c>
      <c r="O251" t="s">
        <v>202</v>
      </c>
      <c r="P251" s="81"/>
      <c r="Q251" s="81"/>
      <c r="R251" s="435"/>
      <c r="S251" s="435"/>
      <c r="U251" s="81"/>
      <c r="V251" s="81" t="str">
        <f>IF(U251="","",VLOOKUP(U251,'1.3 Lists'!$L$10:$M$313,2,FALSE))</f>
        <v/>
      </c>
      <c r="AC251" t="s">
        <v>3</v>
      </c>
      <c r="AD251" s="81"/>
      <c r="AE251" s="81"/>
      <c r="AF251" s="81"/>
      <c r="AG251" s="81"/>
      <c r="AH251" s="81"/>
      <c r="AI251" s="81"/>
      <c r="AJ251" s="81"/>
    </row>
    <row r="252" spans="4:36">
      <c r="D252" t="s">
        <v>79</v>
      </c>
      <c r="E252" t="s">
        <v>68</v>
      </c>
      <c r="F252" s="435" t="s">
        <v>1869</v>
      </c>
      <c r="G252" s="435" t="s">
        <v>86</v>
      </c>
      <c r="H252" t="s">
        <v>264</v>
      </c>
      <c r="I252" t="s">
        <v>7</v>
      </c>
      <c r="J252" t="s">
        <v>299</v>
      </c>
      <c r="K252" s="101"/>
      <c r="L252" s="101"/>
      <c r="N252" t="s">
        <v>202</v>
      </c>
      <c r="O252" t="s">
        <v>202</v>
      </c>
      <c r="P252" s="81"/>
      <c r="Q252" s="81"/>
      <c r="R252" s="435"/>
      <c r="S252" s="435"/>
      <c r="U252" s="81"/>
      <c r="V252" s="81" t="str">
        <f>IF(U252="","",VLOOKUP(U252,'1.3 Lists'!$L$10:$M$313,2,FALSE))</f>
        <v/>
      </c>
      <c r="AC252" t="s">
        <v>3</v>
      </c>
      <c r="AD252" s="81"/>
      <c r="AE252" s="81"/>
      <c r="AF252" s="81"/>
      <c r="AG252" s="81"/>
      <c r="AH252" s="81"/>
      <c r="AI252" s="81"/>
      <c r="AJ252" s="81"/>
    </row>
    <row r="253" spans="4:36">
      <c r="D253" t="s">
        <v>79</v>
      </c>
      <c r="E253" t="s">
        <v>68</v>
      </c>
      <c r="F253" s="435" t="s">
        <v>1869</v>
      </c>
      <c r="G253" s="435" t="s">
        <v>86</v>
      </c>
      <c r="H253" t="s">
        <v>264</v>
      </c>
      <c r="I253" t="s">
        <v>7</v>
      </c>
      <c r="J253" t="s">
        <v>299</v>
      </c>
      <c r="K253" s="101"/>
      <c r="L253" s="101"/>
      <c r="N253" t="s">
        <v>202</v>
      </c>
      <c r="O253" t="s">
        <v>202</v>
      </c>
      <c r="P253" s="81"/>
      <c r="Q253" s="81"/>
      <c r="R253" s="435"/>
      <c r="S253" s="435"/>
      <c r="U253" s="81"/>
      <c r="V253" s="81" t="str">
        <f>IF(U253="","",VLOOKUP(U253,'1.3 Lists'!$L$10:$M$313,2,FALSE))</f>
        <v/>
      </c>
      <c r="AC253" t="s">
        <v>3</v>
      </c>
      <c r="AD253" s="81"/>
      <c r="AE253" s="81"/>
      <c r="AF253" s="81"/>
      <c r="AG253" s="81"/>
      <c r="AH253" s="81"/>
      <c r="AI253" s="81"/>
      <c r="AJ253" s="81"/>
    </row>
    <row r="254" spans="4:36">
      <c r="D254" t="s">
        <v>79</v>
      </c>
      <c r="E254" t="s">
        <v>68</v>
      </c>
      <c r="F254" s="435" t="s">
        <v>1869</v>
      </c>
      <c r="G254" s="435" t="s">
        <v>86</v>
      </c>
      <c r="H254" t="s">
        <v>264</v>
      </c>
      <c r="I254" t="s">
        <v>7</v>
      </c>
      <c r="J254" t="s">
        <v>299</v>
      </c>
      <c r="K254" s="101"/>
      <c r="L254" s="101"/>
      <c r="N254" t="s">
        <v>202</v>
      </c>
      <c r="O254" t="s">
        <v>202</v>
      </c>
      <c r="P254" s="81"/>
      <c r="Q254" s="81"/>
      <c r="R254" s="435"/>
      <c r="S254" s="435"/>
      <c r="U254" s="81"/>
      <c r="V254" s="81" t="str">
        <f>IF(U254="","",VLOOKUP(U254,'1.3 Lists'!$L$10:$M$313,2,FALSE))</f>
        <v/>
      </c>
      <c r="AC254" t="s">
        <v>3</v>
      </c>
      <c r="AD254" s="81"/>
      <c r="AE254" s="81"/>
      <c r="AF254" s="81"/>
      <c r="AG254" s="81"/>
      <c r="AH254" s="81"/>
      <c r="AI254" s="81"/>
      <c r="AJ254" s="81"/>
    </row>
    <row r="255" spans="4:36">
      <c r="D255" t="s">
        <v>79</v>
      </c>
      <c r="E255" t="s">
        <v>68</v>
      </c>
      <c r="F255" s="435" t="s">
        <v>1869</v>
      </c>
      <c r="G255" s="435" t="s">
        <v>86</v>
      </c>
      <c r="H255" t="s">
        <v>264</v>
      </c>
      <c r="I255" t="s">
        <v>7</v>
      </c>
      <c r="J255" t="s">
        <v>299</v>
      </c>
      <c r="K255" s="101"/>
      <c r="L255" s="101"/>
      <c r="N255" t="s">
        <v>202</v>
      </c>
      <c r="O255" t="s">
        <v>202</v>
      </c>
      <c r="P255" s="81"/>
      <c r="Q255" s="81"/>
      <c r="R255" s="435"/>
      <c r="S255" s="435"/>
      <c r="U255" s="81"/>
      <c r="V255" s="81" t="str">
        <f>IF(U255="","",VLOOKUP(U255,'1.3 Lists'!$L$10:$M$313,2,FALSE))</f>
        <v/>
      </c>
      <c r="AC255" t="s">
        <v>3</v>
      </c>
      <c r="AD255" s="81"/>
      <c r="AE255" s="81"/>
      <c r="AF255" s="81"/>
      <c r="AG255" s="81"/>
      <c r="AH255" s="81"/>
      <c r="AI255" s="81"/>
      <c r="AJ255" s="81"/>
    </row>
    <row r="256" spans="4:36">
      <c r="D256" t="s">
        <v>79</v>
      </c>
      <c r="E256" t="s">
        <v>68</v>
      </c>
      <c r="F256" s="435" t="s">
        <v>1869</v>
      </c>
      <c r="G256" s="435" t="s">
        <v>86</v>
      </c>
      <c r="H256" t="s">
        <v>264</v>
      </c>
      <c r="I256" t="s">
        <v>7</v>
      </c>
      <c r="J256" t="s">
        <v>299</v>
      </c>
      <c r="K256" s="101"/>
      <c r="L256" s="101"/>
      <c r="N256" t="s">
        <v>202</v>
      </c>
      <c r="O256" t="s">
        <v>202</v>
      </c>
      <c r="P256" s="81"/>
      <c r="Q256" s="81"/>
      <c r="R256" s="435"/>
      <c r="S256" s="435"/>
      <c r="U256" s="81"/>
      <c r="V256" s="81" t="str">
        <f>IF(U256="","",VLOOKUP(U256,'1.3 Lists'!$L$10:$M$313,2,FALSE))</f>
        <v/>
      </c>
      <c r="AC256" t="s">
        <v>3</v>
      </c>
      <c r="AD256" s="81"/>
      <c r="AE256" s="81"/>
      <c r="AF256" s="81"/>
      <c r="AG256" s="81"/>
      <c r="AH256" s="81"/>
      <c r="AI256" s="81"/>
      <c r="AJ256" s="81"/>
    </row>
    <row r="257" spans="4:36">
      <c r="D257" t="s">
        <v>79</v>
      </c>
      <c r="E257" t="s">
        <v>68</v>
      </c>
      <c r="F257" s="435" t="s">
        <v>1869</v>
      </c>
      <c r="G257" s="435" t="s">
        <v>86</v>
      </c>
      <c r="H257" t="s">
        <v>264</v>
      </c>
      <c r="I257" t="s">
        <v>7</v>
      </c>
      <c r="J257" t="s">
        <v>299</v>
      </c>
      <c r="K257" s="101"/>
      <c r="L257" s="101"/>
      <c r="N257" t="s">
        <v>202</v>
      </c>
      <c r="O257" t="s">
        <v>202</v>
      </c>
      <c r="P257" s="81"/>
      <c r="Q257" s="81"/>
      <c r="R257" s="435"/>
      <c r="S257" s="435"/>
      <c r="U257" s="81"/>
      <c r="V257" s="81" t="str">
        <f>IF(U257="","",VLOOKUP(U257,'1.3 Lists'!$L$10:$M$313,2,FALSE))</f>
        <v/>
      </c>
      <c r="AC257" t="s">
        <v>3</v>
      </c>
      <c r="AD257" s="81"/>
      <c r="AE257" s="81"/>
      <c r="AF257" s="81"/>
      <c r="AG257" s="81"/>
      <c r="AH257" s="81"/>
      <c r="AI257" s="81"/>
      <c r="AJ257" s="81"/>
    </row>
    <row r="258" spans="4:36">
      <c r="D258" t="s">
        <v>79</v>
      </c>
      <c r="E258" t="s">
        <v>68</v>
      </c>
      <c r="F258" s="435" t="s">
        <v>1869</v>
      </c>
      <c r="G258" s="435" t="s">
        <v>86</v>
      </c>
      <c r="H258" t="s">
        <v>264</v>
      </c>
      <c r="I258" t="s">
        <v>7</v>
      </c>
      <c r="J258" t="s">
        <v>299</v>
      </c>
      <c r="K258" s="101"/>
      <c r="L258" s="101"/>
      <c r="N258" t="s">
        <v>202</v>
      </c>
      <c r="O258" t="s">
        <v>202</v>
      </c>
      <c r="P258" s="81"/>
      <c r="Q258" s="81"/>
      <c r="R258" s="435"/>
      <c r="S258" s="435"/>
      <c r="U258" s="81"/>
      <c r="V258" s="81" t="str">
        <f>IF(U258="","",VLOOKUP(U258,'1.3 Lists'!$L$10:$M$313,2,FALSE))</f>
        <v/>
      </c>
      <c r="AC258" t="s">
        <v>3</v>
      </c>
      <c r="AD258" s="81"/>
      <c r="AE258" s="81"/>
      <c r="AF258" s="81"/>
      <c r="AG258" s="81"/>
      <c r="AH258" s="81"/>
      <c r="AI258" s="81"/>
      <c r="AJ258" s="81"/>
    </row>
    <row r="259" spans="4:36">
      <c r="D259" t="s">
        <v>79</v>
      </c>
      <c r="E259" t="s">
        <v>68</v>
      </c>
      <c r="F259" s="435" t="s">
        <v>1869</v>
      </c>
      <c r="G259" s="435" t="s">
        <v>86</v>
      </c>
      <c r="H259" t="s">
        <v>264</v>
      </c>
      <c r="I259" t="s">
        <v>7</v>
      </c>
      <c r="J259" t="s">
        <v>299</v>
      </c>
      <c r="K259" s="101"/>
      <c r="L259" s="101"/>
      <c r="N259" t="s">
        <v>202</v>
      </c>
      <c r="O259" t="s">
        <v>202</v>
      </c>
      <c r="P259" s="81"/>
      <c r="Q259" s="81"/>
      <c r="R259" s="435"/>
      <c r="S259" s="435"/>
      <c r="U259" s="81"/>
      <c r="V259" s="81" t="str">
        <f>IF(U259="","",VLOOKUP(U259,'1.3 Lists'!$L$10:$M$313,2,FALSE))</f>
        <v/>
      </c>
      <c r="AC259" t="s">
        <v>3</v>
      </c>
      <c r="AD259" s="81"/>
      <c r="AE259" s="81"/>
      <c r="AF259" s="81"/>
      <c r="AG259" s="81"/>
      <c r="AH259" s="81"/>
      <c r="AI259" s="81"/>
      <c r="AJ259" s="81"/>
    </row>
    <row r="260" spans="4:36">
      <c r="D260" t="s">
        <v>79</v>
      </c>
      <c r="E260" t="s">
        <v>68</v>
      </c>
      <c r="F260" s="435" t="s">
        <v>1869</v>
      </c>
      <c r="G260" s="435" t="s">
        <v>86</v>
      </c>
      <c r="H260" t="s">
        <v>264</v>
      </c>
      <c r="I260" t="s">
        <v>7</v>
      </c>
      <c r="J260" t="s">
        <v>299</v>
      </c>
      <c r="K260" s="101"/>
      <c r="L260" s="101"/>
      <c r="N260" t="s">
        <v>202</v>
      </c>
      <c r="O260" t="s">
        <v>202</v>
      </c>
      <c r="P260" s="81"/>
      <c r="Q260" s="81"/>
      <c r="R260" s="435"/>
      <c r="S260" s="435"/>
      <c r="U260" s="81"/>
      <c r="V260" s="81" t="str">
        <f>IF(U260="","",VLOOKUP(U260,'1.3 Lists'!$L$10:$M$313,2,FALSE))</f>
        <v/>
      </c>
      <c r="AC260" t="s">
        <v>3</v>
      </c>
      <c r="AD260" s="81"/>
      <c r="AE260" s="81"/>
      <c r="AF260" s="81"/>
      <c r="AG260" s="81"/>
      <c r="AH260" s="81"/>
      <c r="AI260" s="81"/>
      <c r="AJ260" s="81"/>
    </row>
    <row r="261" spans="4:36">
      <c r="D261" t="s">
        <v>79</v>
      </c>
      <c r="E261" t="s">
        <v>68</v>
      </c>
      <c r="F261" s="435" t="s">
        <v>1869</v>
      </c>
      <c r="G261" s="435" t="s">
        <v>86</v>
      </c>
      <c r="H261" t="s">
        <v>264</v>
      </c>
      <c r="I261" t="s">
        <v>7</v>
      </c>
      <c r="J261" t="s">
        <v>299</v>
      </c>
      <c r="K261" s="101"/>
      <c r="L261" s="101"/>
      <c r="N261" t="s">
        <v>202</v>
      </c>
      <c r="O261" t="s">
        <v>202</v>
      </c>
      <c r="P261" s="81"/>
      <c r="Q261" s="81"/>
      <c r="R261" s="435"/>
      <c r="S261" s="435"/>
      <c r="U261" s="81"/>
      <c r="V261" s="81" t="str">
        <f>IF(U261="","",VLOOKUP(U261,'1.3 Lists'!$L$10:$M$313,2,FALSE))</f>
        <v/>
      </c>
      <c r="AC261" t="s">
        <v>3</v>
      </c>
      <c r="AD261" s="81"/>
      <c r="AE261" s="81"/>
      <c r="AF261" s="81"/>
      <c r="AG261" s="81"/>
      <c r="AH261" s="81"/>
      <c r="AI261" s="81"/>
      <c r="AJ261" s="81"/>
    </row>
    <row r="262" spans="4:36">
      <c r="D262" t="s">
        <v>79</v>
      </c>
      <c r="E262" t="s">
        <v>68</v>
      </c>
      <c r="F262" s="435" t="s">
        <v>1869</v>
      </c>
      <c r="G262" s="435" t="s">
        <v>86</v>
      </c>
      <c r="H262" t="s">
        <v>264</v>
      </c>
      <c r="I262" t="s">
        <v>7</v>
      </c>
      <c r="J262" t="s">
        <v>299</v>
      </c>
      <c r="K262" s="101"/>
      <c r="L262" s="101"/>
      <c r="N262" t="s">
        <v>202</v>
      </c>
      <c r="O262" t="s">
        <v>202</v>
      </c>
      <c r="P262" s="81"/>
      <c r="Q262" s="81"/>
      <c r="R262" s="435"/>
      <c r="S262" s="435"/>
      <c r="U262" s="81"/>
      <c r="V262" s="81" t="str">
        <f>IF(U262="","",VLOOKUP(U262,'1.3 Lists'!$L$10:$M$313,2,FALSE))</f>
        <v/>
      </c>
      <c r="AC262" t="s">
        <v>3</v>
      </c>
      <c r="AD262" s="81"/>
      <c r="AE262" s="81"/>
      <c r="AF262" s="81"/>
      <c r="AG262" s="81"/>
      <c r="AH262" s="81"/>
      <c r="AI262" s="81"/>
      <c r="AJ262" s="81"/>
    </row>
    <row r="263" spans="4:36">
      <c r="D263" t="s">
        <v>79</v>
      </c>
      <c r="E263" t="s">
        <v>68</v>
      </c>
      <c r="F263" s="435" t="s">
        <v>1869</v>
      </c>
      <c r="G263" s="435" t="s">
        <v>86</v>
      </c>
      <c r="H263" t="s">
        <v>264</v>
      </c>
      <c r="I263" t="s">
        <v>7</v>
      </c>
      <c r="J263" t="s">
        <v>299</v>
      </c>
      <c r="K263" s="101"/>
      <c r="L263" s="101"/>
      <c r="N263" t="s">
        <v>202</v>
      </c>
      <c r="O263" t="s">
        <v>202</v>
      </c>
      <c r="P263" s="81"/>
      <c r="Q263" s="81"/>
      <c r="R263" s="435"/>
      <c r="S263" s="435"/>
      <c r="U263" s="81"/>
      <c r="V263" s="81" t="str">
        <f>IF(U263="","",VLOOKUP(U263,'1.3 Lists'!$L$10:$M$313,2,FALSE))</f>
        <v/>
      </c>
      <c r="AC263" t="s">
        <v>3</v>
      </c>
      <c r="AD263" s="81"/>
      <c r="AE263" s="81"/>
      <c r="AF263" s="81"/>
      <c r="AG263" s="81"/>
      <c r="AH263" s="81"/>
      <c r="AI263" s="81"/>
      <c r="AJ263" s="81"/>
    </row>
    <row r="264" spans="4:36">
      <c r="D264" t="s">
        <v>79</v>
      </c>
      <c r="E264" t="s">
        <v>68</v>
      </c>
      <c r="F264" s="435" t="s">
        <v>1869</v>
      </c>
      <c r="G264" s="435" t="s">
        <v>86</v>
      </c>
      <c r="H264" t="s">
        <v>264</v>
      </c>
      <c r="I264" t="s">
        <v>7</v>
      </c>
      <c r="J264" t="s">
        <v>299</v>
      </c>
      <c r="K264" s="101"/>
      <c r="L264" s="101"/>
      <c r="N264" t="s">
        <v>202</v>
      </c>
      <c r="O264" t="s">
        <v>202</v>
      </c>
      <c r="P264" s="81"/>
      <c r="Q264" s="81"/>
      <c r="R264" s="435"/>
      <c r="S264" s="435"/>
      <c r="U264" s="81"/>
      <c r="V264" s="81" t="str">
        <f>IF(U264="","",VLOOKUP(U264,'1.3 Lists'!$L$10:$M$313,2,FALSE))</f>
        <v/>
      </c>
      <c r="AC264" t="s">
        <v>3</v>
      </c>
      <c r="AD264" s="81"/>
      <c r="AE264" s="81"/>
      <c r="AF264" s="81"/>
      <c r="AG264" s="81"/>
      <c r="AH264" s="81"/>
      <c r="AI264" s="81"/>
      <c r="AJ264" s="81"/>
    </row>
    <row r="265" spans="4:36">
      <c r="D265" t="s">
        <v>79</v>
      </c>
      <c r="E265" t="s">
        <v>68</v>
      </c>
      <c r="F265" s="435" t="s">
        <v>1869</v>
      </c>
      <c r="G265" s="435" t="s">
        <v>86</v>
      </c>
      <c r="H265" t="s">
        <v>264</v>
      </c>
      <c r="I265" t="s">
        <v>7</v>
      </c>
      <c r="J265" t="s">
        <v>299</v>
      </c>
      <c r="K265" s="101"/>
      <c r="L265" s="101"/>
      <c r="N265" t="s">
        <v>202</v>
      </c>
      <c r="O265" t="s">
        <v>202</v>
      </c>
      <c r="P265" s="81"/>
      <c r="Q265" s="81"/>
      <c r="R265" s="435"/>
      <c r="S265" s="435"/>
      <c r="U265" s="81"/>
      <c r="V265" s="81" t="str">
        <f>IF(U265="","",VLOOKUP(U265,'1.3 Lists'!$L$10:$M$313,2,FALSE))</f>
        <v/>
      </c>
      <c r="AC265" t="s">
        <v>3</v>
      </c>
      <c r="AD265" s="81"/>
      <c r="AE265" s="81"/>
      <c r="AF265" s="81"/>
      <c r="AG265" s="81"/>
      <c r="AH265" s="81"/>
      <c r="AI265" s="81"/>
      <c r="AJ265" s="81"/>
    </row>
    <row r="266" spans="4:36">
      <c r="D266" t="s">
        <v>79</v>
      </c>
      <c r="E266" t="s">
        <v>68</v>
      </c>
      <c r="F266" s="435" t="s">
        <v>1869</v>
      </c>
      <c r="G266" s="435" t="s">
        <v>86</v>
      </c>
      <c r="H266" t="s">
        <v>264</v>
      </c>
      <c r="I266" t="s">
        <v>7</v>
      </c>
      <c r="J266" t="s">
        <v>299</v>
      </c>
      <c r="K266" s="101"/>
      <c r="L266" s="101"/>
      <c r="N266" t="s">
        <v>202</v>
      </c>
      <c r="O266" t="s">
        <v>202</v>
      </c>
      <c r="P266" s="81"/>
      <c r="Q266" s="81"/>
      <c r="R266" s="435"/>
      <c r="S266" s="435"/>
      <c r="U266" s="81"/>
      <c r="V266" s="81" t="str">
        <f>IF(U266="","",VLOOKUP(U266,'1.3 Lists'!$L$10:$M$313,2,FALSE))</f>
        <v/>
      </c>
      <c r="AC266" t="s">
        <v>3</v>
      </c>
      <c r="AD266" s="81"/>
      <c r="AE266" s="81"/>
      <c r="AF266" s="81"/>
      <c r="AG266" s="81"/>
      <c r="AH266" s="81"/>
      <c r="AI266" s="81"/>
      <c r="AJ266" s="81"/>
    </row>
    <row r="267" spans="4:36">
      <c r="D267" t="s">
        <v>79</v>
      </c>
      <c r="E267" t="s">
        <v>68</v>
      </c>
      <c r="F267" s="435" t="s">
        <v>1869</v>
      </c>
      <c r="G267" s="435" t="s">
        <v>86</v>
      </c>
      <c r="H267" t="s">
        <v>264</v>
      </c>
      <c r="I267" t="s">
        <v>7</v>
      </c>
      <c r="J267" t="s">
        <v>299</v>
      </c>
      <c r="K267" s="101"/>
      <c r="L267" s="101"/>
      <c r="N267" t="s">
        <v>202</v>
      </c>
      <c r="O267" t="s">
        <v>202</v>
      </c>
      <c r="P267" s="81"/>
      <c r="Q267" s="81"/>
      <c r="R267" s="435"/>
      <c r="S267" s="435"/>
      <c r="U267" s="81"/>
      <c r="V267" s="81" t="str">
        <f>IF(U267="","",VLOOKUP(U267,'1.3 Lists'!$L$10:$M$313,2,FALSE))</f>
        <v/>
      </c>
      <c r="AC267" t="s">
        <v>3</v>
      </c>
      <c r="AD267" s="81"/>
      <c r="AE267" s="81"/>
      <c r="AF267" s="81"/>
      <c r="AG267" s="81"/>
      <c r="AH267" s="81"/>
      <c r="AI267" s="81"/>
      <c r="AJ267" s="81"/>
    </row>
    <row r="268" spans="4:36">
      <c r="D268" t="s">
        <v>79</v>
      </c>
      <c r="E268" t="s">
        <v>68</v>
      </c>
      <c r="F268" s="435" t="s">
        <v>1869</v>
      </c>
      <c r="G268" s="435" t="s">
        <v>86</v>
      </c>
      <c r="H268" t="s">
        <v>264</v>
      </c>
      <c r="I268" t="s">
        <v>7</v>
      </c>
      <c r="J268" t="s">
        <v>299</v>
      </c>
      <c r="K268" s="101"/>
      <c r="L268" s="101"/>
      <c r="N268" t="s">
        <v>202</v>
      </c>
      <c r="O268" t="s">
        <v>202</v>
      </c>
      <c r="P268" s="81"/>
      <c r="Q268" s="81"/>
      <c r="R268" s="435"/>
      <c r="S268" s="435"/>
      <c r="U268" s="81"/>
      <c r="V268" s="81" t="str">
        <f>IF(U268="","",VLOOKUP(U268,'1.3 Lists'!$L$10:$M$313,2,FALSE))</f>
        <v/>
      </c>
      <c r="AC268" t="s">
        <v>3</v>
      </c>
      <c r="AD268" s="81"/>
      <c r="AE268" s="81"/>
      <c r="AF268" s="81"/>
      <c r="AG268" s="81"/>
      <c r="AH268" s="81"/>
      <c r="AI268" s="81"/>
      <c r="AJ268" s="81"/>
    </row>
    <row r="269" spans="4:36">
      <c r="D269" t="s">
        <v>79</v>
      </c>
      <c r="E269" t="s">
        <v>68</v>
      </c>
      <c r="F269" s="435" t="s">
        <v>1869</v>
      </c>
      <c r="G269" s="435" t="s">
        <v>86</v>
      </c>
      <c r="H269" t="s">
        <v>264</v>
      </c>
      <c r="I269" t="s">
        <v>7</v>
      </c>
      <c r="J269" t="s">
        <v>299</v>
      </c>
      <c r="K269" s="101"/>
      <c r="L269" s="101"/>
      <c r="N269" t="s">
        <v>202</v>
      </c>
      <c r="O269" t="s">
        <v>202</v>
      </c>
      <c r="P269" s="81"/>
      <c r="Q269" s="81"/>
      <c r="R269" s="435"/>
      <c r="S269" s="435"/>
      <c r="U269" s="81"/>
      <c r="V269" s="81" t="str">
        <f>IF(U269="","",VLOOKUP(U269,'1.3 Lists'!$L$10:$M$313,2,FALSE))</f>
        <v/>
      </c>
      <c r="AC269" t="s">
        <v>3</v>
      </c>
      <c r="AD269" s="81"/>
      <c r="AE269" s="81"/>
      <c r="AF269" s="81"/>
      <c r="AG269" s="81"/>
      <c r="AH269" s="81"/>
      <c r="AI269" s="81"/>
      <c r="AJ269" s="81"/>
    </row>
    <row r="270" spans="4:36">
      <c r="D270" t="s">
        <v>79</v>
      </c>
      <c r="E270" t="s">
        <v>68</v>
      </c>
      <c r="F270" s="435" t="s">
        <v>1869</v>
      </c>
      <c r="G270" s="435" t="s">
        <v>86</v>
      </c>
      <c r="H270" t="s">
        <v>264</v>
      </c>
      <c r="I270" t="s">
        <v>7</v>
      </c>
      <c r="J270" t="s">
        <v>299</v>
      </c>
      <c r="K270" s="101"/>
      <c r="L270" s="101"/>
      <c r="N270" t="s">
        <v>202</v>
      </c>
      <c r="O270" t="s">
        <v>202</v>
      </c>
      <c r="P270" s="81"/>
      <c r="Q270" s="81"/>
      <c r="R270" s="435"/>
      <c r="S270" s="435"/>
      <c r="U270" s="81"/>
      <c r="V270" s="81" t="str">
        <f>IF(U270="","",VLOOKUP(U270,'1.3 Lists'!$L$10:$M$313,2,FALSE))</f>
        <v/>
      </c>
      <c r="AC270" t="s">
        <v>3</v>
      </c>
      <c r="AD270" s="81"/>
      <c r="AE270" s="81"/>
      <c r="AF270" s="81"/>
      <c r="AG270" s="81"/>
      <c r="AH270" s="81"/>
      <c r="AI270" s="81"/>
      <c r="AJ270" s="81"/>
    </row>
    <row r="271" spans="4:36">
      <c r="D271" t="s">
        <v>79</v>
      </c>
      <c r="E271" t="s">
        <v>68</v>
      </c>
      <c r="F271" s="435" t="s">
        <v>1869</v>
      </c>
      <c r="G271" s="435" t="s">
        <v>86</v>
      </c>
      <c r="H271" t="s">
        <v>264</v>
      </c>
      <c r="I271" t="s">
        <v>7</v>
      </c>
      <c r="J271" t="s">
        <v>299</v>
      </c>
      <c r="K271" s="101"/>
      <c r="L271" s="101"/>
      <c r="N271" t="s">
        <v>202</v>
      </c>
      <c r="O271" t="s">
        <v>202</v>
      </c>
      <c r="P271" s="81"/>
      <c r="Q271" s="81"/>
      <c r="R271" s="435"/>
      <c r="S271" s="435"/>
      <c r="U271" s="81"/>
      <c r="V271" s="81" t="str">
        <f>IF(U271="","",VLOOKUP(U271,'1.3 Lists'!$L$10:$M$313,2,FALSE))</f>
        <v/>
      </c>
      <c r="AC271" t="s">
        <v>3</v>
      </c>
      <c r="AD271" s="81"/>
      <c r="AE271" s="81"/>
      <c r="AF271" s="81"/>
      <c r="AG271" s="81"/>
      <c r="AH271" s="81"/>
      <c r="AI271" s="81"/>
      <c r="AJ271" s="81"/>
    </row>
    <row r="272" spans="4:36">
      <c r="D272" t="s">
        <v>79</v>
      </c>
      <c r="E272" t="s">
        <v>68</v>
      </c>
      <c r="F272" s="435" t="s">
        <v>1869</v>
      </c>
      <c r="G272" s="435" t="s">
        <v>86</v>
      </c>
      <c r="H272" t="s">
        <v>264</v>
      </c>
      <c r="I272" t="s">
        <v>7</v>
      </c>
      <c r="J272" t="s">
        <v>299</v>
      </c>
      <c r="K272" s="101"/>
      <c r="L272" s="101"/>
      <c r="N272" t="s">
        <v>202</v>
      </c>
      <c r="O272" t="s">
        <v>202</v>
      </c>
      <c r="P272" s="81"/>
      <c r="Q272" s="81"/>
      <c r="R272" s="435"/>
      <c r="S272" s="435"/>
      <c r="U272" s="81"/>
      <c r="V272" s="81" t="str">
        <f>IF(U272="","",VLOOKUP(U272,'1.3 Lists'!$L$10:$M$313,2,FALSE))</f>
        <v/>
      </c>
      <c r="AC272" t="s">
        <v>3</v>
      </c>
      <c r="AD272" s="81"/>
      <c r="AE272" s="81"/>
      <c r="AF272" s="81"/>
      <c r="AG272" s="81"/>
      <c r="AH272" s="81"/>
      <c r="AI272" s="81"/>
      <c r="AJ272" s="81"/>
    </row>
    <row r="273" spans="4:36">
      <c r="D273" t="s">
        <v>79</v>
      </c>
      <c r="E273" t="s">
        <v>68</v>
      </c>
      <c r="F273" s="435" t="s">
        <v>1869</v>
      </c>
      <c r="G273" s="435" t="s">
        <v>86</v>
      </c>
      <c r="H273" t="s">
        <v>264</v>
      </c>
      <c r="I273" t="s">
        <v>7</v>
      </c>
      <c r="J273" t="s">
        <v>299</v>
      </c>
      <c r="K273" s="101"/>
      <c r="L273" s="101"/>
      <c r="N273" t="s">
        <v>202</v>
      </c>
      <c r="O273" t="s">
        <v>202</v>
      </c>
      <c r="P273" s="81"/>
      <c r="Q273" s="81"/>
      <c r="R273" s="435"/>
      <c r="S273" s="435"/>
      <c r="U273" s="81"/>
      <c r="V273" s="81" t="str">
        <f>IF(U273="","",VLOOKUP(U273,'1.3 Lists'!$L$10:$M$313,2,FALSE))</f>
        <v/>
      </c>
      <c r="AC273" t="s">
        <v>3</v>
      </c>
      <c r="AD273" s="81"/>
      <c r="AE273" s="81"/>
      <c r="AF273" s="81"/>
      <c r="AG273" s="81"/>
      <c r="AH273" s="81"/>
      <c r="AI273" s="81"/>
      <c r="AJ273" s="81"/>
    </row>
    <row r="274" spans="4:36">
      <c r="D274" t="s">
        <v>79</v>
      </c>
      <c r="E274" t="s">
        <v>68</v>
      </c>
      <c r="F274" s="435" t="s">
        <v>1869</v>
      </c>
      <c r="G274" s="435" t="s">
        <v>86</v>
      </c>
      <c r="H274" t="s">
        <v>264</v>
      </c>
      <c r="I274" t="s">
        <v>7</v>
      </c>
      <c r="J274" t="s">
        <v>299</v>
      </c>
      <c r="K274" s="101"/>
      <c r="L274" s="101"/>
      <c r="N274" t="s">
        <v>202</v>
      </c>
      <c r="O274" t="s">
        <v>202</v>
      </c>
      <c r="P274" s="81"/>
      <c r="Q274" s="81"/>
      <c r="R274" s="435"/>
      <c r="S274" s="435"/>
      <c r="U274" s="81"/>
      <c r="V274" s="81" t="str">
        <f>IF(U274="","",VLOOKUP(U274,'1.3 Lists'!$L$10:$M$313,2,FALSE))</f>
        <v/>
      </c>
      <c r="AC274" t="s">
        <v>3</v>
      </c>
      <c r="AD274" s="81"/>
      <c r="AE274" s="81"/>
      <c r="AF274" s="81"/>
      <c r="AG274" s="81"/>
      <c r="AH274" s="81"/>
      <c r="AI274" s="81"/>
      <c r="AJ274" s="81"/>
    </row>
    <row r="275" spans="4:36">
      <c r="D275" t="s">
        <v>79</v>
      </c>
      <c r="E275" t="s">
        <v>68</v>
      </c>
      <c r="F275" s="435" t="s">
        <v>1869</v>
      </c>
      <c r="G275" s="435" t="s">
        <v>86</v>
      </c>
      <c r="H275" t="s">
        <v>264</v>
      </c>
      <c r="I275" t="s">
        <v>7</v>
      </c>
      <c r="J275" t="s">
        <v>299</v>
      </c>
      <c r="K275" s="101"/>
      <c r="L275" s="101"/>
      <c r="N275" t="s">
        <v>202</v>
      </c>
      <c r="O275" t="s">
        <v>202</v>
      </c>
      <c r="P275" s="81"/>
      <c r="Q275" s="81"/>
      <c r="R275" s="435"/>
      <c r="S275" s="435"/>
      <c r="U275" s="81"/>
      <c r="V275" s="81" t="str">
        <f>IF(U275="","",VLOOKUP(U275,'1.3 Lists'!$L$10:$M$313,2,FALSE))</f>
        <v/>
      </c>
      <c r="AC275" t="s">
        <v>3</v>
      </c>
      <c r="AD275" s="81"/>
      <c r="AE275" s="81"/>
      <c r="AF275" s="81"/>
      <c r="AG275" s="81"/>
      <c r="AH275" s="81"/>
      <c r="AI275" s="81"/>
      <c r="AJ275" s="81"/>
    </row>
    <row r="276" spans="4:36">
      <c r="D276" t="s">
        <v>79</v>
      </c>
      <c r="E276" t="s">
        <v>68</v>
      </c>
      <c r="F276" s="435" t="s">
        <v>1869</v>
      </c>
      <c r="G276" s="435" t="s">
        <v>86</v>
      </c>
      <c r="H276" t="s">
        <v>264</v>
      </c>
      <c r="I276" t="s">
        <v>7</v>
      </c>
      <c r="J276" t="s">
        <v>299</v>
      </c>
      <c r="K276" s="101"/>
      <c r="L276" s="101"/>
      <c r="N276" t="s">
        <v>202</v>
      </c>
      <c r="O276" t="s">
        <v>202</v>
      </c>
      <c r="P276" s="81"/>
      <c r="Q276" s="81"/>
      <c r="R276" s="435"/>
      <c r="S276" s="435"/>
      <c r="U276" s="81"/>
      <c r="V276" s="81" t="str">
        <f>IF(U276="","",VLOOKUP(U276,'1.3 Lists'!$L$10:$M$313,2,FALSE))</f>
        <v/>
      </c>
      <c r="AC276" t="s">
        <v>3</v>
      </c>
      <c r="AD276" s="81"/>
      <c r="AE276" s="81"/>
      <c r="AF276" s="81"/>
      <c r="AG276" s="81"/>
      <c r="AH276" s="81"/>
      <c r="AI276" s="81"/>
      <c r="AJ276" s="81"/>
    </row>
    <row r="277" spans="4:36">
      <c r="D277" t="s">
        <v>79</v>
      </c>
      <c r="E277" t="s">
        <v>68</v>
      </c>
      <c r="F277" s="435" t="s">
        <v>1869</v>
      </c>
      <c r="G277" s="435" t="s">
        <v>86</v>
      </c>
      <c r="H277" t="s">
        <v>264</v>
      </c>
      <c r="I277" t="s">
        <v>7</v>
      </c>
      <c r="J277" t="s">
        <v>299</v>
      </c>
      <c r="K277" s="101"/>
      <c r="L277" s="101"/>
      <c r="N277" t="s">
        <v>202</v>
      </c>
      <c r="O277" t="s">
        <v>202</v>
      </c>
      <c r="P277" s="81"/>
      <c r="Q277" s="81"/>
      <c r="R277" s="435"/>
      <c r="S277" s="435"/>
      <c r="U277" s="81"/>
      <c r="V277" s="81" t="str">
        <f>IF(U277="","",VLOOKUP(U277,'1.3 Lists'!$L$10:$M$313,2,FALSE))</f>
        <v/>
      </c>
      <c r="AC277" t="s">
        <v>3</v>
      </c>
      <c r="AD277" s="81"/>
      <c r="AE277" s="81"/>
      <c r="AF277" s="81"/>
      <c r="AG277" s="81"/>
      <c r="AH277" s="81"/>
      <c r="AI277" s="81"/>
      <c r="AJ277" s="81"/>
    </row>
    <row r="278" spans="4:36">
      <c r="D278" t="s">
        <v>79</v>
      </c>
      <c r="E278" t="s">
        <v>68</v>
      </c>
      <c r="F278" s="435" t="s">
        <v>1869</v>
      </c>
      <c r="G278" s="435" t="s">
        <v>86</v>
      </c>
      <c r="H278" t="s">
        <v>264</v>
      </c>
      <c r="I278" t="s">
        <v>7</v>
      </c>
      <c r="J278" t="s">
        <v>299</v>
      </c>
      <c r="K278" s="101"/>
      <c r="L278" s="101"/>
      <c r="N278" t="s">
        <v>202</v>
      </c>
      <c r="O278" t="s">
        <v>202</v>
      </c>
      <c r="P278" s="81"/>
      <c r="Q278" s="81"/>
      <c r="R278" s="435"/>
      <c r="S278" s="435"/>
      <c r="U278" s="81"/>
      <c r="V278" s="81" t="str">
        <f>IF(U278="","",VLOOKUP(U278,'1.3 Lists'!$L$10:$M$313,2,FALSE))</f>
        <v/>
      </c>
      <c r="AC278" t="s">
        <v>3</v>
      </c>
      <c r="AD278" s="81"/>
      <c r="AE278" s="81"/>
      <c r="AF278" s="81"/>
      <c r="AG278" s="81"/>
      <c r="AH278" s="81"/>
      <c r="AI278" s="81"/>
      <c r="AJ278" s="81"/>
    </row>
    <row r="279" spans="4:36">
      <c r="D279" t="s">
        <v>79</v>
      </c>
      <c r="E279" t="s">
        <v>68</v>
      </c>
      <c r="F279" s="435" t="s">
        <v>1869</v>
      </c>
      <c r="G279" s="435" t="s">
        <v>86</v>
      </c>
      <c r="H279" t="s">
        <v>264</v>
      </c>
      <c r="I279" t="s">
        <v>7</v>
      </c>
      <c r="J279" t="s">
        <v>299</v>
      </c>
      <c r="K279" s="101"/>
      <c r="L279" s="101"/>
      <c r="N279" t="s">
        <v>202</v>
      </c>
      <c r="O279" t="s">
        <v>202</v>
      </c>
      <c r="P279" s="81"/>
      <c r="Q279" s="81"/>
      <c r="R279" s="435"/>
      <c r="S279" s="435"/>
      <c r="U279" s="81"/>
      <c r="V279" s="81" t="str">
        <f>IF(U279="","",VLOOKUP(U279,'1.3 Lists'!$L$10:$M$313,2,FALSE))</f>
        <v/>
      </c>
      <c r="AC279" t="s">
        <v>3</v>
      </c>
      <c r="AD279" s="81"/>
      <c r="AE279" s="81"/>
      <c r="AF279" s="81"/>
      <c r="AG279" s="81"/>
      <c r="AH279" s="81"/>
      <c r="AI279" s="81"/>
      <c r="AJ279" s="81"/>
    </row>
    <row r="280" spans="4:36">
      <c r="D280" t="s">
        <v>79</v>
      </c>
      <c r="E280" t="s">
        <v>68</v>
      </c>
      <c r="F280" s="435" t="s">
        <v>1869</v>
      </c>
      <c r="G280" s="435" t="s">
        <v>86</v>
      </c>
      <c r="H280" t="s">
        <v>264</v>
      </c>
      <c r="I280" t="s">
        <v>7</v>
      </c>
      <c r="J280" t="s">
        <v>299</v>
      </c>
      <c r="K280" s="101"/>
      <c r="L280" s="101"/>
      <c r="N280" t="s">
        <v>202</v>
      </c>
      <c r="O280" t="s">
        <v>202</v>
      </c>
      <c r="P280" s="81"/>
      <c r="Q280" s="81"/>
      <c r="R280" s="435"/>
      <c r="S280" s="435"/>
      <c r="U280" s="81"/>
      <c r="V280" s="81" t="str">
        <f>IF(U280="","",VLOOKUP(U280,'1.3 Lists'!$L$10:$M$313,2,FALSE))</f>
        <v/>
      </c>
      <c r="AC280" t="s">
        <v>3</v>
      </c>
      <c r="AD280" s="81"/>
      <c r="AE280" s="81"/>
      <c r="AF280" s="81"/>
      <c r="AG280" s="81"/>
      <c r="AH280" s="81"/>
      <c r="AI280" s="81"/>
      <c r="AJ280" s="81"/>
    </row>
    <row r="281" spans="4:36">
      <c r="D281" t="s">
        <v>79</v>
      </c>
      <c r="E281" t="s">
        <v>68</v>
      </c>
      <c r="F281" s="435" t="s">
        <v>1869</v>
      </c>
      <c r="G281" s="435" t="s">
        <v>86</v>
      </c>
      <c r="H281" t="s">
        <v>264</v>
      </c>
      <c r="I281" t="s">
        <v>7</v>
      </c>
      <c r="J281" t="s">
        <v>299</v>
      </c>
      <c r="K281" s="101"/>
      <c r="L281" s="101"/>
      <c r="N281" t="s">
        <v>202</v>
      </c>
      <c r="O281" t="s">
        <v>202</v>
      </c>
      <c r="P281" s="81"/>
      <c r="Q281" s="81"/>
      <c r="R281" s="435"/>
      <c r="S281" s="435"/>
      <c r="U281" s="81"/>
      <c r="V281" s="81" t="str">
        <f>IF(U281="","",VLOOKUP(U281,'1.3 Lists'!$L$10:$M$313,2,FALSE))</f>
        <v/>
      </c>
      <c r="AC281" t="s">
        <v>3</v>
      </c>
      <c r="AD281" s="81"/>
      <c r="AE281" s="81"/>
      <c r="AF281" s="81"/>
      <c r="AG281" s="81"/>
      <c r="AH281" s="81"/>
      <c r="AI281" s="81"/>
      <c r="AJ281" s="81"/>
    </row>
    <row r="282" spans="4:36">
      <c r="D282" t="s">
        <v>79</v>
      </c>
      <c r="E282" t="s">
        <v>68</v>
      </c>
      <c r="F282" s="435" t="s">
        <v>1869</v>
      </c>
      <c r="G282" s="435" t="s">
        <v>86</v>
      </c>
      <c r="H282" t="s">
        <v>264</v>
      </c>
      <c r="I282" t="s">
        <v>7</v>
      </c>
      <c r="J282" t="s">
        <v>299</v>
      </c>
      <c r="K282" s="101"/>
      <c r="L282" s="101"/>
      <c r="N282" t="s">
        <v>202</v>
      </c>
      <c r="O282" t="s">
        <v>202</v>
      </c>
      <c r="P282" s="81"/>
      <c r="Q282" s="81"/>
      <c r="R282" s="435"/>
      <c r="S282" s="435"/>
      <c r="U282" s="81"/>
      <c r="V282" s="81" t="str">
        <f>IF(U282="","",VLOOKUP(U282,'1.3 Lists'!$L$10:$M$313,2,FALSE))</f>
        <v/>
      </c>
      <c r="AC282" t="s">
        <v>3</v>
      </c>
      <c r="AD282" s="81"/>
      <c r="AE282" s="81"/>
      <c r="AF282" s="81"/>
      <c r="AG282" s="81"/>
      <c r="AH282" s="81"/>
      <c r="AI282" s="81"/>
      <c r="AJ282" s="81"/>
    </row>
    <row r="283" spans="4:36">
      <c r="D283" t="s">
        <v>79</v>
      </c>
      <c r="E283" t="s">
        <v>68</v>
      </c>
      <c r="F283" s="435" t="s">
        <v>1869</v>
      </c>
      <c r="G283" s="435" t="s">
        <v>86</v>
      </c>
      <c r="H283" t="s">
        <v>264</v>
      </c>
      <c r="I283" t="s">
        <v>7</v>
      </c>
      <c r="J283" t="s">
        <v>299</v>
      </c>
      <c r="K283" s="101"/>
      <c r="L283" s="101"/>
      <c r="N283" t="s">
        <v>202</v>
      </c>
      <c r="O283" t="s">
        <v>202</v>
      </c>
      <c r="P283" s="81"/>
      <c r="Q283" s="81"/>
      <c r="R283" s="435"/>
      <c r="S283" s="435"/>
      <c r="U283" s="81"/>
      <c r="V283" s="81" t="str">
        <f>IF(U283="","",VLOOKUP(U283,'1.3 Lists'!$L$10:$M$313,2,FALSE))</f>
        <v/>
      </c>
      <c r="AC283" t="s">
        <v>3</v>
      </c>
      <c r="AD283" s="81"/>
      <c r="AE283" s="81"/>
      <c r="AF283" s="81"/>
      <c r="AG283" s="81"/>
      <c r="AH283" s="81"/>
      <c r="AI283" s="81"/>
      <c r="AJ283" s="81"/>
    </row>
    <row r="284" spans="4:36">
      <c r="D284" t="s">
        <v>79</v>
      </c>
      <c r="E284" t="s">
        <v>68</v>
      </c>
      <c r="F284" s="435" t="s">
        <v>1869</v>
      </c>
      <c r="G284" s="435" t="s">
        <v>86</v>
      </c>
      <c r="H284" t="s">
        <v>264</v>
      </c>
      <c r="I284" t="s">
        <v>7</v>
      </c>
      <c r="J284" t="s">
        <v>299</v>
      </c>
      <c r="K284" s="101"/>
      <c r="L284" s="101"/>
      <c r="N284" t="s">
        <v>202</v>
      </c>
      <c r="O284" t="s">
        <v>202</v>
      </c>
      <c r="P284" s="81"/>
      <c r="Q284" s="81"/>
      <c r="R284" s="435"/>
      <c r="S284" s="435"/>
      <c r="U284" s="81"/>
      <c r="V284" s="81" t="str">
        <f>IF(U284="","",VLOOKUP(U284,'1.3 Lists'!$L$10:$M$313,2,FALSE))</f>
        <v/>
      </c>
      <c r="AC284" t="s">
        <v>3</v>
      </c>
      <c r="AD284" s="81"/>
      <c r="AE284" s="81"/>
      <c r="AF284" s="81"/>
      <c r="AG284" s="81"/>
      <c r="AH284" s="81"/>
      <c r="AI284" s="81"/>
      <c r="AJ284" s="81"/>
    </row>
    <row r="285" spans="4:36">
      <c r="D285" t="s">
        <v>79</v>
      </c>
      <c r="E285" t="s">
        <v>68</v>
      </c>
      <c r="F285" s="435" t="s">
        <v>1869</v>
      </c>
      <c r="G285" s="435" t="s">
        <v>86</v>
      </c>
      <c r="H285" t="s">
        <v>264</v>
      </c>
      <c r="I285" t="s">
        <v>7</v>
      </c>
      <c r="J285" t="s">
        <v>299</v>
      </c>
      <c r="K285" s="101"/>
      <c r="L285" s="101"/>
      <c r="N285" t="s">
        <v>202</v>
      </c>
      <c r="O285" t="s">
        <v>202</v>
      </c>
      <c r="P285" s="81"/>
      <c r="Q285" s="81"/>
      <c r="R285" s="435"/>
      <c r="S285" s="435"/>
      <c r="U285" s="81"/>
      <c r="V285" s="81" t="str">
        <f>IF(U285="","",VLOOKUP(U285,'1.3 Lists'!$L$10:$M$313,2,FALSE))</f>
        <v/>
      </c>
      <c r="AC285" t="s">
        <v>3</v>
      </c>
      <c r="AD285" s="81"/>
      <c r="AE285" s="81"/>
      <c r="AF285" s="81"/>
      <c r="AG285" s="81"/>
      <c r="AH285" s="81"/>
      <c r="AI285" s="81"/>
      <c r="AJ285" s="81"/>
    </row>
    <row r="286" spans="4:36">
      <c r="D286" t="s">
        <v>79</v>
      </c>
      <c r="E286" t="s">
        <v>68</v>
      </c>
      <c r="F286" s="435" t="s">
        <v>1869</v>
      </c>
      <c r="G286" s="435" t="s">
        <v>86</v>
      </c>
      <c r="H286" t="s">
        <v>264</v>
      </c>
      <c r="I286" t="s">
        <v>7</v>
      </c>
      <c r="J286" t="s">
        <v>299</v>
      </c>
      <c r="K286" s="101"/>
      <c r="L286" s="101"/>
      <c r="N286" t="s">
        <v>202</v>
      </c>
      <c r="O286" t="s">
        <v>202</v>
      </c>
      <c r="P286" s="81"/>
      <c r="Q286" s="81"/>
      <c r="R286" s="435"/>
      <c r="S286" s="435"/>
      <c r="U286" s="81"/>
      <c r="V286" s="81" t="str">
        <f>IF(U286="","",VLOOKUP(U286,'1.3 Lists'!$L$10:$M$313,2,FALSE))</f>
        <v/>
      </c>
      <c r="AC286" t="s">
        <v>3</v>
      </c>
      <c r="AD286" s="81"/>
      <c r="AE286" s="81"/>
      <c r="AF286" s="81"/>
      <c r="AG286" s="81"/>
      <c r="AH286" s="81"/>
      <c r="AI286" s="81"/>
      <c r="AJ286" s="81"/>
    </row>
    <row r="287" spans="4:36">
      <c r="D287" t="s">
        <v>79</v>
      </c>
      <c r="E287" t="s">
        <v>68</v>
      </c>
      <c r="F287" s="435" t="s">
        <v>1869</v>
      </c>
      <c r="G287" s="435" t="s">
        <v>86</v>
      </c>
      <c r="H287" t="s">
        <v>264</v>
      </c>
      <c r="I287" t="s">
        <v>7</v>
      </c>
      <c r="J287" t="s">
        <v>299</v>
      </c>
      <c r="K287" s="101"/>
      <c r="L287" s="101"/>
      <c r="N287" t="s">
        <v>202</v>
      </c>
      <c r="O287" t="s">
        <v>202</v>
      </c>
      <c r="P287" s="81"/>
      <c r="Q287" s="81"/>
      <c r="R287" s="435"/>
      <c r="S287" s="435"/>
      <c r="U287" s="81"/>
      <c r="V287" s="81" t="str">
        <f>IF(U287="","",VLOOKUP(U287,'1.3 Lists'!$L$10:$M$313,2,FALSE))</f>
        <v/>
      </c>
      <c r="AC287" t="s">
        <v>3</v>
      </c>
      <c r="AD287" s="81"/>
      <c r="AE287" s="81"/>
      <c r="AF287" s="81"/>
      <c r="AG287" s="81"/>
      <c r="AH287" s="81"/>
      <c r="AI287" s="81"/>
      <c r="AJ287" s="81"/>
    </row>
    <row r="288" spans="4:36">
      <c r="D288" t="s">
        <v>79</v>
      </c>
      <c r="E288" t="s">
        <v>68</v>
      </c>
      <c r="F288" s="435" t="s">
        <v>1869</v>
      </c>
      <c r="G288" s="435" t="s">
        <v>86</v>
      </c>
      <c r="H288" t="s">
        <v>264</v>
      </c>
      <c r="I288" t="s">
        <v>7</v>
      </c>
      <c r="J288" t="s">
        <v>299</v>
      </c>
      <c r="K288" s="101"/>
      <c r="L288" s="101"/>
      <c r="N288" t="s">
        <v>202</v>
      </c>
      <c r="O288" t="s">
        <v>202</v>
      </c>
      <c r="P288" s="81"/>
      <c r="Q288" s="81"/>
      <c r="R288" s="435"/>
      <c r="S288" s="435"/>
      <c r="U288" s="81"/>
      <c r="V288" s="81" t="str">
        <f>IF(U288="","",VLOOKUP(U288,'1.3 Lists'!$L$10:$M$313,2,FALSE))</f>
        <v/>
      </c>
      <c r="AC288" t="s">
        <v>3</v>
      </c>
      <c r="AD288" s="81"/>
      <c r="AE288" s="81"/>
      <c r="AF288" s="81"/>
      <c r="AG288" s="81"/>
      <c r="AH288" s="81"/>
      <c r="AI288" s="81"/>
      <c r="AJ288" s="81"/>
    </row>
    <row r="289" spans="4:36">
      <c r="D289" t="s">
        <v>79</v>
      </c>
      <c r="E289" t="s">
        <v>68</v>
      </c>
      <c r="F289" s="435" t="s">
        <v>1869</v>
      </c>
      <c r="G289" s="435" t="s">
        <v>86</v>
      </c>
      <c r="H289" t="s">
        <v>264</v>
      </c>
      <c r="I289" t="s">
        <v>7</v>
      </c>
      <c r="J289" t="s">
        <v>299</v>
      </c>
      <c r="K289" s="101"/>
      <c r="L289" s="101"/>
      <c r="N289" t="s">
        <v>202</v>
      </c>
      <c r="O289" t="s">
        <v>202</v>
      </c>
      <c r="P289" s="81"/>
      <c r="Q289" s="81"/>
      <c r="R289" s="435"/>
      <c r="S289" s="435"/>
      <c r="U289" s="81"/>
      <c r="V289" s="81" t="str">
        <f>IF(U289="","",VLOOKUP(U289,'1.3 Lists'!$L$10:$M$313,2,FALSE))</f>
        <v/>
      </c>
      <c r="AC289" t="s">
        <v>3</v>
      </c>
      <c r="AD289" s="81"/>
      <c r="AE289" s="81"/>
      <c r="AF289" s="81"/>
      <c r="AG289" s="81"/>
      <c r="AH289" s="81"/>
      <c r="AI289" s="81"/>
      <c r="AJ289" s="81"/>
    </row>
    <row r="290" spans="4:36">
      <c r="D290" t="s">
        <v>79</v>
      </c>
      <c r="E290" t="s">
        <v>68</v>
      </c>
      <c r="F290" s="435" t="s">
        <v>1869</v>
      </c>
      <c r="G290" s="435" t="s">
        <v>86</v>
      </c>
      <c r="H290" t="s">
        <v>264</v>
      </c>
      <c r="I290" t="s">
        <v>7</v>
      </c>
      <c r="J290" t="s">
        <v>299</v>
      </c>
      <c r="K290" s="101"/>
      <c r="L290" s="101"/>
      <c r="N290" t="s">
        <v>202</v>
      </c>
      <c r="O290" t="s">
        <v>202</v>
      </c>
      <c r="P290" s="81"/>
      <c r="Q290" s="81"/>
      <c r="R290" s="435"/>
      <c r="S290" s="435"/>
      <c r="U290" s="81"/>
      <c r="V290" s="81" t="str">
        <f>IF(U290="","",VLOOKUP(U290,'1.3 Lists'!$L$10:$M$313,2,FALSE))</f>
        <v/>
      </c>
      <c r="AC290" t="s">
        <v>3</v>
      </c>
      <c r="AD290" s="81"/>
      <c r="AE290" s="81"/>
      <c r="AF290" s="81"/>
      <c r="AG290" s="81"/>
      <c r="AH290" s="81"/>
      <c r="AI290" s="81"/>
      <c r="AJ290" s="81"/>
    </row>
    <row r="291" spans="4:36">
      <c r="D291" t="s">
        <v>79</v>
      </c>
      <c r="E291" t="s">
        <v>68</v>
      </c>
      <c r="F291" s="435" t="s">
        <v>1869</v>
      </c>
      <c r="G291" s="435" t="s">
        <v>86</v>
      </c>
      <c r="H291" t="s">
        <v>264</v>
      </c>
      <c r="I291" t="s">
        <v>7</v>
      </c>
      <c r="J291" t="s">
        <v>299</v>
      </c>
      <c r="K291" s="101"/>
      <c r="L291" s="101"/>
      <c r="N291" t="s">
        <v>202</v>
      </c>
      <c r="O291" t="s">
        <v>202</v>
      </c>
      <c r="P291" s="81"/>
      <c r="Q291" s="81"/>
      <c r="R291" s="435"/>
      <c r="S291" s="435"/>
      <c r="U291" s="81"/>
      <c r="V291" s="81" t="str">
        <f>IF(U291="","",VLOOKUP(U291,'1.3 Lists'!$L$10:$M$313,2,FALSE))</f>
        <v/>
      </c>
      <c r="AC291" t="s">
        <v>3</v>
      </c>
      <c r="AD291" s="81"/>
      <c r="AE291" s="81"/>
      <c r="AF291" s="81"/>
      <c r="AG291" s="81"/>
      <c r="AH291" s="81"/>
      <c r="AI291" s="81"/>
      <c r="AJ291" s="81"/>
    </row>
    <row r="292" spans="4:36">
      <c r="D292" t="s">
        <v>79</v>
      </c>
      <c r="E292" t="s">
        <v>68</v>
      </c>
      <c r="F292" s="435" t="s">
        <v>1869</v>
      </c>
      <c r="G292" s="435" t="s">
        <v>86</v>
      </c>
      <c r="H292" t="s">
        <v>264</v>
      </c>
      <c r="I292" t="s">
        <v>7</v>
      </c>
      <c r="J292" t="s">
        <v>299</v>
      </c>
      <c r="K292" s="101"/>
      <c r="L292" s="101"/>
      <c r="N292" t="s">
        <v>202</v>
      </c>
      <c r="O292" t="s">
        <v>202</v>
      </c>
      <c r="P292" s="81"/>
      <c r="Q292" s="81"/>
      <c r="R292" s="435"/>
      <c r="S292" s="435"/>
      <c r="U292" s="81"/>
      <c r="V292" s="81" t="str">
        <f>IF(U292="","",VLOOKUP(U292,'1.3 Lists'!$L$10:$M$313,2,FALSE))</f>
        <v/>
      </c>
      <c r="AC292" t="s">
        <v>3</v>
      </c>
      <c r="AD292" s="81"/>
      <c r="AE292" s="81"/>
      <c r="AF292" s="81"/>
      <c r="AG292" s="81"/>
      <c r="AH292" s="81"/>
      <c r="AI292" s="81"/>
      <c r="AJ292" s="81"/>
    </row>
    <row r="293" spans="4:36">
      <c r="D293" t="s">
        <v>79</v>
      </c>
      <c r="E293" t="s">
        <v>68</v>
      </c>
      <c r="F293" s="435" t="s">
        <v>1869</v>
      </c>
      <c r="G293" s="435" t="s">
        <v>86</v>
      </c>
      <c r="H293" t="s">
        <v>264</v>
      </c>
      <c r="I293" t="s">
        <v>7</v>
      </c>
      <c r="J293" t="s">
        <v>299</v>
      </c>
      <c r="K293" s="101"/>
      <c r="L293" s="101"/>
      <c r="N293" t="s">
        <v>202</v>
      </c>
      <c r="O293" t="s">
        <v>202</v>
      </c>
      <c r="P293" s="81"/>
      <c r="Q293" s="81"/>
      <c r="R293" s="435"/>
      <c r="S293" s="435"/>
      <c r="U293" s="81"/>
      <c r="V293" s="81" t="str">
        <f>IF(U293="","",VLOOKUP(U293,'1.3 Lists'!$L$10:$M$313,2,FALSE))</f>
        <v/>
      </c>
      <c r="AC293" t="s">
        <v>3</v>
      </c>
      <c r="AD293" s="81"/>
      <c r="AE293" s="81"/>
      <c r="AF293" s="81"/>
      <c r="AG293" s="81"/>
      <c r="AH293" s="81"/>
      <c r="AI293" s="81"/>
      <c r="AJ293" s="81"/>
    </row>
    <row r="294" spans="4:36">
      <c r="D294" t="s">
        <v>79</v>
      </c>
      <c r="E294" t="s">
        <v>68</v>
      </c>
      <c r="F294" s="435" t="s">
        <v>1869</v>
      </c>
      <c r="G294" s="435" t="s">
        <v>86</v>
      </c>
      <c r="H294" t="s">
        <v>264</v>
      </c>
      <c r="I294" t="s">
        <v>7</v>
      </c>
      <c r="J294" t="s">
        <v>299</v>
      </c>
      <c r="K294" s="101"/>
      <c r="L294" s="101"/>
      <c r="N294" t="s">
        <v>202</v>
      </c>
      <c r="O294" t="s">
        <v>202</v>
      </c>
      <c r="P294" s="81"/>
      <c r="Q294" s="81"/>
      <c r="R294" s="435"/>
      <c r="S294" s="435"/>
      <c r="U294" s="81"/>
      <c r="V294" s="81" t="str">
        <f>IF(U294="","",VLOOKUP(U294,'1.3 Lists'!$L$10:$M$313,2,FALSE))</f>
        <v/>
      </c>
      <c r="AC294" t="s">
        <v>3</v>
      </c>
      <c r="AD294" s="81"/>
      <c r="AE294" s="81"/>
      <c r="AF294" s="81"/>
      <c r="AG294" s="81"/>
      <c r="AH294" s="81"/>
      <c r="AI294" s="81"/>
      <c r="AJ294" s="81"/>
    </row>
    <row r="295" spans="4:36">
      <c r="D295" t="s">
        <v>79</v>
      </c>
      <c r="E295" t="s">
        <v>68</v>
      </c>
      <c r="F295" s="435" t="s">
        <v>1869</v>
      </c>
      <c r="G295" s="435" t="s">
        <v>86</v>
      </c>
      <c r="H295" t="s">
        <v>264</v>
      </c>
      <c r="I295" t="s">
        <v>7</v>
      </c>
      <c r="J295" t="s">
        <v>299</v>
      </c>
      <c r="K295" s="101"/>
      <c r="L295" s="101"/>
      <c r="N295" t="s">
        <v>202</v>
      </c>
      <c r="O295" t="s">
        <v>202</v>
      </c>
      <c r="P295" s="81"/>
      <c r="Q295" s="81"/>
      <c r="R295" s="435"/>
      <c r="S295" s="435"/>
      <c r="U295" s="81"/>
      <c r="V295" s="81" t="str">
        <f>IF(U295="","",VLOOKUP(U295,'1.3 Lists'!$L$10:$M$313,2,FALSE))</f>
        <v/>
      </c>
      <c r="AC295" t="s">
        <v>3</v>
      </c>
      <c r="AD295" s="81"/>
      <c r="AE295" s="81"/>
      <c r="AF295" s="81"/>
      <c r="AG295" s="81"/>
      <c r="AH295" s="81"/>
      <c r="AI295" s="81"/>
      <c r="AJ295" s="81"/>
    </row>
    <row r="296" spans="4:36">
      <c r="D296" t="s">
        <v>79</v>
      </c>
      <c r="E296" t="s">
        <v>68</v>
      </c>
      <c r="F296" s="435" t="s">
        <v>1869</v>
      </c>
      <c r="G296" s="435" t="s">
        <v>86</v>
      </c>
      <c r="H296" t="s">
        <v>264</v>
      </c>
      <c r="I296" t="s">
        <v>7</v>
      </c>
      <c r="J296" t="s">
        <v>299</v>
      </c>
      <c r="K296" s="101"/>
      <c r="L296" s="101"/>
      <c r="N296" t="s">
        <v>202</v>
      </c>
      <c r="O296" t="s">
        <v>202</v>
      </c>
      <c r="P296" s="81"/>
      <c r="Q296" s="81"/>
      <c r="R296" s="435"/>
      <c r="S296" s="435"/>
      <c r="U296" s="81"/>
      <c r="V296" s="81" t="str">
        <f>IF(U296="","",VLOOKUP(U296,'1.3 Lists'!$L$10:$M$313,2,FALSE))</f>
        <v/>
      </c>
      <c r="AC296" t="s">
        <v>3</v>
      </c>
      <c r="AD296" s="81"/>
      <c r="AE296" s="81"/>
      <c r="AF296" s="81"/>
      <c r="AG296" s="81"/>
      <c r="AH296" s="81"/>
      <c r="AI296" s="81"/>
      <c r="AJ296" s="81"/>
    </row>
    <row r="297" spans="4:36">
      <c r="D297" t="s">
        <v>79</v>
      </c>
      <c r="E297" t="s">
        <v>68</v>
      </c>
      <c r="F297" s="435" t="s">
        <v>1869</v>
      </c>
      <c r="G297" s="435" t="s">
        <v>86</v>
      </c>
      <c r="H297" t="s">
        <v>264</v>
      </c>
      <c r="I297" t="s">
        <v>7</v>
      </c>
      <c r="J297" t="s">
        <v>299</v>
      </c>
      <c r="K297" s="101"/>
      <c r="L297" s="101"/>
      <c r="N297" t="s">
        <v>202</v>
      </c>
      <c r="O297" t="s">
        <v>202</v>
      </c>
      <c r="P297" s="81"/>
      <c r="Q297" s="81"/>
      <c r="R297" s="435"/>
      <c r="S297" s="435"/>
      <c r="U297" s="81"/>
      <c r="V297" s="81" t="str">
        <f>IF(U297="","",VLOOKUP(U297,'1.3 Lists'!$L$10:$M$313,2,FALSE))</f>
        <v/>
      </c>
      <c r="AC297" t="s">
        <v>3</v>
      </c>
      <c r="AD297" s="81"/>
      <c r="AE297" s="81"/>
      <c r="AF297" s="81"/>
      <c r="AG297" s="81"/>
      <c r="AH297" s="81"/>
      <c r="AI297" s="81"/>
      <c r="AJ297" s="81"/>
    </row>
    <row r="298" spans="4:36">
      <c r="D298" t="s">
        <v>79</v>
      </c>
      <c r="E298" t="s">
        <v>68</v>
      </c>
      <c r="F298" s="435" t="s">
        <v>1869</v>
      </c>
      <c r="G298" s="435" t="s">
        <v>86</v>
      </c>
      <c r="H298" t="s">
        <v>264</v>
      </c>
      <c r="I298" t="s">
        <v>7</v>
      </c>
      <c r="J298" t="s">
        <v>299</v>
      </c>
      <c r="K298" s="101"/>
      <c r="L298" s="101"/>
      <c r="N298" t="s">
        <v>202</v>
      </c>
      <c r="O298" t="s">
        <v>202</v>
      </c>
      <c r="P298" s="81"/>
      <c r="Q298" s="81"/>
      <c r="R298" s="435"/>
      <c r="S298" s="435"/>
      <c r="U298" s="81"/>
      <c r="V298" s="81" t="str">
        <f>IF(U298="","",VLOOKUP(U298,'1.3 Lists'!$L$10:$M$313,2,FALSE))</f>
        <v/>
      </c>
      <c r="AC298" t="s">
        <v>3</v>
      </c>
      <c r="AD298" s="81"/>
      <c r="AE298" s="81"/>
      <c r="AF298" s="81"/>
      <c r="AG298" s="81"/>
      <c r="AH298" s="81"/>
      <c r="AI298" s="81"/>
      <c r="AJ298" s="81"/>
    </row>
    <row r="299" spans="4:36">
      <c r="D299" t="s">
        <v>79</v>
      </c>
      <c r="E299" t="s">
        <v>68</v>
      </c>
      <c r="F299" s="435" t="s">
        <v>1869</v>
      </c>
      <c r="G299" s="435" t="s">
        <v>86</v>
      </c>
      <c r="H299" t="s">
        <v>264</v>
      </c>
      <c r="I299" t="s">
        <v>7</v>
      </c>
      <c r="J299" t="s">
        <v>299</v>
      </c>
      <c r="K299" s="101"/>
      <c r="L299" s="101"/>
      <c r="N299" t="s">
        <v>202</v>
      </c>
      <c r="O299" t="s">
        <v>202</v>
      </c>
      <c r="P299" s="81"/>
      <c r="Q299" s="81"/>
      <c r="R299" s="435"/>
      <c r="S299" s="435"/>
      <c r="U299" s="81"/>
      <c r="V299" s="81" t="str">
        <f>IF(U299="","",VLOOKUP(U299,'1.3 Lists'!$L$10:$M$313,2,FALSE))</f>
        <v/>
      </c>
      <c r="AC299" t="s">
        <v>3</v>
      </c>
      <c r="AD299" s="81"/>
      <c r="AE299" s="81"/>
      <c r="AF299" s="81"/>
      <c r="AG299" s="81"/>
      <c r="AH299" s="81"/>
      <c r="AI299" s="81"/>
      <c r="AJ299" s="81"/>
    </row>
    <row r="300" spans="4:36">
      <c r="D300" t="s">
        <v>79</v>
      </c>
      <c r="E300" t="s">
        <v>68</v>
      </c>
      <c r="F300" s="435" t="s">
        <v>1869</v>
      </c>
      <c r="G300" s="435" t="s">
        <v>86</v>
      </c>
      <c r="H300" t="s">
        <v>264</v>
      </c>
      <c r="I300" t="s">
        <v>7</v>
      </c>
      <c r="J300" t="s">
        <v>299</v>
      </c>
      <c r="K300" s="101"/>
      <c r="L300" s="101"/>
      <c r="N300" t="s">
        <v>202</v>
      </c>
      <c r="O300" t="s">
        <v>202</v>
      </c>
      <c r="P300" s="81"/>
      <c r="Q300" s="81"/>
      <c r="R300" s="435"/>
      <c r="S300" s="435"/>
      <c r="U300" s="81"/>
      <c r="V300" s="81" t="str">
        <f>IF(U300="","",VLOOKUP(U300,'1.3 Lists'!$L$10:$M$313,2,FALSE))</f>
        <v/>
      </c>
      <c r="AC300" t="s">
        <v>3</v>
      </c>
      <c r="AD300" s="81"/>
      <c r="AE300" s="81"/>
      <c r="AF300" s="81"/>
      <c r="AG300" s="81"/>
      <c r="AH300" s="81"/>
      <c r="AI300" s="81"/>
      <c r="AJ300" s="81"/>
    </row>
    <row r="301" spans="4:36">
      <c r="D301" t="s">
        <v>79</v>
      </c>
      <c r="E301" t="s">
        <v>68</v>
      </c>
      <c r="F301" s="435" t="s">
        <v>1869</v>
      </c>
      <c r="G301" s="435" t="s">
        <v>86</v>
      </c>
      <c r="H301" t="s">
        <v>264</v>
      </c>
      <c r="I301" t="s">
        <v>7</v>
      </c>
      <c r="J301" t="s">
        <v>299</v>
      </c>
      <c r="K301" s="101"/>
      <c r="L301" s="101"/>
      <c r="N301" t="s">
        <v>202</v>
      </c>
      <c r="O301" t="s">
        <v>202</v>
      </c>
      <c r="P301" s="81"/>
      <c r="Q301" s="81"/>
      <c r="R301" s="435"/>
      <c r="S301" s="435"/>
      <c r="U301" s="81"/>
      <c r="V301" s="81" t="str">
        <f>IF(U301="","",VLOOKUP(U301,'1.3 Lists'!$L$10:$M$313,2,FALSE))</f>
        <v/>
      </c>
      <c r="AC301" t="s">
        <v>3</v>
      </c>
      <c r="AD301" s="81"/>
      <c r="AE301" s="81"/>
      <c r="AF301" s="81"/>
      <c r="AG301" s="81"/>
      <c r="AH301" s="81"/>
      <c r="AI301" s="81"/>
      <c r="AJ301" s="81"/>
    </row>
    <row r="302" spans="4:36">
      <c r="D302" t="s">
        <v>79</v>
      </c>
      <c r="E302" t="s">
        <v>68</v>
      </c>
      <c r="F302" s="435" t="s">
        <v>1869</v>
      </c>
      <c r="G302" s="435" t="s">
        <v>86</v>
      </c>
      <c r="H302" t="s">
        <v>264</v>
      </c>
      <c r="I302" t="s">
        <v>7</v>
      </c>
      <c r="J302" t="s">
        <v>299</v>
      </c>
      <c r="K302" s="101"/>
      <c r="L302" s="101"/>
      <c r="N302" t="s">
        <v>202</v>
      </c>
      <c r="O302" t="s">
        <v>202</v>
      </c>
      <c r="P302" s="81"/>
      <c r="Q302" s="81"/>
      <c r="R302" s="435"/>
      <c r="S302" s="435"/>
      <c r="U302" s="81"/>
      <c r="V302" s="81" t="str">
        <f>IF(U302="","",VLOOKUP(U302,'1.3 Lists'!$L$10:$M$313,2,FALSE))</f>
        <v/>
      </c>
      <c r="AC302" t="s">
        <v>3</v>
      </c>
      <c r="AD302" s="81"/>
      <c r="AE302" s="81"/>
      <c r="AF302" s="81"/>
      <c r="AG302" s="81"/>
      <c r="AH302" s="81"/>
      <c r="AI302" s="81"/>
      <c r="AJ302" s="81"/>
    </row>
    <row r="303" spans="4:36">
      <c r="D303" t="s">
        <v>79</v>
      </c>
      <c r="E303" t="s">
        <v>68</v>
      </c>
      <c r="F303" s="435" t="s">
        <v>1869</v>
      </c>
      <c r="G303" s="435" t="s">
        <v>86</v>
      </c>
      <c r="H303" t="s">
        <v>264</v>
      </c>
      <c r="I303" t="s">
        <v>7</v>
      </c>
      <c r="J303" t="s">
        <v>299</v>
      </c>
      <c r="K303" s="101"/>
      <c r="L303" s="101"/>
      <c r="N303" t="s">
        <v>202</v>
      </c>
      <c r="O303" t="s">
        <v>202</v>
      </c>
      <c r="P303" s="81"/>
      <c r="Q303" s="81"/>
      <c r="R303" s="435"/>
      <c r="S303" s="435"/>
      <c r="U303" s="81"/>
      <c r="V303" s="81" t="str">
        <f>IF(U303="","",VLOOKUP(U303,'1.3 Lists'!$L$10:$M$313,2,FALSE))</f>
        <v/>
      </c>
      <c r="X303" s="99"/>
      <c r="AC303" t="s">
        <v>3</v>
      </c>
      <c r="AD303" s="81"/>
      <c r="AE303" s="81"/>
      <c r="AF303" s="81"/>
      <c r="AG303" s="81"/>
      <c r="AH303" s="81"/>
      <c r="AI303" s="81"/>
      <c r="AJ303" s="81"/>
    </row>
    <row r="304" spans="4:36">
      <c r="D304" t="s">
        <v>79</v>
      </c>
      <c r="E304" t="s">
        <v>68</v>
      </c>
      <c r="F304" s="435" t="s">
        <v>1869</v>
      </c>
      <c r="G304" s="435" t="s">
        <v>86</v>
      </c>
      <c r="H304" t="s">
        <v>264</v>
      </c>
      <c r="I304" t="s">
        <v>7</v>
      </c>
      <c r="J304" t="s">
        <v>299</v>
      </c>
      <c r="K304" s="101"/>
      <c r="L304" s="102"/>
      <c r="N304" t="s">
        <v>202</v>
      </c>
      <c r="O304" t="s">
        <v>202</v>
      </c>
      <c r="P304" s="81"/>
      <c r="Q304" s="81"/>
      <c r="R304" s="435"/>
      <c r="S304" s="435"/>
      <c r="U304" s="81"/>
      <c r="V304" s="81" t="str">
        <f>IF(U304="","",VLOOKUP(U304,'1.3 Lists'!$L$10:$M$313,2,FALSE))</f>
        <v/>
      </c>
      <c r="X304" s="99"/>
      <c r="AC304" t="s">
        <v>3</v>
      </c>
      <c r="AD304" s="81"/>
      <c r="AE304" s="81"/>
      <c r="AF304" s="81"/>
      <c r="AG304" s="81"/>
      <c r="AH304" s="81"/>
      <c r="AI304" s="81"/>
      <c r="AJ304" s="81"/>
    </row>
    <row r="305" spans="4:36">
      <c r="D305" t="s">
        <v>79</v>
      </c>
      <c r="E305" t="s">
        <v>68</v>
      </c>
      <c r="F305" s="435" t="s">
        <v>1869</v>
      </c>
      <c r="G305" s="435" t="s">
        <v>86</v>
      </c>
      <c r="H305" t="s">
        <v>264</v>
      </c>
      <c r="I305" t="s">
        <v>7</v>
      </c>
      <c r="J305" t="s">
        <v>299</v>
      </c>
      <c r="K305" s="101"/>
      <c r="L305" s="102"/>
      <c r="N305" t="s">
        <v>202</v>
      </c>
      <c r="O305" t="s">
        <v>202</v>
      </c>
      <c r="P305" s="81"/>
      <c r="Q305" s="81"/>
      <c r="R305" s="435"/>
      <c r="S305" s="435"/>
      <c r="U305" s="81"/>
      <c r="V305" s="81" t="str">
        <f>IF(U305="","",VLOOKUP(U305,'1.3 Lists'!$L$10:$M$313,2,FALSE))</f>
        <v/>
      </c>
      <c r="X305" s="99"/>
      <c r="AC305" t="s">
        <v>3</v>
      </c>
      <c r="AD305" s="81"/>
      <c r="AE305" s="81"/>
      <c r="AF305" s="81"/>
      <c r="AG305" s="81"/>
      <c r="AH305" s="81"/>
      <c r="AI305" s="81"/>
      <c r="AJ305" s="81"/>
    </row>
    <row r="306" spans="4:36">
      <c r="D306" t="s">
        <v>79</v>
      </c>
      <c r="E306" t="s">
        <v>68</v>
      </c>
      <c r="F306" s="435" t="s">
        <v>1869</v>
      </c>
      <c r="G306" s="435" t="s">
        <v>86</v>
      </c>
      <c r="H306" t="s">
        <v>264</v>
      </c>
      <c r="I306" t="s">
        <v>7</v>
      </c>
      <c r="J306" t="s">
        <v>299</v>
      </c>
      <c r="K306" s="102"/>
      <c r="L306" s="102"/>
      <c r="N306" t="s">
        <v>202</v>
      </c>
      <c r="O306" t="s">
        <v>202</v>
      </c>
      <c r="P306" s="81"/>
      <c r="Q306" s="81"/>
      <c r="R306" s="435"/>
      <c r="S306" s="435"/>
      <c r="U306" s="81"/>
      <c r="V306" s="81" t="str">
        <f>IF(U306="","",VLOOKUP(U306,'1.3 Lists'!$L$10:$M$313,2,FALSE))</f>
        <v/>
      </c>
      <c r="AC306" t="s">
        <v>3</v>
      </c>
      <c r="AD306" s="81"/>
      <c r="AE306" s="81"/>
      <c r="AF306" s="81"/>
      <c r="AG306" s="81"/>
      <c r="AH306" s="81"/>
      <c r="AI306" s="81"/>
      <c r="AJ306" s="81"/>
    </row>
    <row r="307" spans="4:36">
      <c r="D307" t="s">
        <v>79</v>
      </c>
      <c r="E307" t="s">
        <v>68</v>
      </c>
      <c r="F307" s="435" t="s">
        <v>1869</v>
      </c>
      <c r="G307" s="435" t="s">
        <v>86</v>
      </c>
      <c r="H307" t="s">
        <v>264</v>
      </c>
      <c r="I307" t="s">
        <v>7</v>
      </c>
      <c r="J307" t="s">
        <v>299</v>
      </c>
      <c r="K307" s="102"/>
      <c r="L307" s="102"/>
      <c r="N307" t="s">
        <v>202</v>
      </c>
      <c r="O307" t="s">
        <v>202</v>
      </c>
      <c r="P307" s="81"/>
      <c r="Q307" s="81"/>
      <c r="R307" s="435"/>
      <c r="S307" s="435"/>
      <c r="U307" s="81"/>
      <c r="V307" s="81" t="str">
        <f>IF(U307="","",VLOOKUP(U307,'1.3 Lists'!$L$10:$M$313,2,FALSE))</f>
        <v/>
      </c>
      <c r="AC307" t="s">
        <v>3</v>
      </c>
      <c r="AD307" s="81"/>
      <c r="AE307" s="81"/>
      <c r="AF307" s="81"/>
      <c r="AG307" s="81"/>
      <c r="AH307" s="81"/>
      <c r="AI307" s="81"/>
      <c r="AJ307" s="81"/>
    </row>
    <row r="308" spans="4:36">
      <c r="D308" t="s">
        <v>79</v>
      </c>
      <c r="E308" t="s">
        <v>68</v>
      </c>
      <c r="F308" s="435" t="s">
        <v>1869</v>
      </c>
      <c r="G308" s="435" t="s">
        <v>86</v>
      </c>
      <c r="H308" t="s">
        <v>264</v>
      </c>
      <c r="I308" t="s">
        <v>7</v>
      </c>
      <c r="J308" t="s">
        <v>299</v>
      </c>
      <c r="K308" s="102"/>
      <c r="L308" s="102"/>
      <c r="N308" t="s">
        <v>202</v>
      </c>
      <c r="O308" t="s">
        <v>202</v>
      </c>
      <c r="P308" s="81"/>
      <c r="Q308" s="81"/>
      <c r="R308" s="435"/>
      <c r="S308" s="435"/>
      <c r="U308" s="81"/>
      <c r="V308" s="81" t="str">
        <f>IF(U308="","",VLOOKUP(U308,'1.3 Lists'!$L$10:$M$313,2,FALSE))</f>
        <v/>
      </c>
      <c r="AC308" t="s">
        <v>3</v>
      </c>
      <c r="AD308" s="81"/>
      <c r="AE308" s="81"/>
      <c r="AF308" s="81"/>
      <c r="AG308" s="81"/>
      <c r="AH308" s="81"/>
      <c r="AI308" s="81"/>
      <c r="AJ308" s="81"/>
    </row>
    <row r="309" spans="4:36">
      <c r="D309" t="s">
        <v>79</v>
      </c>
      <c r="E309" t="s">
        <v>68</v>
      </c>
      <c r="F309" s="435" t="s">
        <v>1869</v>
      </c>
      <c r="G309" s="435" t="s">
        <v>86</v>
      </c>
      <c r="H309" t="s">
        <v>264</v>
      </c>
      <c r="I309" t="s">
        <v>7</v>
      </c>
      <c r="J309" t="s">
        <v>299</v>
      </c>
      <c r="K309" s="102"/>
      <c r="L309" s="102"/>
      <c r="N309" t="s">
        <v>202</v>
      </c>
      <c r="O309" t="s">
        <v>202</v>
      </c>
      <c r="P309" s="81"/>
      <c r="Q309" s="81"/>
      <c r="R309" s="435"/>
      <c r="S309" s="435"/>
      <c r="U309" s="81"/>
      <c r="V309" s="81" t="str">
        <f>IF(U309="","",VLOOKUP(U309,'1.3 Lists'!$L$10:$M$313,2,FALSE))</f>
        <v/>
      </c>
      <c r="AC309" t="s">
        <v>3</v>
      </c>
      <c r="AD309" s="81"/>
      <c r="AE309" s="81"/>
      <c r="AF309" s="81"/>
      <c r="AG309" s="81"/>
      <c r="AH309" s="81"/>
      <c r="AI309" s="81"/>
      <c r="AJ309" s="81"/>
    </row>
    <row r="310" spans="4:36">
      <c r="D310" t="s">
        <v>79</v>
      </c>
      <c r="E310" t="s">
        <v>68</v>
      </c>
      <c r="F310" s="435" t="s">
        <v>1869</v>
      </c>
      <c r="G310" s="435" t="s">
        <v>86</v>
      </c>
      <c r="H310" t="s">
        <v>264</v>
      </c>
      <c r="I310" t="s">
        <v>7</v>
      </c>
      <c r="J310" t="s">
        <v>299</v>
      </c>
      <c r="K310" s="102"/>
      <c r="L310" s="102"/>
      <c r="N310" t="s">
        <v>202</v>
      </c>
      <c r="O310" t="s">
        <v>202</v>
      </c>
      <c r="P310" s="81"/>
      <c r="Q310" s="81"/>
      <c r="R310" s="435"/>
      <c r="S310" s="435"/>
      <c r="U310" s="81"/>
      <c r="V310" s="81" t="str">
        <f>IF(U310="","",VLOOKUP(U310,'1.3 Lists'!$L$10:$M$313,2,FALSE))</f>
        <v/>
      </c>
      <c r="AC310" t="s">
        <v>3</v>
      </c>
      <c r="AD310" s="81"/>
      <c r="AE310" s="81"/>
      <c r="AF310" s="81"/>
      <c r="AG310" s="81"/>
      <c r="AH310" s="81"/>
      <c r="AI310" s="81"/>
      <c r="AJ310" s="81"/>
    </row>
    <row r="311" spans="4:36">
      <c r="D311" t="s">
        <v>79</v>
      </c>
      <c r="E311" t="s">
        <v>68</v>
      </c>
      <c r="F311" s="435" t="s">
        <v>1869</v>
      </c>
      <c r="G311" s="435" t="s">
        <v>86</v>
      </c>
      <c r="H311" t="s">
        <v>264</v>
      </c>
      <c r="I311" t="s">
        <v>7</v>
      </c>
      <c r="J311" t="s">
        <v>299</v>
      </c>
      <c r="K311" s="102"/>
      <c r="L311" s="102"/>
      <c r="N311" t="s">
        <v>202</v>
      </c>
      <c r="O311" t="s">
        <v>202</v>
      </c>
      <c r="P311" s="81"/>
      <c r="Q311" s="81"/>
      <c r="R311" s="435"/>
      <c r="S311" s="435"/>
      <c r="U311" s="81"/>
      <c r="V311" s="81" t="str">
        <f>IF(U311="","",VLOOKUP(U311,'1.3 Lists'!$L$10:$M$313,2,FALSE))</f>
        <v/>
      </c>
      <c r="AC311" t="s">
        <v>3</v>
      </c>
      <c r="AD311" s="81"/>
      <c r="AE311" s="81"/>
      <c r="AF311" s="81"/>
      <c r="AG311" s="81"/>
      <c r="AH311" s="81"/>
      <c r="AI311" s="81"/>
      <c r="AJ311" s="81"/>
    </row>
    <row r="312" spans="4:36">
      <c r="D312" t="s">
        <v>79</v>
      </c>
      <c r="E312" t="s">
        <v>68</v>
      </c>
      <c r="F312" s="435" t="s">
        <v>1869</v>
      </c>
      <c r="G312" s="435" t="s">
        <v>86</v>
      </c>
      <c r="H312" t="s">
        <v>264</v>
      </c>
      <c r="I312" t="s">
        <v>7</v>
      </c>
      <c r="J312" t="s">
        <v>299</v>
      </c>
      <c r="K312" s="102"/>
      <c r="L312" s="102"/>
      <c r="N312" t="s">
        <v>202</v>
      </c>
      <c r="O312" t="s">
        <v>202</v>
      </c>
      <c r="P312" s="81"/>
      <c r="Q312" s="81"/>
      <c r="R312" s="435"/>
      <c r="S312" s="435"/>
      <c r="U312" s="81"/>
      <c r="V312" s="81" t="str">
        <f>IF(U312="","",VLOOKUP(U312,'1.3 Lists'!$L$10:$M$313,2,FALSE))</f>
        <v/>
      </c>
      <c r="AC312" t="s">
        <v>3</v>
      </c>
      <c r="AD312" s="81"/>
      <c r="AE312" s="81"/>
      <c r="AF312" s="81"/>
      <c r="AG312" s="81"/>
      <c r="AH312" s="81"/>
      <c r="AI312" s="81"/>
      <c r="AJ312" s="81"/>
    </row>
    <row r="313" spans="4:36">
      <c r="D313" t="s">
        <v>79</v>
      </c>
      <c r="E313" t="s">
        <v>68</v>
      </c>
      <c r="F313" s="435" t="s">
        <v>1869</v>
      </c>
      <c r="G313" s="435" t="s">
        <v>86</v>
      </c>
      <c r="H313" t="s">
        <v>264</v>
      </c>
      <c r="I313" t="s">
        <v>7</v>
      </c>
      <c r="J313" t="s">
        <v>299</v>
      </c>
      <c r="K313" s="102"/>
      <c r="L313" s="102"/>
      <c r="N313" t="s">
        <v>202</v>
      </c>
      <c r="O313" t="s">
        <v>202</v>
      </c>
      <c r="P313" s="81"/>
      <c r="Q313" s="81"/>
      <c r="R313" s="435"/>
      <c r="S313" s="435"/>
      <c r="U313" s="81"/>
      <c r="V313" s="81" t="str">
        <f>IF(U313="","",VLOOKUP(U313,'1.3 Lists'!$L$10:$M$313,2,FALSE))</f>
        <v/>
      </c>
      <c r="AC313" t="s">
        <v>3</v>
      </c>
      <c r="AD313" s="81"/>
      <c r="AE313" s="81"/>
      <c r="AF313" s="81"/>
      <c r="AG313" s="81"/>
      <c r="AH313" s="81"/>
      <c r="AI313" s="81"/>
      <c r="AJ313" s="81"/>
    </row>
    <row r="314" spans="4:36">
      <c r="D314" t="s">
        <v>79</v>
      </c>
      <c r="E314" t="s">
        <v>68</v>
      </c>
      <c r="F314" s="435" t="s">
        <v>1869</v>
      </c>
      <c r="G314" s="435" t="s">
        <v>86</v>
      </c>
      <c r="H314" t="s">
        <v>264</v>
      </c>
      <c r="I314" t="s">
        <v>7</v>
      </c>
      <c r="J314" t="s">
        <v>299</v>
      </c>
      <c r="K314" s="102"/>
      <c r="L314" s="102"/>
      <c r="N314" t="s">
        <v>202</v>
      </c>
      <c r="O314" t="s">
        <v>202</v>
      </c>
      <c r="P314" s="81"/>
      <c r="Q314" s="81"/>
      <c r="R314" s="435"/>
      <c r="S314" s="435"/>
      <c r="U314" s="81"/>
      <c r="V314" s="81" t="str">
        <f>IF(U314="","",VLOOKUP(U314,'1.3 Lists'!$L$10:$M$313,2,FALSE))</f>
        <v/>
      </c>
      <c r="AC314" t="s">
        <v>3</v>
      </c>
      <c r="AD314" s="81"/>
      <c r="AE314" s="81"/>
      <c r="AF314" s="81"/>
      <c r="AG314" s="81"/>
      <c r="AH314" s="81"/>
      <c r="AI314" s="81"/>
      <c r="AJ314" s="81"/>
    </row>
    <row r="315" spans="4:36">
      <c r="D315" t="s">
        <v>79</v>
      </c>
      <c r="E315" t="s">
        <v>68</v>
      </c>
      <c r="F315" s="435" t="s">
        <v>1869</v>
      </c>
      <c r="G315" s="435" t="s">
        <v>86</v>
      </c>
      <c r="H315" t="s">
        <v>264</v>
      </c>
      <c r="I315" t="s">
        <v>7</v>
      </c>
      <c r="J315" t="s">
        <v>299</v>
      </c>
      <c r="K315" s="102"/>
      <c r="L315" s="102"/>
      <c r="N315" t="s">
        <v>202</v>
      </c>
      <c r="O315" t="s">
        <v>202</v>
      </c>
      <c r="P315" s="81"/>
      <c r="Q315" s="81"/>
      <c r="R315" s="435"/>
      <c r="S315" s="435"/>
      <c r="U315" s="81"/>
      <c r="V315" s="81" t="str">
        <f>IF(U315="","",VLOOKUP(U315,'1.3 Lists'!$L$10:$M$313,2,FALSE))</f>
        <v/>
      </c>
      <c r="AC315" t="s">
        <v>3</v>
      </c>
      <c r="AD315" s="81"/>
      <c r="AE315" s="81"/>
      <c r="AF315" s="81"/>
      <c r="AG315" s="81"/>
      <c r="AH315" s="81"/>
      <c r="AI315" s="81"/>
      <c r="AJ315" s="81"/>
    </row>
    <row r="316" spans="4:36">
      <c r="D316" t="s">
        <v>79</v>
      </c>
      <c r="E316" t="s">
        <v>68</v>
      </c>
      <c r="F316" s="435" t="s">
        <v>1869</v>
      </c>
      <c r="G316" s="435" t="s">
        <v>86</v>
      </c>
      <c r="H316" t="s">
        <v>264</v>
      </c>
      <c r="I316" t="s">
        <v>7</v>
      </c>
      <c r="J316" t="s">
        <v>299</v>
      </c>
      <c r="K316" s="102"/>
      <c r="L316" s="102"/>
      <c r="N316" t="s">
        <v>202</v>
      </c>
      <c r="O316" t="s">
        <v>202</v>
      </c>
      <c r="P316" s="81"/>
      <c r="Q316" s="81"/>
      <c r="R316" s="435"/>
      <c r="S316" s="435"/>
      <c r="U316" s="81"/>
      <c r="V316" s="81" t="str">
        <f>IF(U316="","",VLOOKUP(U316,'1.3 Lists'!$L$10:$M$313,2,FALSE))</f>
        <v/>
      </c>
      <c r="AC316" t="s">
        <v>3</v>
      </c>
      <c r="AD316" s="81"/>
      <c r="AE316" s="81"/>
      <c r="AF316" s="81"/>
      <c r="AG316" s="81"/>
      <c r="AH316" s="81"/>
      <c r="AI316" s="81"/>
      <c r="AJ316" s="81"/>
    </row>
    <row r="317" spans="4:36">
      <c r="D317" t="s">
        <v>79</v>
      </c>
      <c r="E317" t="s">
        <v>68</v>
      </c>
      <c r="F317" s="435" t="s">
        <v>1869</v>
      </c>
      <c r="G317" s="435" t="s">
        <v>86</v>
      </c>
      <c r="H317" t="s">
        <v>264</v>
      </c>
      <c r="I317" t="s">
        <v>7</v>
      </c>
      <c r="J317" t="s">
        <v>299</v>
      </c>
      <c r="K317" s="102"/>
      <c r="L317" s="102"/>
      <c r="N317" t="s">
        <v>202</v>
      </c>
      <c r="O317" t="s">
        <v>202</v>
      </c>
      <c r="P317" s="81"/>
      <c r="Q317" s="81"/>
      <c r="R317" s="435"/>
      <c r="S317" s="435"/>
      <c r="U317" s="81"/>
      <c r="V317" s="81" t="str">
        <f>IF(U317="","",VLOOKUP(U317,'1.3 Lists'!$L$10:$M$313,2,FALSE))</f>
        <v/>
      </c>
      <c r="AC317" t="s">
        <v>3</v>
      </c>
      <c r="AD317" s="81"/>
      <c r="AE317" s="81"/>
      <c r="AF317" s="81"/>
      <c r="AG317" s="81"/>
      <c r="AH317" s="81"/>
      <c r="AI317" s="81"/>
      <c r="AJ317" s="81"/>
    </row>
    <row r="318" spans="4:36">
      <c r="D318" t="s">
        <v>79</v>
      </c>
      <c r="E318" t="s">
        <v>68</v>
      </c>
      <c r="F318" s="435" t="s">
        <v>1869</v>
      </c>
      <c r="G318" s="435" t="s">
        <v>86</v>
      </c>
      <c r="H318" t="s">
        <v>264</v>
      </c>
      <c r="I318" t="s">
        <v>7</v>
      </c>
      <c r="J318" t="s">
        <v>299</v>
      </c>
      <c r="K318" s="102"/>
      <c r="L318" s="102"/>
      <c r="N318" t="s">
        <v>202</v>
      </c>
      <c r="O318" t="s">
        <v>202</v>
      </c>
      <c r="P318" s="81"/>
      <c r="Q318" s="81"/>
      <c r="R318" s="435"/>
      <c r="S318" s="435"/>
      <c r="U318" s="81"/>
      <c r="V318" s="81" t="str">
        <f>IF(U318="","",VLOOKUP(U318,'1.3 Lists'!$L$10:$M$313,2,FALSE))</f>
        <v/>
      </c>
      <c r="AC318" t="s">
        <v>3</v>
      </c>
      <c r="AD318" s="81"/>
      <c r="AE318" s="81"/>
      <c r="AF318" s="81"/>
      <c r="AG318" s="81"/>
      <c r="AH318" s="81"/>
      <c r="AI318" s="81"/>
      <c r="AJ318" s="81"/>
    </row>
    <row r="319" spans="4:36">
      <c r="D319" t="s">
        <v>79</v>
      </c>
      <c r="E319" t="s">
        <v>68</v>
      </c>
      <c r="F319" s="435" t="s">
        <v>1869</v>
      </c>
      <c r="G319" s="435" t="s">
        <v>86</v>
      </c>
      <c r="H319" t="s">
        <v>264</v>
      </c>
      <c r="I319" t="s">
        <v>7</v>
      </c>
      <c r="J319" t="s">
        <v>299</v>
      </c>
      <c r="K319" s="102"/>
      <c r="L319" s="102"/>
      <c r="N319" t="s">
        <v>202</v>
      </c>
      <c r="O319" t="s">
        <v>202</v>
      </c>
      <c r="P319" s="81"/>
      <c r="Q319" s="81"/>
      <c r="R319" s="435"/>
      <c r="S319" s="435"/>
      <c r="U319" s="81"/>
      <c r="V319" s="81" t="str">
        <f>IF(U319="","",VLOOKUP(U319,'1.3 Lists'!$L$10:$M$313,2,FALSE))</f>
        <v/>
      </c>
      <c r="AC319" t="s">
        <v>3</v>
      </c>
      <c r="AD319" s="81"/>
      <c r="AE319" s="81"/>
      <c r="AF319" s="81"/>
      <c r="AG319" s="81"/>
      <c r="AH319" s="81"/>
      <c r="AI319" s="81"/>
      <c r="AJ319" s="81"/>
    </row>
    <row r="320" spans="4:36">
      <c r="D320" t="s">
        <v>79</v>
      </c>
      <c r="E320" t="s">
        <v>68</v>
      </c>
      <c r="F320" s="435" t="s">
        <v>1869</v>
      </c>
      <c r="G320" s="435" t="s">
        <v>86</v>
      </c>
      <c r="H320" t="s">
        <v>264</v>
      </c>
      <c r="I320" t="s">
        <v>7</v>
      </c>
      <c r="J320" t="s">
        <v>299</v>
      </c>
      <c r="K320" s="102"/>
      <c r="L320" s="102"/>
      <c r="N320" t="s">
        <v>202</v>
      </c>
      <c r="O320" t="s">
        <v>202</v>
      </c>
      <c r="P320" s="81"/>
      <c r="Q320" s="81"/>
      <c r="R320" s="435"/>
      <c r="S320" s="435"/>
      <c r="U320" s="81"/>
      <c r="V320" s="81" t="str">
        <f>IF(U320="","",VLOOKUP(U320,'1.3 Lists'!$L$10:$M$313,2,FALSE))</f>
        <v/>
      </c>
      <c r="AC320" t="s">
        <v>3</v>
      </c>
      <c r="AD320" s="81"/>
      <c r="AE320" s="81"/>
      <c r="AF320" s="81"/>
      <c r="AG320" s="81"/>
      <c r="AH320" s="81"/>
      <c r="AI320" s="81"/>
      <c r="AJ320" s="81"/>
    </row>
    <row r="321" spans="4:36">
      <c r="D321" t="s">
        <v>79</v>
      </c>
      <c r="E321" t="s">
        <v>68</v>
      </c>
      <c r="F321" s="435" t="s">
        <v>1869</v>
      </c>
      <c r="G321" s="435" t="s">
        <v>86</v>
      </c>
      <c r="H321" t="s">
        <v>264</v>
      </c>
      <c r="I321" t="s">
        <v>7</v>
      </c>
      <c r="J321" t="s">
        <v>299</v>
      </c>
      <c r="K321" s="102"/>
      <c r="L321" s="102"/>
      <c r="N321" t="s">
        <v>202</v>
      </c>
      <c r="O321" t="s">
        <v>202</v>
      </c>
      <c r="P321" s="81"/>
      <c r="Q321" s="81"/>
      <c r="R321" s="435"/>
      <c r="S321" s="435"/>
      <c r="U321" s="81"/>
      <c r="V321" s="81" t="str">
        <f>IF(U321="","",VLOOKUP(U321,'1.3 Lists'!$L$10:$M$313,2,FALSE))</f>
        <v/>
      </c>
      <c r="AC321" t="s">
        <v>3</v>
      </c>
      <c r="AD321" s="81"/>
      <c r="AE321" s="81"/>
      <c r="AF321" s="81"/>
      <c r="AG321" s="81"/>
      <c r="AH321" s="81"/>
      <c r="AI321" s="81"/>
      <c r="AJ321" s="81"/>
    </row>
    <row r="322" spans="4:36">
      <c r="D322" t="s">
        <v>79</v>
      </c>
      <c r="E322" t="s">
        <v>68</v>
      </c>
      <c r="F322" s="435" t="s">
        <v>1869</v>
      </c>
      <c r="G322" s="435" t="s">
        <v>86</v>
      </c>
      <c r="H322" t="s">
        <v>264</v>
      </c>
      <c r="I322" t="s">
        <v>7</v>
      </c>
      <c r="J322" t="s">
        <v>299</v>
      </c>
      <c r="K322" s="102"/>
      <c r="L322" s="102"/>
      <c r="N322" t="s">
        <v>202</v>
      </c>
      <c r="O322" t="s">
        <v>202</v>
      </c>
      <c r="P322" s="81"/>
      <c r="Q322" s="81"/>
      <c r="R322" s="435"/>
      <c r="S322" s="435"/>
      <c r="U322" s="81"/>
      <c r="V322" s="81" t="str">
        <f>IF(U322="","",VLOOKUP(U322,'1.3 Lists'!$L$10:$M$313,2,FALSE))</f>
        <v/>
      </c>
      <c r="AC322" t="s">
        <v>3</v>
      </c>
      <c r="AD322" s="81"/>
      <c r="AE322" s="81"/>
      <c r="AF322" s="81"/>
      <c r="AG322" s="81"/>
      <c r="AH322" s="81"/>
      <c r="AI322" s="81"/>
      <c r="AJ322" s="81"/>
    </row>
    <row r="323" spans="4:36">
      <c r="D323" t="s">
        <v>79</v>
      </c>
      <c r="E323" t="s">
        <v>68</v>
      </c>
      <c r="F323" s="435" t="s">
        <v>1869</v>
      </c>
      <c r="G323" s="435" t="s">
        <v>86</v>
      </c>
      <c r="H323" t="s">
        <v>264</v>
      </c>
      <c r="I323" t="s">
        <v>7</v>
      </c>
      <c r="J323" t="s">
        <v>299</v>
      </c>
      <c r="K323" s="102"/>
      <c r="L323" s="102"/>
      <c r="N323" t="s">
        <v>202</v>
      </c>
      <c r="O323" t="s">
        <v>202</v>
      </c>
      <c r="P323" s="81"/>
      <c r="Q323" s="81"/>
      <c r="R323" s="435"/>
      <c r="S323" s="435"/>
      <c r="U323" s="81"/>
      <c r="V323" s="81" t="str">
        <f>IF(U323="","",VLOOKUP(U323,'1.3 Lists'!$L$10:$M$313,2,FALSE))</f>
        <v/>
      </c>
      <c r="AC323" t="s">
        <v>3</v>
      </c>
      <c r="AD323" s="81"/>
      <c r="AE323" s="81"/>
      <c r="AF323" s="81"/>
      <c r="AG323" s="81"/>
      <c r="AH323" s="81"/>
      <c r="AI323" s="81"/>
      <c r="AJ323" s="81"/>
    </row>
    <row r="324" spans="4:36">
      <c r="D324" t="s">
        <v>79</v>
      </c>
      <c r="E324" t="s">
        <v>68</v>
      </c>
      <c r="F324" s="435" t="s">
        <v>1869</v>
      </c>
      <c r="G324" s="435" t="s">
        <v>86</v>
      </c>
      <c r="H324" t="s">
        <v>264</v>
      </c>
      <c r="I324" t="s">
        <v>7</v>
      </c>
      <c r="J324" t="s">
        <v>299</v>
      </c>
      <c r="K324" s="102"/>
      <c r="L324" s="102"/>
      <c r="N324" t="s">
        <v>202</v>
      </c>
      <c r="O324" t="s">
        <v>202</v>
      </c>
      <c r="P324" s="81"/>
      <c r="Q324" s="81"/>
      <c r="R324" s="435"/>
      <c r="S324" s="435"/>
      <c r="U324" s="81"/>
      <c r="V324" s="81" t="str">
        <f>IF(U324="","",VLOOKUP(U324,'1.3 Lists'!$L$10:$M$313,2,FALSE))</f>
        <v/>
      </c>
      <c r="AC324" t="s">
        <v>3</v>
      </c>
      <c r="AD324" s="81"/>
      <c r="AE324" s="81"/>
      <c r="AF324" s="81"/>
      <c r="AG324" s="81"/>
      <c r="AH324" s="81"/>
      <c r="AI324" s="81"/>
      <c r="AJ324" s="81"/>
    </row>
    <row r="325" spans="4:36">
      <c r="D325" t="s">
        <v>79</v>
      </c>
      <c r="E325" t="s">
        <v>68</v>
      </c>
      <c r="F325" s="435" t="s">
        <v>1869</v>
      </c>
      <c r="G325" s="435" t="s">
        <v>86</v>
      </c>
      <c r="H325" t="s">
        <v>264</v>
      </c>
      <c r="I325" t="s">
        <v>7</v>
      </c>
      <c r="J325" t="s">
        <v>299</v>
      </c>
      <c r="K325" s="102"/>
      <c r="L325" s="102"/>
      <c r="N325" t="s">
        <v>202</v>
      </c>
      <c r="O325" t="s">
        <v>202</v>
      </c>
      <c r="P325" s="81"/>
      <c r="Q325" s="81"/>
      <c r="R325" s="435"/>
      <c r="S325" s="435"/>
      <c r="U325" s="81"/>
      <c r="V325" s="81" t="str">
        <f>IF(U325="","",VLOOKUP(U325,'1.3 Lists'!$L$10:$M$313,2,FALSE))</f>
        <v/>
      </c>
      <c r="AC325" t="s">
        <v>3</v>
      </c>
      <c r="AD325" s="81"/>
      <c r="AE325" s="81"/>
      <c r="AF325" s="81"/>
      <c r="AG325" s="81"/>
      <c r="AH325" s="81"/>
      <c r="AI325" s="81"/>
      <c r="AJ325" s="81"/>
    </row>
    <row r="326" spans="4:36">
      <c r="D326" t="s">
        <v>79</v>
      </c>
      <c r="E326" t="s">
        <v>68</v>
      </c>
      <c r="F326" s="435" t="s">
        <v>1869</v>
      </c>
      <c r="G326" s="435" t="s">
        <v>86</v>
      </c>
      <c r="H326" t="s">
        <v>264</v>
      </c>
      <c r="I326" t="s">
        <v>7</v>
      </c>
      <c r="J326" t="s">
        <v>299</v>
      </c>
      <c r="K326" s="102"/>
      <c r="L326" s="102"/>
      <c r="N326" t="s">
        <v>202</v>
      </c>
      <c r="O326" t="s">
        <v>202</v>
      </c>
      <c r="P326" s="81"/>
      <c r="Q326" s="81"/>
      <c r="R326" s="435"/>
      <c r="S326" s="435"/>
      <c r="U326" s="81"/>
      <c r="V326" s="81" t="str">
        <f>IF(U326="","",VLOOKUP(U326,'1.3 Lists'!$L$10:$M$313,2,FALSE))</f>
        <v/>
      </c>
      <c r="AC326" t="s">
        <v>3</v>
      </c>
      <c r="AD326" s="81"/>
      <c r="AE326" s="81"/>
      <c r="AF326" s="81"/>
      <c r="AG326" s="81"/>
      <c r="AH326" s="81"/>
      <c r="AI326" s="81"/>
      <c r="AJ326" s="81"/>
    </row>
    <row r="327" spans="4:36">
      <c r="D327" t="s">
        <v>79</v>
      </c>
      <c r="E327" t="s">
        <v>68</v>
      </c>
      <c r="F327" s="435" t="s">
        <v>1869</v>
      </c>
      <c r="G327" s="435" t="s">
        <v>86</v>
      </c>
      <c r="H327" t="s">
        <v>264</v>
      </c>
      <c r="I327" t="s">
        <v>7</v>
      </c>
      <c r="J327" t="s">
        <v>299</v>
      </c>
      <c r="K327" s="102"/>
      <c r="L327" s="102"/>
      <c r="N327" t="s">
        <v>202</v>
      </c>
      <c r="O327" t="s">
        <v>202</v>
      </c>
      <c r="P327" s="81"/>
      <c r="Q327" s="81"/>
      <c r="R327" s="435"/>
      <c r="S327" s="435"/>
      <c r="U327" s="81"/>
      <c r="V327" s="81" t="str">
        <f>IF(U327="","",VLOOKUP(U327,'1.3 Lists'!$L$10:$M$313,2,FALSE))</f>
        <v/>
      </c>
      <c r="AC327" t="s">
        <v>3</v>
      </c>
      <c r="AD327" s="81"/>
      <c r="AE327" s="81"/>
      <c r="AF327" s="81"/>
      <c r="AG327" s="81"/>
      <c r="AH327" s="81"/>
      <c r="AI327" s="81"/>
      <c r="AJ327" s="81"/>
    </row>
    <row r="328" spans="4:36">
      <c r="D328" t="s">
        <v>79</v>
      </c>
      <c r="E328" t="s">
        <v>68</v>
      </c>
      <c r="F328" s="435" t="s">
        <v>1869</v>
      </c>
      <c r="G328" s="435" t="s">
        <v>86</v>
      </c>
      <c r="H328" t="s">
        <v>264</v>
      </c>
      <c r="I328" t="s">
        <v>7</v>
      </c>
      <c r="J328" t="s">
        <v>299</v>
      </c>
      <c r="K328" s="102"/>
      <c r="L328" s="102"/>
      <c r="N328" t="s">
        <v>202</v>
      </c>
      <c r="O328" t="s">
        <v>202</v>
      </c>
      <c r="P328" s="81"/>
      <c r="Q328" s="81"/>
      <c r="R328" s="435"/>
      <c r="S328" s="435"/>
      <c r="U328" s="81"/>
      <c r="V328" s="81" t="str">
        <f>IF(U328="","",VLOOKUP(U328,'1.3 Lists'!$L$10:$M$313,2,FALSE))</f>
        <v/>
      </c>
      <c r="AC328" t="s">
        <v>3</v>
      </c>
      <c r="AD328" s="81"/>
      <c r="AE328" s="81"/>
      <c r="AF328" s="81"/>
      <c r="AG328" s="81"/>
      <c r="AH328" s="81"/>
      <c r="AI328" s="81"/>
      <c r="AJ328" s="81"/>
    </row>
    <row r="329" spans="4:36">
      <c r="D329" t="s">
        <v>79</v>
      </c>
      <c r="E329" t="s">
        <v>68</v>
      </c>
      <c r="F329" s="435" t="s">
        <v>1869</v>
      </c>
      <c r="G329" s="435" t="s">
        <v>86</v>
      </c>
      <c r="H329" t="s">
        <v>264</v>
      </c>
      <c r="I329" t="s">
        <v>7</v>
      </c>
      <c r="J329" t="s">
        <v>299</v>
      </c>
      <c r="K329" s="102"/>
      <c r="L329" s="102"/>
      <c r="N329" t="s">
        <v>202</v>
      </c>
      <c r="O329" t="s">
        <v>202</v>
      </c>
      <c r="P329" s="81"/>
      <c r="Q329" s="81"/>
      <c r="R329" s="435"/>
      <c r="S329" s="435"/>
      <c r="U329" s="81"/>
      <c r="V329" s="81" t="str">
        <f>IF(U329="","",VLOOKUP(U329,'1.3 Lists'!$L$10:$M$313,2,FALSE))</f>
        <v/>
      </c>
      <c r="AC329" t="s">
        <v>3</v>
      </c>
      <c r="AD329" s="81"/>
      <c r="AE329" s="81"/>
      <c r="AF329" s="81"/>
      <c r="AG329" s="81"/>
      <c r="AH329" s="81"/>
      <c r="AI329" s="81"/>
      <c r="AJ329" s="81"/>
    </row>
    <row r="330" spans="4:36">
      <c r="D330" t="s">
        <v>79</v>
      </c>
      <c r="E330" t="s">
        <v>68</v>
      </c>
      <c r="F330" s="435" t="s">
        <v>1869</v>
      </c>
      <c r="G330" s="435" t="s">
        <v>86</v>
      </c>
      <c r="H330" t="s">
        <v>264</v>
      </c>
      <c r="I330" t="s">
        <v>7</v>
      </c>
      <c r="J330" t="s">
        <v>299</v>
      </c>
      <c r="K330" s="102"/>
      <c r="L330" s="102"/>
      <c r="N330" t="s">
        <v>202</v>
      </c>
      <c r="O330" t="s">
        <v>202</v>
      </c>
      <c r="P330" s="81"/>
      <c r="Q330" s="81"/>
      <c r="R330" s="435"/>
      <c r="S330" s="435"/>
      <c r="U330" s="81"/>
      <c r="V330" s="81" t="str">
        <f>IF(U330="","",VLOOKUP(U330,'1.3 Lists'!$L$10:$M$313,2,FALSE))</f>
        <v/>
      </c>
      <c r="AC330" t="s">
        <v>3</v>
      </c>
      <c r="AD330" s="81"/>
      <c r="AE330" s="81"/>
      <c r="AF330" s="81"/>
      <c r="AG330" s="81"/>
      <c r="AH330" s="81"/>
      <c r="AI330" s="81"/>
      <c r="AJ330" s="81"/>
    </row>
    <row r="331" spans="4:36">
      <c r="D331" t="s">
        <v>79</v>
      </c>
      <c r="E331" t="s">
        <v>68</v>
      </c>
      <c r="F331" s="435" t="s">
        <v>1869</v>
      </c>
      <c r="G331" s="435" t="s">
        <v>86</v>
      </c>
      <c r="H331" t="s">
        <v>264</v>
      </c>
      <c r="I331" t="s">
        <v>7</v>
      </c>
      <c r="J331" t="s">
        <v>299</v>
      </c>
      <c r="K331" s="102"/>
      <c r="L331" s="102"/>
      <c r="N331" t="s">
        <v>202</v>
      </c>
      <c r="O331" t="s">
        <v>202</v>
      </c>
      <c r="P331" s="81"/>
      <c r="Q331" s="81"/>
      <c r="R331" s="435"/>
      <c r="S331" s="435"/>
      <c r="U331" s="81"/>
      <c r="V331" s="81" t="str">
        <f>IF(U331="","",VLOOKUP(U331,'1.3 Lists'!$L$10:$M$313,2,FALSE))</f>
        <v/>
      </c>
      <c r="AC331" t="s">
        <v>3</v>
      </c>
      <c r="AD331" s="81"/>
      <c r="AE331" s="81"/>
      <c r="AF331" s="81"/>
      <c r="AG331" s="81"/>
      <c r="AH331" s="81"/>
      <c r="AI331" s="81"/>
      <c r="AJ331" s="81"/>
    </row>
    <row r="332" spans="4:36">
      <c r="D332" t="s">
        <v>79</v>
      </c>
      <c r="E332" t="s">
        <v>68</v>
      </c>
      <c r="F332" s="435" t="s">
        <v>1869</v>
      </c>
      <c r="G332" s="435" t="s">
        <v>86</v>
      </c>
      <c r="H332" t="s">
        <v>264</v>
      </c>
      <c r="I332" t="s">
        <v>7</v>
      </c>
      <c r="J332" t="s">
        <v>299</v>
      </c>
      <c r="K332" s="102"/>
      <c r="L332" s="102"/>
      <c r="N332" t="s">
        <v>202</v>
      </c>
      <c r="O332" t="s">
        <v>202</v>
      </c>
      <c r="P332" s="81"/>
      <c r="Q332" s="81"/>
      <c r="R332" s="435"/>
      <c r="S332" s="435"/>
      <c r="U332" s="81"/>
      <c r="V332" s="81" t="str">
        <f>IF(U332="","",VLOOKUP(U332,'1.3 Lists'!$L$10:$M$313,2,FALSE))</f>
        <v/>
      </c>
      <c r="AC332" t="s">
        <v>3</v>
      </c>
      <c r="AD332" s="81"/>
      <c r="AE332" s="81"/>
      <c r="AF332" s="81"/>
      <c r="AG332" s="81"/>
      <c r="AH332" s="81"/>
      <c r="AI332" s="81"/>
      <c r="AJ332" s="81"/>
    </row>
    <row r="333" spans="4:36">
      <c r="D333" t="s">
        <v>79</v>
      </c>
      <c r="E333" t="s">
        <v>68</v>
      </c>
      <c r="F333" s="435" t="s">
        <v>1869</v>
      </c>
      <c r="G333" s="435" t="s">
        <v>86</v>
      </c>
      <c r="H333" t="s">
        <v>264</v>
      </c>
      <c r="I333" t="s">
        <v>7</v>
      </c>
      <c r="J333" t="s">
        <v>299</v>
      </c>
      <c r="K333" s="102"/>
      <c r="L333" s="102"/>
      <c r="N333" t="s">
        <v>202</v>
      </c>
      <c r="O333" t="s">
        <v>202</v>
      </c>
      <c r="P333" s="81"/>
      <c r="Q333" s="81"/>
      <c r="R333" s="435"/>
      <c r="S333" s="435"/>
      <c r="U333" s="81"/>
      <c r="V333" s="81" t="str">
        <f>IF(U333="","",VLOOKUP(U333,'1.3 Lists'!$L$10:$M$313,2,FALSE))</f>
        <v/>
      </c>
      <c r="AC333" t="s">
        <v>3</v>
      </c>
      <c r="AD333" s="81"/>
      <c r="AE333" s="81"/>
      <c r="AF333" s="81"/>
      <c r="AG333" s="81"/>
      <c r="AH333" s="81"/>
      <c r="AI333" s="81"/>
      <c r="AJ333" s="81"/>
    </row>
    <row r="334" spans="4:36">
      <c r="D334" t="s">
        <v>79</v>
      </c>
      <c r="E334" t="s">
        <v>68</v>
      </c>
      <c r="F334" s="435" t="s">
        <v>1869</v>
      </c>
      <c r="G334" s="435" t="s">
        <v>86</v>
      </c>
      <c r="H334" t="s">
        <v>264</v>
      </c>
      <c r="I334" t="s">
        <v>7</v>
      </c>
      <c r="J334" t="s">
        <v>299</v>
      </c>
      <c r="K334" s="102"/>
      <c r="L334" s="102"/>
      <c r="N334" t="s">
        <v>202</v>
      </c>
      <c r="O334" t="s">
        <v>202</v>
      </c>
      <c r="P334" s="81"/>
      <c r="Q334" s="81"/>
      <c r="R334" s="435"/>
      <c r="S334" s="435"/>
      <c r="U334" s="81"/>
      <c r="V334" s="81" t="str">
        <f>IF(U334="","",VLOOKUP(U334,'1.3 Lists'!$L$10:$M$313,2,FALSE))</f>
        <v/>
      </c>
      <c r="AC334" t="s">
        <v>3</v>
      </c>
      <c r="AD334" s="81"/>
      <c r="AE334" s="81"/>
      <c r="AF334" s="81"/>
      <c r="AG334" s="81"/>
      <c r="AH334" s="81"/>
      <c r="AI334" s="81"/>
      <c r="AJ334" s="81"/>
    </row>
    <row r="335" spans="4:36">
      <c r="D335" t="s">
        <v>79</v>
      </c>
      <c r="E335" t="s">
        <v>68</v>
      </c>
      <c r="F335" s="435" t="s">
        <v>1869</v>
      </c>
      <c r="G335" s="435" t="s">
        <v>86</v>
      </c>
      <c r="H335" t="s">
        <v>264</v>
      </c>
      <c r="I335" t="s">
        <v>7</v>
      </c>
      <c r="J335" t="s">
        <v>299</v>
      </c>
      <c r="K335" s="102"/>
      <c r="L335" s="102"/>
      <c r="N335" t="s">
        <v>202</v>
      </c>
      <c r="O335" t="s">
        <v>202</v>
      </c>
      <c r="P335" s="81"/>
      <c r="Q335" s="81"/>
      <c r="R335" s="435"/>
      <c r="S335" s="435"/>
      <c r="U335" s="81"/>
      <c r="V335" s="81" t="str">
        <f>IF(U335="","",VLOOKUP(U335,'1.3 Lists'!$L$10:$M$313,2,FALSE))</f>
        <v/>
      </c>
      <c r="AC335" t="s">
        <v>3</v>
      </c>
      <c r="AD335" s="81"/>
      <c r="AE335" s="81"/>
      <c r="AF335" s="81"/>
      <c r="AG335" s="81"/>
      <c r="AH335" s="81"/>
      <c r="AI335" s="81"/>
      <c r="AJ335" s="81"/>
    </row>
    <row r="336" spans="4:36">
      <c r="D336" t="s">
        <v>79</v>
      </c>
      <c r="E336" t="s">
        <v>68</v>
      </c>
      <c r="F336" s="435" t="s">
        <v>1869</v>
      </c>
      <c r="G336" s="435" t="s">
        <v>86</v>
      </c>
      <c r="H336" t="s">
        <v>264</v>
      </c>
      <c r="I336" t="s">
        <v>7</v>
      </c>
      <c r="J336" t="s">
        <v>299</v>
      </c>
      <c r="K336" s="102"/>
      <c r="L336" s="102"/>
      <c r="N336" t="s">
        <v>202</v>
      </c>
      <c r="O336" t="s">
        <v>202</v>
      </c>
      <c r="P336" s="81"/>
      <c r="Q336" s="81"/>
      <c r="R336" s="435"/>
      <c r="S336" s="435"/>
      <c r="U336" s="81"/>
      <c r="V336" s="81" t="str">
        <f>IF(U336="","",VLOOKUP(U336,'1.3 Lists'!$L$10:$M$313,2,FALSE))</f>
        <v/>
      </c>
      <c r="AC336" t="s">
        <v>3</v>
      </c>
      <c r="AD336" s="81"/>
      <c r="AE336" s="81"/>
      <c r="AF336" s="81"/>
      <c r="AG336" s="81"/>
      <c r="AH336" s="81"/>
      <c r="AI336" s="81"/>
      <c r="AJ336" s="81"/>
    </row>
    <row r="337" spans="4:36">
      <c r="D337" t="s">
        <v>79</v>
      </c>
      <c r="E337" t="s">
        <v>68</v>
      </c>
      <c r="F337" s="435" t="s">
        <v>1869</v>
      </c>
      <c r="G337" s="435" t="s">
        <v>86</v>
      </c>
      <c r="H337" t="s">
        <v>264</v>
      </c>
      <c r="I337" t="s">
        <v>7</v>
      </c>
      <c r="J337" t="s">
        <v>299</v>
      </c>
      <c r="K337" s="101"/>
      <c r="L337" s="101"/>
      <c r="N337" t="s">
        <v>202</v>
      </c>
      <c r="O337" t="s">
        <v>202</v>
      </c>
      <c r="P337" s="81"/>
      <c r="Q337" s="81"/>
      <c r="R337" s="435"/>
      <c r="S337" s="435"/>
      <c r="U337" s="81"/>
      <c r="V337" s="81" t="str">
        <f>IF(U337="","",VLOOKUP(U337,'1.3 Lists'!$L$10:$M$313,2,FALSE))</f>
        <v/>
      </c>
      <c r="AC337" t="s">
        <v>3</v>
      </c>
      <c r="AD337" s="81"/>
      <c r="AE337" s="81"/>
      <c r="AF337" s="81"/>
      <c r="AG337" s="81"/>
      <c r="AH337" s="81"/>
      <c r="AI337" s="81"/>
      <c r="AJ337" s="81"/>
    </row>
    <row r="338" spans="4:36">
      <c r="D338" t="s">
        <v>79</v>
      </c>
      <c r="E338" t="s">
        <v>68</v>
      </c>
      <c r="F338" s="435" t="s">
        <v>1869</v>
      </c>
      <c r="G338" s="435" t="s">
        <v>86</v>
      </c>
      <c r="H338" t="s">
        <v>264</v>
      </c>
      <c r="I338" t="s">
        <v>7</v>
      </c>
      <c r="J338" t="s">
        <v>299</v>
      </c>
      <c r="K338" s="101"/>
      <c r="L338" s="101"/>
      <c r="N338" t="s">
        <v>202</v>
      </c>
      <c r="O338" t="s">
        <v>202</v>
      </c>
      <c r="P338" s="81"/>
      <c r="Q338" s="81"/>
      <c r="R338" s="435"/>
      <c r="S338" s="435"/>
      <c r="U338" s="81"/>
      <c r="V338" s="81" t="str">
        <f>IF(U338="","",VLOOKUP(U338,'1.3 Lists'!$L$10:$M$313,2,FALSE))</f>
        <v/>
      </c>
      <c r="AC338" t="s">
        <v>3</v>
      </c>
      <c r="AD338" s="81"/>
      <c r="AE338" s="81"/>
      <c r="AF338" s="81"/>
      <c r="AG338" s="81"/>
      <c r="AH338" s="81"/>
      <c r="AI338" s="81"/>
      <c r="AJ338" s="81"/>
    </row>
    <row r="339" spans="4:36">
      <c r="D339" t="s">
        <v>79</v>
      </c>
      <c r="E339" t="s">
        <v>68</v>
      </c>
      <c r="F339" s="435" t="s">
        <v>1869</v>
      </c>
      <c r="G339" s="435" t="s">
        <v>86</v>
      </c>
      <c r="H339" t="s">
        <v>264</v>
      </c>
      <c r="I339" t="s">
        <v>7</v>
      </c>
      <c r="J339" t="s">
        <v>299</v>
      </c>
      <c r="K339" s="101"/>
      <c r="L339" s="101"/>
      <c r="N339" t="s">
        <v>202</v>
      </c>
      <c r="O339" t="s">
        <v>202</v>
      </c>
      <c r="P339" s="81"/>
      <c r="Q339" s="81"/>
      <c r="R339" s="435"/>
      <c r="S339" s="435"/>
      <c r="U339" s="81"/>
      <c r="V339" s="81" t="str">
        <f>IF(U339="","",VLOOKUP(U339,'1.3 Lists'!$L$10:$M$313,2,FALSE))</f>
        <v/>
      </c>
      <c r="AC339" t="s">
        <v>3</v>
      </c>
      <c r="AD339" s="81"/>
      <c r="AE339" s="81"/>
      <c r="AF339" s="81"/>
      <c r="AG339" s="81"/>
      <c r="AH339" s="81"/>
      <c r="AI339" s="81"/>
      <c r="AJ339" s="81"/>
    </row>
    <row r="340" spans="4:36">
      <c r="D340" t="s">
        <v>79</v>
      </c>
      <c r="E340" t="s">
        <v>68</v>
      </c>
      <c r="F340" s="435" t="s">
        <v>1869</v>
      </c>
      <c r="G340" s="435" t="s">
        <v>86</v>
      </c>
      <c r="H340" t="s">
        <v>264</v>
      </c>
      <c r="I340" t="s">
        <v>7</v>
      </c>
      <c r="J340" t="s">
        <v>299</v>
      </c>
      <c r="K340" s="101"/>
      <c r="L340" s="101"/>
      <c r="N340" t="s">
        <v>202</v>
      </c>
      <c r="O340" t="s">
        <v>202</v>
      </c>
      <c r="P340" s="81"/>
      <c r="Q340" s="81"/>
      <c r="R340" s="435"/>
      <c r="S340" s="435"/>
      <c r="U340" s="81"/>
      <c r="V340" s="81" t="str">
        <f>IF(U340="","",VLOOKUP(U340,'1.3 Lists'!$L$10:$M$313,2,FALSE))</f>
        <v/>
      </c>
      <c r="AC340" t="s">
        <v>3</v>
      </c>
      <c r="AD340" s="81"/>
      <c r="AE340" s="81"/>
      <c r="AF340" s="81"/>
      <c r="AG340" s="81"/>
      <c r="AH340" s="81"/>
      <c r="AI340" s="81"/>
      <c r="AJ340" s="81"/>
    </row>
    <row r="341" spans="4:36">
      <c r="D341" t="s">
        <v>79</v>
      </c>
      <c r="E341" t="s">
        <v>68</v>
      </c>
      <c r="F341" s="435" t="s">
        <v>1869</v>
      </c>
      <c r="G341" s="435" t="s">
        <v>86</v>
      </c>
      <c r="H341" t="s">
        <v>264</v>
      </c>
      <c r="I341" t="s">
        <v>7</v>
      </c>
      <c r="J341" t="s">
        <v>299</v>
      </c>
      <c r="K341" s="101"/>
      <c r="L341" s="101"/>
      <c r="N341" t="s">
        <v>202</v>
      </c>
      <c r="O341" t="s">
        <v>202</v>
      </c>
      <c r="P341" s="81"/>
      <c r="Q341" s="81"/>
      <c r="R341" s="435"/>
      <c r="S341" s="435"/>
      <c r="U341" s="81"/>
      <c r="V341" s="81" t="str">
        <f>IF(U341="","",VLOOKUP(U341,'1.3 Lists'!$L$10:$M$313,2,FALSE))</f>
        <v/>
      </c>
      <c r="AC341" t="s">
        <v>3</v>
      </c>
      <c r="AD341" s="81"/>
      <c r="AE341" s="81"/>
      <c r="AF341" s="81"/>
      <c r="AG341" s="81"/>
      <c r="AH341" s="81"/>
      <c r="AI341" s="81"/>
      <c r="AJ341" s="81"/>
    </row>
    <row r="342" spans="4:36">
      <c r="D342" t="s">
        <v>79</v>
      </c>
      <c r="E342" t="s">
        <v>68</v>
      </c>
      <c r="F342" s="435" t="s">
        <v>1869</v>
      </c>
      <c r="G342" s="435" t="s">
        <v>86</v>
      </c>
      <c r="H342" t="s">
        <v>264</v>
      </c>
      <c r="I342" t="s">
        <v>7</v>
      </c>
      <c r="J342" t="s">
        <v>299</v>
      </c>
      <c r="K342" s="101"/>
      <c r="L342" s="101"/>
      <c r="N342" t="s">
        <v>202</v>
      </c>
      <c r="O342" t="s">
        <v>202</v>
      </c>
      <c r="P342" s="81"/>
      <c r="Q342" s="81"/>
      <c r="R342" s="435"/>
      <c r="S342" s="435"/>
      <c r="U342" s="81"/>
      <c r="V342" s="81" t="str">
        <f>IF(U342="","",VLOOKUP(U342,'1.3 Lists'!$L$10:$M$313,2,FALSE))</f>
        <v/>
      </c>
      <c r="AC342" t="s">
        <v>3</v>
      </c>
      <c r="AD342" s="81"/>
      <c r="AE342" s="81"/>
      <c r="AF342" s="81"/>
      <c r="AG342" s="81"/>
      <c r="AH342" s="81"/>
      <c r="AI342" s="81"/>
      <c r="AJ342" s="81"/>
    </row>
    <row r="343" spans="4:36">
      <c r="D343" t="s">
        <v>79</v>
      </c>
      <c r="E343" t="s">
        <v>68</v>
      </c>
      <c r="F343" s="435" t="s">
        <v>1869</v>
      </c>
      <c r="G343" s="435" t="s">
        <v>86</v>
      </c>
      <c r="H343" t="s">
        <v>264</v>
      </c>
      <c r="I343" t="s">
        <v>7</v>
      </c>
      <c r="J343" t="s">
        <v>299</v>
      </c>
      <c r="K343" s="101"/>
      <c r="L343" s="101"/>
      <c r="N343" t="s">
        <v>202</v>
      </c>
      <c r="O343" t="s">
        <v>202</v>
      </c>
      <c r="P343" s="81"/>
      <c r="Q343" s="81"/>
      <c r="R343" s="435"/>
      <c r="S343" s="435"/>
      <c r="U343" s="81"/>
      <c r="V343" s="81" t="str">
        <f>IF(U343="","",VLOOKUP(U343,'1.3 Lists'!$L$10:$M$313,2,FALSE))</f>
        <v/>
      </c>
      <c r="AC343" t="s">
        <v>3</v>
      </c>
      <c r="AD343" s="81"/>
      <c r="AE343" s="81"/>
      <c r="AF343" s="81"/>
      <c r="AG343" s="81"/>
      <c r="AH343" s="81"/>
      <c r="AI343" s="81"/>
      <c r="AJ343" s="81"/>
    </row>
    <row r="344" spans="4:36">
      <c r="D344" t="s">
        <v>79</v>
      </c>
      <c r="E344" t="s">
        <v>68</v>
      </c>
      <c r="F344" s="435" t="s">
        <v>1869</v>
      </c>
      <c r="G344" s="435" t="s">
        <v>86</v>
      </c>
      <c r="H344" t="s">
        <v>264</v>
      </c>
      <c r="I344" t="s">
        <v>7</v>
      </c>
      <c r="J344" t="s">
        <v>299</v>
      </c>
      <c r="K344" s="101"/>
      <c r="L344" s="101"/>
      <c r="N344" t="s">
        <v>202</v>
      </c>
      <c r="O344" t="s">
        <v>202</v>
      </c>
      <c r="P344" s="81"/>
      <c r="Q344" s="81"/>
      <c r="R344" s="435"/>
      <c r="S344" s="435"/>
      <c r="U344" s="81"/>
      <c r="V344" s="81" t="str">
        <f>IF(U344="","",VLOOKUP(U344,'1.3 Lists'!$L$10:$M$313,2,FALSE))</f>
        <v/>
      </c>
      <c r="AC344" t="s">
        <v>3</v>
      </c>
      <c r="AD344" s="81"/>
      <c r="AE344" s="81"/>
      <c r="AF344" s="81"/>
      <c r="AG344" s="81"/>
      <c r="AH344" s="81"/>
      <c r="AI344" s="81"/>
      <c r="AJ344" s="81"/>
    </row>
    <row r="345" spans="4:36">
      <c r="D345" t="s">
        <v>79</v>
      </c>
      <c r="E345" t="s">
        <v>68</v>
      </c>
      <c r="F345" s="435" t="s">
        <v>1869</v>
      </c>
      <c r="G345" s="435" t="s">
        <v>86</v>
      </c>
      <c r="H345" t="s">
        <v>264</v>
      </c>
      <c r="I345" t="s">
        <v>7</v>
      </c>
      <c r="J345" t="s">
        <v>299</v>
      </c>
      <c r="K345" s="101"/>
      <c r="L345" s="101"/>
      <c r="N345" t="s">
        <v>202</v>
      </c>
      <c r="O345" t="s">
        <v>202</v>
      </c>
      <c r="P345" s="81"/>
      <c r="Q345" s="81"/>
      <c r="R345" s="435"/>
      <c r="S345" s="435"/>
      <c r="U345" s="81"/>
      <c r="V345" s="81" t="str">
        <f>IF(U345="","",VLOOKUP(U345,'1.3 Lists'!$L$10:$M$313,2,FALSE))</f>
        <v/>
      </c>
      <c r="AC345" t="s">
        <v>3</v>
      </c>
      <c r="AD345" s="81"/>
      <c r="AE345" s="81"/>
      <c r="AF345" s="81"/>
      <c r="AG345" s="81"/>
      <c r="AH345" s="81"/>
      <c r="AI345" s="81"/>
      <c r="AJ345" s="81"/>
    </row>
    <row r="346" spans="4:36">
      <c r="D346" t="s">
        <v>79</v>
      </c>
      <c r="E346" t="s">
        <v>68</v>
      </c>
      <c r="F346" s="435" t="s">
        <v>1869</v>
      </c>
      <c r="G346" s="435" t="s">
        <v>86</v>
      </c>
      <c r="H346" t="s">
        <v>264</v>
      </c>
      <c r="I346" t="s">
        <v>7</v>
      </c>
      <c r="J346" t="s">
        <v>299</v>
      </c>
      <c r="K346" s="101"/>
      <c r="L346" s="101"/>
      <c r="N346" t="s">
        <v>202</v>
      </c>
      <c r="O346" t="s">
        <v>202</v>
      </c>
      <c r="P346" s="81"/>
      <c r="Q346" s="81"/>
      <c r="R346" s="435"/>
      <c r="S346" s="435"/>
      <c r="U346" s="81"/>
      <c r="V346" s="81" t="str">
        <f>IF(U346="","",VLOOKUP(U346,'1.3 Lists'!$L$10:$M$313,2,FALSE))</f>
        <v/>
      </c>
      <c r="AC346" t="s">
        <v>3</v>
      </c>
      <c r="AD346" s="81"/>
      <c r="AE346" s="81"/>
      <c r="AF346" s="81"/>
      <c r="AG346" s="81"/>
      <c r="AH346" s="81"/>
      <c r="AI346" s="81"/>
      <c r="AJ346" s="81"/>
    </row>
    <row r="347" spans="4:36">
      <c r="D347" t="s">
        <v>79</v>
      </c>
      <c r="E347" t="s">
        <v>68</v>
      </c>
      <c r="F347" s="435" t="s">
        <v>1869</v>
      </c>
      <c r="G347" s="435" t="s">
        <v>86</v>
      </c>
      <c r="H347" t="s">
        <v>264</v>
      </c>
      <c r="I347" t="s">
        <v>7</v>
      </c>
      <c r="J347" t="s">
        <v>299</v>
      </c>
      <c r="K347" s="101"/>
      <c r="L347" s="101"/>
      <c r="N347" t="s">
        <v>202</v>
      </c>
      <c r="O347" t="s">
        <v>202</v>
      </c>
      <c r="P347" s="81"/>
      <c r="Q347" s="81"/>
      <c r="R347" s="435"/>
      <c r="S347" s="435"/>
      <c r="U347" s="81"/>
      <c r="V347" s="81" t="str">
        <f>IF(U347="","",VLOOKUP(U347,'1.3 Lists'!$L$10:$M$313,2,FALSE))</f>
        <v/>
      </c>
      <c r="AC347" t="s">
        <v>3</v>
      </c>
      <c r="AD347" s="81"/>
      <c r="AE347" s="81"/>
      <c r="AF347" s="81"/>
      <c r="AG347" s="81"/>
      <c r="AH347" s="81"/>
      <c r="AI347" s="81"/>
      <c r="AJ347" s="81"/>
    </row>
    <row r="348" spans="4:36">
      <c r="D348" t="s">
        <v>79</v>
      </c>
      <c r="E348" t="s">
        <v>68</v>
      </c>
      <c r="F348" s="435" t="s">
        <v>1869</v>
      </c>
      <c r="G348" s="435" t="s">
        <v>86</v>
      </c>
      <c r="H348" t="s">
        <v>264</v>
      </c>
      <c r="I348" t="s">
        <v>7</v>
      </c>
      <c r="J348" t="s">
        <v>299</v>
      </c>
      <c r="K348" s="101"/>
      <c r="L348" s="101"/>
      <c r="N348" t="s">
        <v>202</v>
      </c>
      <c r="O348" t="s">
        <v>202</v>
      </c>
      <c r="P348" s="81"/>
      <c r="Q348" s="81"/>
      <c r="R348" s="435"/>
      <c r="S348" s="435"/>
      <c r="U348" s="81"/>
      <c r="V348" s="81" t="str">
        <f>IF(U348="","",VLOOKUP(U348,'1.3 Lists'!$L$10:$M$313,2,FALSE))</f>
        <v/>
      </c>
      <c r="AC348" t="s">
        <v>3</v>
      </c>
      <c r="AD348" s="81"/>
      <c r="AE348" s="81"/>
      <c r="AF348" s="81"/>
      <c r="AG348" s="81"/>
      <c r="AH348" s="81"/>
      <c r="AI348" s="81"/>
      <c r="AJ348" s="81"/>
    </row>
    <row r="349" spans="4:36">
      <c r="D349" t="s">
        <v>79</v>
      </c>
      <c r="E349" t="s">
        <v>68</v>
      </c>
      <c r="F349" s="435" t="s">
        <v>1869</v>
      </c>
      <c r="G349" s="435" t="s">
        <v>86</v>
      </c>
      <c r="H349" t="s">
        <v>264</v>
      </c>
      <c r="I349" t="s">
        <v>7</v>
      </c>
      <c r="J349" t="s">
        <v>299</v>
      </c>
      <c r="K349" s="101"/>
      <c r="L349" s="101"/>
      <c r="N349" t="s">
        <v>202</v>
      </c>
      <c r="O349" t="s">
        <v>202</v>
      </c>
      <c r="P349" s="81"/>
      <c r="Q349" s="81"/>
      <c r="R349" s="435"/>
      <c r="S349" s="435"/>
      <c r="U349" s="81"/>
      <c r="V349" s="81" t="str">
        <f>IF(U349="","",VLOOKUP(U349,'1.3 Lists'!$L$10:$M$313,2,FALSE))</f>
        <v/>
      </c>
      <c r="AC349" t="s">
        <v>3</v>
      </c>
      <c r="AD349" s="81"/>
      <c r="AE349" s="81"/>
      <c r="AF349" s="81"/>
      <c r="AG349" s="81"/>
      <c r="AH349" s="81"/>
      <c r="AI349" s="81"/>
      <c r="AJ349" s="81"/>
    </row>
    <row r="350" spans="4:36">
      <c r="D350" t="s">
        <v>79</v>
      </c>
      <c r="E350" t="s">
        <v>68</v>
      </c>
      <c r="F350" s="435" t="s">
        <v>1869</v>
      </c>
      <c r="G350" s="435" t="s">
        <v>86</v>
      </c>
      <c r="H350" t="s">
        <v>264</v>
      </c>
      <c r="I350" t="s">
        <v>7</v>
      </c>
      <c r="J350" t="s">
        <v>299</v>
      </c>
      <c r="K350" s="101"/>
      <c r="L350" s="101"/>
      <c r="N350" t="s">
        <v>202</v>
      </c>
      <c r="O350" t="s">
        <v>202</v>
      </c>
      <c r="P350" s="81"/>
      <c r="Q350" s="81"/>
      <c r="R350" s="435"/>
      <c r="S350" s="435"/>
      <c r="U350" s="81"/>
      <c r="V350" s="81" t="str">
        <f>IF(U350="","",VLOOKUP(U350,'1.3 Lists'!$L$10:$M$313,2,FALSE))</f>
        <v/>
      </c>
      <c r="AC350" t="s">
        <v>3</v>
      </c>
      <c r="AD350" s="81"/>
      <c r="AE350" s="81"/>
      <c r="AF350" s="81"/>
      <c r="AG350" s="81"/>
      <c r="AH350" s="81"/>
      <c r="AI350" s="81"/>
      <c r="AJ350" s="81"/>
    </row>
    <row r="351" spans="4:36">
      <c r="D351" t="s">
        <v>79</v>
      </c>
      <c r="E351" t="s">
        <v>68</v>
      </c>
      <c r="F351" s="435" t="s">
        <v>1869</v>
      </c>
      <c r="G351" s="435" t="s">
        <v>86</v>
      </c>
      <c r="H351" t="s">
        <v>264</v>
      </c>
      <c r="I351" t="s">
        <v>7</v>
      </c>
      <c r="J351" t="s">
        <v>299</v>
      </c>
      <c r="K351" s="101"/>
      <c r="L351" s="101"/>
      <c r="N351" t="s">
        <v>202</v>
      </c>
      <c r="O351" t="s">
        <v>202</v>
      </c>
      <c r="P351" s="81"/>
      <c r="Q351" s="81"/>
      <c r="R351" s="435"/>
      <c r="S351" s="435"/>
      <c r="U351" s="81"/>
      <c r="V351" s="81" t="str">
        <f>IF(U351="","",VLOOKUP(U351,'1.3 Lists'!$L$10:$M$313,2,FALSE))</f>
        <v/>
      </c>
      <c r="AC351" t="s">
        <v>3</v>
      </c>
      <c r="AD351" s="81"/>
      <c r="AE351" s="81"/>
      <c r="AF351" s="81"/>
      <c r="AG351" s="81"/>
      <c r="AH351" s="81"/>
      <c r="AI351" s="81"/>
      <c r="AJ351" s="81"/>
    </row>
    <row r="352" spans="4:36">
      <c r="D352" t="s">
        <v>79</v>
      </c>
      <c r="E352" t="s">
        <v>68</v>
      </c>
      <c r="F352" s="435" t="s">
        <v>1869</v>
      </c>
      <c r="G352" s="435" t="s">
        <v>86</v>
      </c>
      <c r="H352" t="s">
        <v>264</v>
      </c>
      <c r="I352" t="s">
        <v>7</v>
      </c>
      <c r="J352" t="s">
        <v>299</v>
      </c>
      <c r="K352" s="101"/>
      <c r="L352" s="101"/>
      <c r="N352" t="s">
        <v>202</v>
      </c>
      <c r="O352" t="s">
        <v>202</v>
      </c>
      <c r="P352" s="81"/>
      <c r="Q352" s="81"/>
      <c r="R352" s="435"/>
      <c r="S352" s="435"/>
      <c r="U352" s="81"/>
      <c r="V352" s="81" t="str">
        <f>IF(U352="","",VLOOKUP(U352,'1.3 Lists'!$L$10:$M$313,2,FALSE))</f>
        <v/>
      </c>
      <c r="AC352" t="s">
        <v>3</v>
      </c>
      <c r="AD352" s="81"/>
      <c r="AE352" s="81"/>
      <c r="AF352" s="81"/>
      <c r="AG352" s="81"/>
      <c r="AH352" s="81"/>
      <c r="AI352" s="81"/>
      <c r="AJ352" s="81"/>
    </row>
    <row r="353" spans="4:36">
      <c r="D353" t="s">
        <v>79</v>
      </c>
      <c r="E353" t="s">
        <v>68</v>
      </c>
      <c r="F353" s="435" t="s">
        <v>1869</v>
      </c>
      <c r="G353" s="435" t="s">
        <v>86</v>
      </c>
      <c r="H353" t="s">
        <v>264</v>
      </c>
      <c r="I353" t="s">
        <v>7</v>
      </c>
      <c r="J353" t="s">
        <v>299</v>
      </c>
      <c r="K353" s="101"/>
      <c r="L353" s="101"/>
      <c r="N353" t="s">
        <v>202</v>
      </c>
      <c r="O353" t="s">
        <v>202</v>
      </c>
      <c r="P353" s="81"/>
      <c r="Q353" s="81"/>
      <c r="R353" s="435"/>
      <c r="S353" s="435"/>
      <c r="U353" s="81"/>
      <c r="V353" s="81" t="str">
        <f>IF(U353="","",VLOOKUP(U353,'1.3 Lists'!$L$10:$M$313,2,FALSE))</f>
        <v/>
      </c>
      <c r="AC353" t="s">
        <v>3</v>
      </c>
      <c r="AD353" s="81"/>
      <c r="AE353" s="81"/>
      <c r="AF353" s="81"/>
      <c r="AG353" s="81"/>
      <c r="AH353" s="81"/>
      <c r="AI353" s="81"/>
      <c r="AJ353" s="81"/>
    </row>
    <row r="354" spans="4:36">
      <c r="D354" t="s">
        <v>79</v>
      </c>
      <c r="E354" t="s">
        <v>68</v>
      </c>
      <c r="F354" s="435" t="s">
        <v>1869</v>
      </c>
      <c r="G354" s="435" t="s">
        <v>86</v>
      </c>
      <c r="H354" t="s">
        <v>264</v>
      </c>
      <c r="I354" t="s">
        <v>7</v>
      </c>
      <c r="J354" t="s">
        <v>299</v>
      </c>
      <c r="K354" s="101"/>
      <c r="L354" s="101"/>
      <c r="N354" t="s">
        <v>202</v>
      </c>
      <c r="O354" t="s">
        <v>202</v>
      </c>
      <c r="P354" s="81"/>
      <c r="Q354" s="81"/>
      <c r="R354" s="435"/>
      <c r="S354" s="435"/>
      <c r="U354" s="81"/>
      <c r="V354" s="81" t="str">
        <f>IF(U354="","",VLOOKUP(U354,'1.3 Lists'!$L$10:$M$313,2,FALSE))</f>
        <v/>
      </c>
      <c r="AC354" t="s">
        <v>3</v>
      </c>
      <c r="AD354" s="81"/>
      <c r="AE354" s="81"/>
      <c r="AF354" s="81"/>
      <c r="AG354" s="81"/>
      <c r="AH354" s="81"/>
      <c r="AI354" s="81"/>
      <c r="AJ354" s="81"/>
    </row>
    <row r="355" spans="4:36">
      <c r="D355" t="s">
        <v>79</v>
      </c>
      <c r="E355" t="s">
        <v>68</v>
      </c>
      <c r="F355" s="435" t="s">
        <v>1869</v>
      </c>
      <c r="G355" s="435" t="s">
        <v>86</v>
      </c>
      <c r="H355" t="s">
        <v>264</v>
      </c>
      <c r="I355" t="s">
        <v>7</v>
      </c>
      <c r="J355" t="s">
        <v>299</v>
      </c>
      <c r="K355" s="101"/>
      <c r="L355" s="101"/>
      <c r="N355" t="s">
        <v>202</v>
      </c>
      <c r="O355" t="s">
        <v>202</v>
      </c>
      <c r="P355" s="81"/>
      <c r="Q355" s="81"/>
      <c r="R355" s="435"/>
      <c r="S355" s="435"/>
      <c r="U355" s="81"/>
      <c r="V355" s="81" t="str">
        <f>IF(U355="","",VLOOKUP(U355,'1.3 Lists'!$L$10:$M$313,2,FALSE))</f>
        <v/>
      </c>
      <c r="AC355" t="s">
        <v>3</v>
      </c>
      <c r="AD355" s="81"/>
      <c r="AE355" s="81"/>
      <c r="AF355" s="81"/>
      <c r="AG355" s="81"/>
      <c r="AH355" s="81"/>
      <c r="AI355" s="81"/>
      <c r="AJ355" s="81"/>
    </row>
    <row r="356" spans="4:36">
      <c r="D356" t="s">
        <v>79</v>
      </c>
      <c r="E356" t="s">
        <v>68</v>
      </c>
      <c r="F356" s="435" t="s">
        <v>1869</v>
      </c>
      <c r="G356" s="435" t="s">
        <v>86</v>
      </c>
      <c r="H356" t="s">
        <v>264</v>
      </c>
      <c r="I356" t="s">
        <v>7</v>
      </c>
      <c r="J356" t="s">
        <v>299</v>
      </c>
      <c r="K356" s="101"/>
      <c r="L356" s="101"/>
      <c r="N356" t="s">
        <v>202</v>
      </c>
      <c r="O356" t="s">
        <v>202</v>
      </c>
      <c r="P356" s="81"/>
      <c r="Q356" s="81"/>
      <c r="R356" s="435"/>
      <c r="S356" s="435"/>
      <c r="U356" s="81"/>
      <c r="V356" s="81" t="str">
        <f>IF(U356="","",VLOOKUP(U356,'1.3 Lists'!$L$10:$M$313,2,FALSE))</f>
        <v/>
      </c>
      <c r="AC356" t="s">
        <v>3</v>
      </c>
      <c r="AD356" s="81"/>
      <c r="AE356" s="81"/>
      <c r="AF356" s="81"/>
      <c r="AG356" s="81"/>
      <c r="AH356" s="81"/>
      <c r="AI356" s="81"/>
      <c r="AJ356" s="81"/>
    </row>
    <row r="357" spans="4:36">
      <c r="D357" t="s">
        <v>79</v>
      </c>
      <c r="E357" t="s">
        <v>68</v>
      </c>
      <c r="F357" s="435" t="s">
        <v>1869</v>
      </c>
      <c r="G357" s="435" t="s">
        <v>86</v>
      </c>
      <c r="H357" t="s">
        <v>264</v>
      </c>
      <c r="I357" t="s">
        <v>7</v>
      </c>
      <c r="J357" t="s">
        <v>299</v>
      </c>
      <c r="K357" s="101"/>
      <c r="L357" s="101"/>
      <c r="N357" t="s">
        <v>202</v>
      </c>
      <c r="O357" t="s">
        <v>202</v>
      </c>
      <c r="P357" s="81"/>
      <c r="Q357" s="81"/>
      <c r="R357" s="435"/>
      <c r="S357" s="435"/>
      <c r="U357" s="81"/>
      <c r="V357" s="81" t="str">
        <f>IF(U357="","",VLOOKUP(U357,'1.3 Lists'!$L$10:$M$313,2,FALSE))</f>
        <v/>
      </c>
      <c r="AC357" t="s">
        <v>3</v>
      </c>
      <c r="AD357" s="81"/>
      <c r="AE357" s="81"/>
      <c r="AF357" s="81"/>
      <c r="AG357" s="81"/>
      <c r="AH357" s="81"/>
      <c r="AI357" s="81"/>
      <c r="AJ357" s="81"/>
    </row>
    <row r="358" spans="4:36">
      <c r="D358" t="s">
        <v>79</v>
      </c>
      <c r="E358" t="s">
        <v>68</v>
      </c>
      <c r="F358" s="435" t="s">
        <v>1869</v>
      </c>
      <c r="G358" s="435" t="s">
        <v>86</v>
      </c>
      <c r="H358" t="s">
        <v>264</v>
      </c>
      <c r="I358" t="s">
        <v>7</v>
      </c>
      <c r="J358" t="s">
        <v>299</v>
      </c>
      <c r="K358" s="101"/>
      <c r="L358" s="101"/>
      <c r="N358" t="s">
        <v>202</v>
      </c>
      <c r="O358" t="s">
        <v>202</v>
      </c>
      <c r="P358" s="81"/>
      <c r="Q358" s="81"/>
      <c r="R358" s="435"/>
      <c r="S358" s="435"/>
      <c r="U358" s="81"/>
      <c r="V358" s="81" t="str">
        <f>IF(U358="","",VLOOKUP(U358,'1.3 Lists'!$L$10:$M$313,2,FALSE))</f>
        <v/>
      </c>
      <c r="AC358" t="s">
        <v>3</v>
      </c>
      <c r="AD358" s="81"/>
      <c r="AE358" s="81"/>
      <c r="AF358" s="81"/>
      <c r="AG358" s="81"/>
      <c r="AH358" s="81"/>
      <c r="AI358" s="81"/>
      <c r="AJ358" s="81"/>
    </row>
    <row r="359" spans="4:36">
      <c r="D359" t="s">
        <v>79</v>
      </c>
      <c r="E359" t="s">
        <v>68</v>
      </c>
      <c r="F359" s="435" t="s">
        <v>1869</v>
      </c>
      <c r="G359" s="435" t="s">
        <v>86</v>
      </c>
      <c r="H359" t="s">
        <v>264</v>
      </c>
      <c r="I359" t="s">
        <v>7</v>
      </c>
      <c r="J359" t="s">
        <v>299</v>
      </c>
      <c r="K359" s="101"/>
      <c r="L359" s="101"/>
      <c r="N359" t="s">
        <v>202</v>
      </c>
      <c r="O359" t="s">
        <v>202</v>
      </c>
      <c r="P359" s="81"/>
      <c r="Q359" s="81"/>
      <c r="R359" s="435"/>
      <c r="S359" s="435"/>
      <c r="U359" s="81"/>
      <c r="V359" s="81" t="str">
        <f>IF(U359="","",VLOOKUP(U359,'1.3 Lists'!$L$10:$M$313,2,FALSE))</f>
        <v/>
      </c>
      <c r="AC359" t="s">
        <v>3</v>
      </c>
      <c r="AD359" s="81"/>
      <c r="AE359" s="81"/>
      <c r="AF359" s="81"/>
      <c r="AG359" s="81"/>
      <c r="AH359" s="81"/>
      <c r="AI359" s="81"/>
      <c r="AJ359" s="81"/>
    </row>
    <row r="360" spans="4:36">
      <c r="D360" t="s">
        <v>79</v>
      </c>
      <c r="E360" t="s">
        <v>68</v>
      </c>
      <c r="F360" s="435" t="s">
        <v>1869</v>
      </c>
      <c r="G360" s="435" t="s">
        <v>86</v>
      </c>
      <c r="H360" t="s">
        <v>264</v>
      </c>
      <c r="I360" t="s">
        <v>7</v>
      </c>
      <c r="J360" t="s">
        <v>299</v>
      </c>
      <c r="K360" s="101"/>
      <c r="L360" s="101"/>
      <c r="N360" t="s">
        <v>202</v>
      </c>
      <c r="O360" t="s">
        <v>202</v>
      </c>
      <c r="P360" s="81"/>
      <c r="Q360" s="81"/>
      <c r="R360" s="435"/>
      <c r="S360" s="435"/>
      <c r="U360" s="81"/>
      <c r="V360" s="81" t="str">
        <f>IF(U360="","",VLOOKUP(U360,'1.3 Lists'!$L$10:$M$313,2,FALSE))</f>
        <v/>
      </c>
      <c r="AC360" t="s">
        <v>3</v>
      </c>
      <c r="AD360" s="81"/>
      <c r="AE360" s="81"/>
      <c r="AF360" s="81"/>
      <c r="AG360" s="81"/>
      <c r="AH360" s="81"/>
      <c r="AI360" s="81"/>
      <c r="AJ360" s="81"/>
    </row>
    <row r="361" spans="4:36">
      <c r="D361" t="s">
        <v>79</v>
      </c>
      <c r="E361" t="s">
        <v>68</v>
      </c>
      <c r="F361" s="435" t="s">
        <v>1869</v>
      </c>
      <c r="G361" s="435" t="s">
        <v>86</v>
      </c>
      <c r="H361" t="s">
        <v>264</v>
      </c>
      <c r="I361" t="s">
        <v>7</v>
      </c>
      <c r="J361" t="s">
        <v>299</v>
      </c>
      <c r="K361" s="101"/>
      <c r="L361" s="101"/>
      <c r="N361" t="s">
        <v>202</v>
      </c>
      <c r="O361" t="s">
        <v>202</v>
      </c>
      <c r="P361" s="81"/>
      <c r="Q361" s="81"/>
      <c r="R361" s="435"/>
      <c r="S361" s="435"/>
      <c r="U361" s="81"/>
      <c r="V361" s="81" t="str">
        <f>IF(U361="","",VLOOKUP(U361,'1.3 Lists'!$L$10:$M$313,2,FALSE))</f>
        <v/>
      </c>
      <c r="AC361" t="s">
        <v>3</v>
      </c>
      <c r="AD361" s="81"/>
      <c r="AE361" s="81"/>
      <c r="AF361" s="81"/>
      <c r="AG361" s="81"/>
      <c r="AH361" s="81"/>
      <c r="AI361" s="81"/>
      <c r="AJ361" s="81"/>
    </row>
    <row r="362" spans="4:36">
      <c r="D362" t="s">
        <v>79</v>
      </c>
      <c r="E362" t="s">
        <v>68</v>
      </c>
      <c r="F362" s="435" t="s">
        <v>1869</v>
      </c>
      <c r="G362" s="435" t="s">
        <v>86</v>
      </c>
      <c r="H362" t="s">
        <v>264</v>
      </c>
      <c r="I362" t="s">
        <v>7</v>
      </c>
      <c r="J362" t="s">
        <v>299</v>
      </c>
      <c r="K362" s="101"/>
      <c r="L362" s="101"/>
      <c r="N362" t="s">
        <v>202</v>
      </c>
      <c r="O362" t="s">
        <v>202</v>
      </c>
      <c r="P362" s="81"/>
      <c r="Q362" s="81"/>
      <c r="R362" s="435"/>
      <c r="S362" s="435"/>
      <c r="U362" s="81"/>
      <c r="V362" s="81" t="str">
        <f>IF(U362="","",VLOOKUP(U362,'1.3 Lists'!$L$10:$M$313,2,FALSE))</f>
        <v/>
      </c>
      <c r="AC362" t="s">
        <v>3</v>
      </c>
      <c r="AD362" s="81"/>
      <c r="AE362" s="81"/>
      <c r="AF362" s="81"/>
      <c r="AG362" s="81"/>
      <c r="AH362" s="81"/>
      <c r="AI362" s="81"/>
      <c r="AJ362" s="81"/>
    </row>
    <row r="363" spans="4:36">
      <c r="D363" t="s">
        <v>79</v>
      </c>
      <c r="E363" t="s">
        <v>68</v>
      </c>
      <c r="F363" s="435" t="s">
        <v>1869</v>
      </c>
      <c r="G363" s="435" t="s">
        <v>86</v>
      </c>
      <c r="H363" t="s">
        <v>264</v>
      </c>
      <c r="I363" t="s">
        <v>7</v>
      </c>
      <c r="J363" t="s">
        <v>299</v>
      </c>
      <c r="K363" s="101"/>
      <c r="L363" s="101"/>
      <c r="N363" t="s">
        <v>202</v>
      </c>
      <c r="O363" t="s">
        <v>202</v>
      </c>
      <c r="P363" s="81"/>
      <c r="Q363" s="81"/>
      <c r="R363" s="435"/>
      <c r="S363" s="435"/>
      <c r="U363" s="81"/>
      <c r="V363" s="81" t="str">
        <f>IF(U363="","",VLOOKUP(U363,'1.3 Lists'!$L$10:$M$313,2,FALSE))</f>
        <v/>
      </c>
      <c r="AC363" t="s">
        <v>3</v>
      </c>
      <c r="AD363" s="81"/>
      <c r="AE363" s="81"/>
      <c r="AF363" s="81"/>
      <c r="AG363" s="81"/>
      <c r="AH363" s="81"/>
      <c r="AI363" s="81"/>
      <c r="AJ363" s="81"/>
    </row>
    <row r="364" spans="4:36">
      <c r="D364" t="s">
        <v>79</v>
      </c>
      <c r="E364" t="s">
        <v>68</v>
      </c>
      <c r="F364" s="435" t="s">
        <v>1869</v>
      </c>
      <c r="G364" s="435" t="s">
        <v>86</v>
      </c>
      <c r="H364" t="s">
        <v>264</v>
      </c>
      <c r="I364" t="s">
        <v>7</v>
      </c>
      <c r="J364" t="s">
        <v>299</v>
      </c>
      <c r="K364" s="101"/>
      <c r="L364" s="101"/>
      <c r="N364" t="s">
        <v>202</v>
      </c>
      <c r="O364" t="s">
        <v>202</v>
      </c>
      <c r="P364" s="81"/>
      <c r="Q364" s="81"/>
      <c r="R364" s="435"/>
      <c r="S364" s="435"/>
      <c r="U364" s="81"/>
      <c r="V364" s="81" t="str">
        <f>IF(U364="","",VLOOKUP(U364,'1.3 Lists'!$L$10:$M$313,2,FALSE))</f>
        <v/>
      </c>
      <c r="AC364" t="s">
        <v>3</v>
      </c>
      <c r="AD364" s="81"/>
      <c r="AE364" s="81"/>
      <c r="AF364" s="81"/>
      <c r="AG364" s="81"/>
      <c r="AH364" s="81"/>
      <c r="AI364" s="81"/>
      <c r="AJ364" s="81"/>
    </row>
    <row r="365" spans="4:36">
      <c r="D365" t="s">
        <v>79</v>
      </c>
      <c r="E365" t="s">
        <v>68</v>
      </c>
      <c r="F365" s="435" t="s">
        <v>1869</v>
      </c>
      <c r="G365" s="435" t="s">
        <v>86</v>
      </c>
      <c r="H365" t="s">
        <v>264</v>
      </c>
      <c r="I365" t="s">
        <v>7</v>
      </c>
      <c r="J365" t="s">
        <v>299</v>
      </c>
      <c r="K365" s="101"/>
      <c r="L365" s="101"/>
      <c r="N365" t="s">
        <v>202</v>
      </c>
      <c r="O365" t="s">
        <v>202</v>
      </c>
      <c r="P365" s="81"/>
      <c r="Q365" s="81"/>
      <c r="R365" s="435"/>
      <c r="S365" s="435"/>
      <c r="U365" s="81"/>
      <c r="V365" s="81" t="str">
        <f>IF(U365="","",VLOOKUP(U365,'1.3 Lists'!$L$10:$M$313,2,FALSE))</f>
        <v/>
      </c>
      <c r="AC365" t="s">
        <v>3</v>
      </c>
      <c r="AD365" s="81"/>
      <c r="AE365" s="81"/>
      <c r="AF365" s="81"/>
      <c r="AG365" s="81"/>
      <c r="AH365" s="81"/>
      <c r="AI365" s="81"/>
      <c r="AJ365" s="81"/>
    </row>
    <row r="366" spans="4:36">
      <c r="D366" t="s">
        <v>79</v>
      </c>
      <c r="E366" t="s">
        <v>68</v>
      </c>
      <c r="F366" s="435" t="s">
        <v>1869</v>
      </c>
      <c r="G366" s="435" t="s">
        <v>86</v>
      </c>
      <c r="H366" t="s">
        <v>264</v>
      </c>
      <c r="I366" t="s">
        <v>7</v>
      </c>
      <c r="J366" t="s">
        <v>299</v>
      </c>
      <c r="K366" s="101"/>
      <c r="L366" s="101"/>
      <c r="N366" t="s">
        <v>202</v>
      </c>
      <c r="O366" t="s">
        <v>202</v>
      </c>
      <c r="P366" s="81"/>
      <c r="Q366" s="81"/>
      <c r="R366" s="435"/>
      <c r="S366" s="435"/>
      <c r="U366" s="81"/>
      <c r="V366" s="81" t="str">
        <f>IF(U366="","",VLOOKUP(U366,'1.3 Lists'!$L$10:$M$313,2,FALSE))</f>
        <v/>
      </c>
      <c r="AC366" t="s">
        <v>3</v>
      </c>
      <c r="AD366" s="81"/>
      <c r="AE366" s="81"/>
      <c r="AF366" s="81"/>
      <c r="AG366" s="81"/>
      <c r="AH366" s="81"/>
      <c r="AI366" s="81"/>
      <c r="AJ366" s="81"/>
    </row>
    <row r="367" spans="4:36">
      <c r="D367" t="s">
        <v>79</v>
      </c>
      <c r="E367" t="s">
        <v>68</v>
      </c>
      <c r="F367" s="435" t="s">
        <v>1869</v>
      </c>
      <c r="G367" s="435" t="s">
        <v>86</v>
      </c>
      <c r="H367" t="s">
        <v>264</v>
      </c>
      <c r="I367" t="s">
        <v>7</v>
      </c>
      <c r="J367" t="s">
        <v>299</v>
      </c>
      <c r="K367" s="101"/>
      <c r="L367" s="101"/>
      <c r="N367" t="s">
        <v>202</v>
      </c>
      <c r="O367" t="s">
        <v>202</v>
      </c>
      <c r="P367" s="81"/>
      <c r="Q367" s="81"/>
      <c r="R367" s="435"/>
      <c r="S367" s="435"/>
      <c r="U367" s="81"/>
      <c r="V367" s="81" t="str">
        <f>IF(U367="","",VLOOKUP(U367,'1.3 Lists'!$L$10:$M$313,2,FALSE))</f>
        <v/>
      </c>
      <c r="AC367" t="s">
        <v>3</v>
      </c>
      <c r="AD367" s="81"/>
      <c r="AE367" s="81"/>
      <c r="AF367" s="81"/>
      <c r="AG367" s="81"/>
      <c r="AH367" s="81"/>
      <c r="AI367" s="81"/>
      <c r="AJ367" s="81"/>
    </row>
    <row r="368" spans="4:36">
      <c r="D368" t="s">
        <v>79</v>
      </c>
      <c r="E368" t="s">
        <v>68</v>
      </c>
      <c r="F368" s="435" t="s">
        <v>1869</v>
      </c>
      <c r="G368" s="435" t="s">
        <v>86</v>
      </c>
      <c r="H368" t="s">
        <v>264</v>
      </c>
      <c r="I368" t="s">
        <v>7</v>
      </c>
      <c r="J368" t="s">
        <v>299</v>
      </c>
      <c r="K368" s="101"/>
      <c r="L368" s="101"/>
      <c r="N368" t="s">
        <v>202</v>
      </c>
      <c r="O368" t="s">
        <v>202</v>
      </c>
      <c r="P368" s="81"/>
      <c r="Q368" s="81"/>
      <c r="R368" s="435"/>
      <c r="S368" s="435"/>
      <c r="U368" s="81"/>
      <c r="V368" s="81" t="str">
        <f>IF(U368="","",VLOOKUP(U368,'1.3 Lists'!$L$10:$M$313,2,FALSE))</f>
        <v/>
      </c>
      <c r="AC368" t="s">
        <v>3</v>
      </c>
      <c r="AD368" s="81"/>
      <c r="AE368" s="81"/>
      <c r="AF368" s="81"/>
      <c r="AG368" s="81"/>
      <c r="AH368" s="81"/>
      <c r="AI368" s="81"/>
      <c r="AJ368" s="81"/>
    </row>
    <row r="369" spans="4:36">
      <c r="D369" t="s">
        <v>79</v>
      </c>
      <c r="E369" t="s">
        <v>68</v>
      </c>
      <c r="F369" s="435" t="s">
        <v>1869</v>
      </c>
      <c r="G369" s="435" t="s">
        <v>86</v>
      </c>
      <c r="H369" t="s">
        <v>264</v>
      </c>
      <c r="I369" t="s">
        <v>7</v>
      </c>
      <c r="J369" t="s">
        <v>299</v>
      </c>
      <c r="K369" s="101"/>
      <c r="L369" s="101"/>
      <c r="N369" t="s">
        <v>202</v>
      </c>
      <c r="O369" t="s">
        <v>202</v>
      </c>
      <c r="P369" s="81"/>
      <c r="Q369" s="81"/>
      <c r="R369" s="435"/>
      <c r="S369" s="435"/>
      <c r="U369" s="81"/>
      <c r="V369" s="81" t="str">
        <f>IF(U369="","",VLOOKUP(U369,'1.3 Lists'!$L$10:$M$313,2,FALSE))</f>
        <v/>
      </c>
      <c r="AC369" t="s">
        <v>3</v>
      </c>
      <c r="AD369" s="81"/>
      <c r="AE369" s="81"/>
      <c r="AF369" s="81"/>
      <c r="AG369" s="81"/>
      <c r="AH369" s="81"/>
      <c r="AI369" s="81"/>
      <c r="AJ369" s="81"/>
    </row>
    <row r="370" spans="4:36">
      <c r="D370" t="s">
        <v>79</v>
      </c>
      <c r="E370" t="s">
        <v>68</v>
      </c>
      <c r="F370" s="435" t="s">
        <v>1869</v>
      </c>
      <c r="G370" s="435" t="s">
        <v>86</v>
      </c>
      <c r="H370" t="s">
        <v>264</v>
      </c>
      <c r="I370" t="s">
        <v>7</v>
      </c>
      <c r="J370" t="s">
        <v>299</v>
      </c>
      <c r="K370" s="101"/>
      <c r="L370" s="101"/>
      <c r="N370" t="s">
        <v>202</v>
      </c>
      <c r="O370" t="s">
        <v>202</v>
      </c>
      <c r="P370" s="81"/>
      <c r="Q370" s="81"/>
      <c r="R370" s="435"/>
      <c r="S370" s="435"/>
      <c r="U370" s="81"/>
      <c r="V370" s="81" t="str">
        <f>IF(U370="","",VLOOKUP(U370,'1.3 Lists'!$L$10:$M$313,2,FALSE))</f>
        <v/>
      </c>
      <c r="AC370" t="s">
        <v>3</v>
      </c>
      <c r="AD370" s="81"/>
      <c r="AE370" s="81"/>
      <c r="AF370" s="81"/>
      <c r="AG370" s="81"/>
      <c r="AH370" s="81"/>
      <c r="AI370" s="81"/>
      <c r="AJ370" s="81"/>
    </row>
    <row r="371" spans="4:36">
      <c r="D371" t="s">
        <v>79</v>
      </c>
      <c r="E371" t="s">
        <v>68</v>
      </c>
      <c r="F371" s="435" t="s">
        <v>1869</v>
      </c>
      <c r="G371" s="435" t="s">
        <v>86</v>
      </c>
      <c r="H371" t="s">
        <v>264</v>
      </c>
      <c r="I371" t="s">
        <v>7</v>
      </c>
      <c r="J371" t="s">
        <v>299</v>
      </c>
      <c r="N371" t="s">
        <v>202</v>
      </c>
      <c r="O371" t="s">
        <v>202</v>
      </c>
      <c r="P371" s="81"/>
      <c r="Q371" s="81"/>
      <c r="R371" s="435"/>
      <c r="S371" s="435"/>
      <c r="U371" s="81"/>
      <c r="V371" s="81" t="str">
        <f>IF(U371="","",VLOOKUP(U371,'1.3 Lists'!$L$10:$M$313,2,FALSE))</f>
        <v/>
      </c>
      <c r="AC371" t="s">
        <v>3</v>
      </c>
      <c r="AD371" s="81"/>
      <c r="AE371" s="81"/>
      <c r="AF371" s="81"/>
      <c r="AG371" s="81"/>
      <c r="AH371" s="81"/>
      <c r="AI371" s="81"/>
      <c r="AJ371" s="81"/>
    </row>
    <row r="372" spans="4:36">
      <c r="D372" t="s">
        <v>79</v>
      </c>
      <c r="E372" t="s">
        <v>68</v>
      </c>
      <c r="F372" s="435" t="s">
        <v>1869</v>
      </c>
      <c r="G372" s="435" t="s">
        <v>86</v>
      </c>
      <c r="H372" t="s">
        <v>264</v>
      </c>
      <c r="I372" t="s">
        <v>7</v>
      </c>
      <c r="J372" t="s">
        <v>299</v>
      </c>
      <c r="N372" t="s">
        <v>202</v>
      </c>
      <c r="O372" t="s">
        <v>202</v>
      </c>
      <c r="P372" s="81"/>
      <c r="Q372" s="81"/>
      <c r="R372" s="435"/>
      <c r="S372" s="435"/>
      <c r="U372" s="81"/>
      <c r="V372" s="81" t="str">
        <f>IF(U372="","",VLOOKUP(U372,'1.3 Lists'!$L$10:$M$313,2,FALSE))</f>
        <v/>
      </c>
      <c r="AC372" t="s">
        <v>3</v>
      </c>
      <c r="AD372" s="81"/>
      <c r="AE372" s="81"/>
      <c r="AF372" s="81"/>
      <c r="AG372" s="81"/>
      <c r="AH372" s="81"/>
      <c r="AI372" s="81"/>
      <c r="AJ372" s="81"/>
    </row>
    <row r="373" spans="4:36">
      <c r="D373" t="s">
        <v>79</v>
      </c>
      <c r="E373" t="s">
        <v>68</v>
      </c>
      <c r="F373" s="435" t="s">
        <v>1869</v>
      </c>
      <c r="G373" s="435" t="s">
        <v>86</v>
      </c>
      <c r="H373" t="s">
        <v>264</v>
      </c>
      <c r="I373" t="s">
        <v>7</v>
      </c>
      <c r="J373" t="s">
        <v>299</v>
      </c>
      <c r="N373" t="s">
        <v>202</v>
      </c>
      <c r="O373" t="s">
        <v>202</v>
      </c>
      <c r="P373" s="81"/>
      <c r="Q373" s="81"/>
      <c r="R373" s="435"/>
      <c r="S373" s="435"/>
      <c r="U373" s="81"/>
      <c r="V373" s="81" t="str">
        <f>IF(U373="","",VLOOKUP(U373,'1.3 Lists'!$L$10:$M$313,2,FALSE))</f>
        <v/>
      </c>
      <c r="AC373" t="s">
        <v>3</v>
      </c>
      <c r="AD373" s="81"/>
      <c r="AE373" s="81"/>
      <c r="AF373" s="81"/>
      <c r="AG373" s="81"/>
      <c r="AH373" s="81"/>
      <c r="AI373" s="81"/>
      <c r="AJ373" s="81"/>
    </row>
    <row r="374" spans="4:36">
      <c r="D374" t="s">
        <v>79</v>
      </c>
      <c r="E374" t="s">
        <v>68</v>
      </c>
      <c r="F374" s="435" t="s">
        <v>1869</v>
      </c>
      <c r="G374" s="435" t="s">
        <v>86</v>
      </c>
      <c r="H374" t="s">
        <v>264</v>
      </c>
      <c r="I374" t="s">
        <v>7</v>
      </c>
      <c r="J374" t="s">
        <v>299</v>
      </c>
      <c r="N374" t="s">
        <v>202</v>
      </c>
      <c r="O374" t="s">
        <v>202</v>
      </c>
      <c r="P374" s="81"/>
      <c r="Q374" s="81"/>
      <c r="R374" s="435"/>
      <c r="S374" s="435"/>
      <c r="U374" s="81"/>
      <c r="V374" s="81" t="str">
        <f>IF(U374="","",VLOOKUP(U374,'1.3 Lists'!$L$10:$M$313,2,FALSE))</f>
        <v/>
      </c>
      <c r="AC374" t="s">
        <v>3</v>
      </c>
      <c r="AD374" s="81"/>
      <c r="AE374" s="81"/>
      <c r="AF374" s="81"/>
      <c r="AG374" s="81"/>
      <c r="AH374" s="81"/>
      <c r="AI374" s="81"/>
      <c r="AJ374" s="81"/>
    </row>
    <row r="375" spans="4:36">
      <c r="D375" t="s">
        <v>79</v>
      </c>
      <c r="E375" t="s">
        <v>68</v>
      </c>
      <c r="F375" s="435" t="s">
        <v>1869</v>
      </c>
      <c r="G375" s="435" t="s">
        <v>86</v>
      </c>
      <c r="H375" t="s">
        <v>264</v>
      </c>
      <c r="I375" t="s">
        <v>7</v>
      </c>
      <c r="J375" t="s">
        <v>299</v>
      </c>
      <c r="N375" t="s">
        <v>202</v>
      </c>
      <c r="O375" t="s">
        <v>202</v>
      </c>
      <c r="P375" s="81"/>
      <c r="Q375" s="81"/>
      <c r="R375" s="435"/>
      <c r="S375" s="435"/>
      <c r="U375" s="81"/>
      <c r="V375" s="81" t="str">
        <f>IF(U375="","",VLOOKUP(U375,'1.3 Lists'!$L$10:$M$313,2,FALSE))</f>
        <v/>
      </c>
      <c r="AC375" t="s">
        <v>3</v>
      </c>
      <c r="AD375" s="81"/>
      <c r="AE375" s="81"/>
      <c r="AF375" s="81"/>
      <c r="AG375" s="81"/>
      <c r="AH375" s="81"/>
      <c r="AI375" s="81"/>
      <c r="AJ375" s="81"/>
    </row>
    <row r="376" spans="4:36">
      <c r="D376" t="s">
        <v>79</v>
      </c>
      <c r="E376" t="s">
        <v>68</v>
      </c>
      <c r="F376" s="435" t="s">
        <v>1869</v>
      </c>
      <c r="G376" s="435" t="s">
        <v>86</v>
      </c>
      <c r="H376" t="s">
        <v>264</v>
      </c>
      <c r="I376" t="s">
        <v>7</v>
      </c>
      <c r="J376" t="s">
        <v>299</v>
      </c>
      <c r="N376" t="s">
        <v>202</v>
      </c>
      <c r="O376" t="s">
        <v>202</v>
      </c>
      <c r="P376" s="81"/>
      <c r="Q376" s="81"/>
      <c r="R376" s="76"/>
      <c r="S376" s="76"/>
      <c r="T376" s="76"/>
      <c r="U376" s="81"/>
      <c r="V376" s="81" t="str">
        <f>IF(U376="","",VLOOKUP(U376,'1.3 Lists'!$L$10:$M$313,2,FALSE))</f>
        <v/>
      </c>
      <c r="AC376" t="s">
        <v>3</v>
      </c>
      <c r="AD376" s="81"/>
      <c r="AE376" s="81"/>
      <c r="AF376" s="81"/>
      <c r="AG376" s="81"/>
      <c r="AH376" s="81"/>
      <c r="AI376" s="81"/>
      <c r="AJ376" s="81"/>
    </row>
    <row r="377" spans="4:36">
      <c r="D377" t="s">
        <v>79</v>
      </c>
      <c r="E377" t="s">
        <v>68</v>
      </c>
      <c r="F377" s="435" t="s">
        <v>1869</v>
      </c>
      <c r="G377" s="435" t="s">
        <v>86</v>
      </c>
      <c r="H377" t="s">
        <v>264</v>
      </c>
      <c r="I377" t="s">
        <v>7</v>
      </c>
      <c r="J377" t="s">
        <v>299</v>
      </c>
      <c r="N377" t="s">
        <v>202</v>
      </c>
      <c r="O377" t="s">
        <v>202</v>
      </c>
      <c r="P377" s="81"/>
      <c r="Q377" s="81"/>
      <c r="R377" s="76"/>
      <c r="S377" s="76"/>
      <c r="T377" s="76"/>
      <c r="U377" s="81"/>
      <c r="V377" s="81" t="str">
        <f>IF(U377="","",VLOOKUP(U377,'1.3 Lists'!$L$10:$M$313,2,FALSE))</f>
        <v/>
      </c>
      <c r="AC377" t="s">
        <v>3</v>
      </c>
      <c r="AD377" s="81"/>
      <c r="AE377" s="81"/>
      <c r="AF377" s="81"/>
      <c r="AG377" s="81"/>
      <c r="AH377" s="81"/>
      <c r="AI377" s="81"/>
      <c r="AJ377" s="81"/>
    </row>
    <row r="378" spans="4:36">
      <c r="D378" t="s">
        <v>79</v>
      </c>
      <c r="E378" t="s">
        <v>68</v>
      </c>
      <c r="F378" s="435" t="s">
        <v>1869</v>
      </c>
      <c r="G378" s="435" t="s">
        <v>86</v>
      </c>
      <c r="H378" t="s">
        <v>264</v>
      </c>
      <c r="I378" t="s">
        <v>7</v>
      </c>
      <c r="J378" t="s">
        <v>299</v>
      </c>
      <c r="N378" t="s">
        <v>202</v>
      </c>
      <c r="O378" t="s">
        <v>202</v>
      </c>
      <c r="P378" s="81"/>
      <c r="Q378" s="81"/>
      <c r="R378" s="76"/>
      <c r="S378" s="76"/>
      <c r="T378" s="76"/>
      <c r="U378" s="81"/>
      <c r="V378" s="81" t="str">
        <f>IF(U378="","",VLOOKUP(U378,'1.3 Lists'!$L$10:$M$313,2,FALSE))</f>
        <v/>
      </c>
      <c r="AC378" t="s">
        <v>3</v>
      </c>
      <c r="AD378" s="81"/>
      <c r="AE378" s="81"/>
      <c r="AF378" s="81"/>
      <c r="AG378" s="81"/>
      <c r="AH378" s="81"/>
      <c r="AI378" s="81"/>
      <c r="AJ378" s="81"/>
    </row>
    <row r="379" spans="4:36">
      <c r="D379" t="s">
        <v>79</v>
      </c>
      <c r="E379" t="s">
        <v>68</v>
      </c>
      <c r="F379" s="435" t="s">
        <v>1869</v>
      </c>
      <c r="G379" s="435" t="s">
        <v>86</v>
      </c>
      <c r="H379" t="s">
        <v>264</v>
      </c>
      <c r="I379" t="s">
        <v>7</v>
      </c>
      <c r="J379" t="s">
        <v>299</v>
      </c>
      <c r="N379" t="s">
        <v>202</v>
      </c>
      <c r="O379" t="s">
        <v>202</v>
      </c>
      <c r="P379" s="81"/>
      <c r="Q379" s="81"/>
      <c r="R379" s="76"/>
      <c r="S379" s="76"/>
      <c r="T379" s="76"/>
      <c r="U379" s="81"/>
      <c r="V379" s="81" t="str">
        <f>IF(U379="","",VLOOKUP(U379,'1.3 Lists'!$L$10:$M$313,2,FALSE))</f>
        <v/>
      </c>
      <c r="AC379" t="s">
        <v>3</v>
      </c>
      <c r="AD379" s="81"/>
      <c r="AE379" s="81"/>
      <c r="AF379" s="81"/>
      <c r="AG379" s="81"/>
      <c r="AH379" s="81"/>
      <c r="AI379" s="81"/>
      <c r="AJ379" s="81"/>
    </row>
    <row r="380" spans="4:36">
      <c r="D380" t="s">
        <v>79</v>
      </c>
      <c r="E380" t="s">
        <v>68</v>
      </c>
      <c r="F380" s="435" t="s">
        <v>1869</v>
      </c>
      <c r="G380" s="435" t="s">
        <v>86</v>
      </c>
      <c r="H380" t="s">
        <v>264</v>
      </c>
      <c r="I380" t="s">
        <v>7</v>
      </c>
      <c r="J380" t="s">
        <v>299</v>
      </c>
      <c r="N380" t="s">
        <v>202</v>
      </c>
      <c r="O380" t="s">
        <v>202</v>
      </c>
      <c r="P380" s="81"/>
      <c r="Q380" s="81"/>
      <c r="R380" s="76"/>
      <c r="S380" s="76"/>
      <c r="T380" s="76"/>
      <c r="U380" s="81"/>
      <c r="V380" s="81" t="str">
        <f>IF(U380="","",VLOOKUP(U380,'1.3 Lists'!$L$10:$M$313,2,FALSE))</f>
        <v/>
      </c>
      <c r="AC380" t="s">
        <v>3</v>
      </c>
      <c r="AD380" s="81"/>
      <c r="AE380" s="81"/>
      <c r="AF380" s="81"/>
      <c r="AG380" s="81"/>
      <c r="AH380" s="81"/>
      <c r="AI380" s="81"/>
      <c r="AJ380" s="81"/>
    </row>
    <row r="381" spans="4:36">
      <c r="D381" t="s">
        <v>79</v>
      </c>
      <c r="E381" t="s">
        <v>68</v>
      </c>
      <c r="F381" s="435" t="s">
        <v>1869</v>
      </c>
      <c r="G381" s="435" t="s">
        <v>86</v>
      </c>
      <c r="H381" t="s">
        <v>264</v>
      </c>
      <c r="I381" t="s">
        <v>7</v>
      </c>
      <c r="J381" t="s">
        <v>299</v>
      </c>
      <c r="N381" t="s">
        <v>202</v>
      </c>
      <c r="O381" t="s">
        <v>202</v>
      </c>
      <c r="P381" s="81"/>
      <c r="Q381" s="81"/>
      <c r="R381" s="76"/>
      <c r="S381" s="76"/>
      <c r="T381" s="76"/>
      <c r="U381" s="81"/>
      <c r="V381" s="81" t="str">
        <f>IF(U381="","",VLOOKUP(U381,'1.3 Lists'!$L$10:$M$313,2,FALSE))</f>
        <v/>
      </c>
      <c r="AC381" t="s">
        <v>3</v>
      </c>
      <c r="AD381" s="81"/>
      <c r="AE381" s="81"/>
      <c r="AF381" s="81"/>
      <c r="AG381" s="81"/>
      <c r="AH381" s="81"/>
      <c r="AI381" s="81"/>
      <c r="AJ381" s="81"/>
    </row>
    <row r="382" spans="4:36">
      <c r="D382" t="s">
        <v>79</v>
      </c>
      <c r="E382" t="s">
        <v>68</v>
      </c>
      <c r="F382" s="435" t="s">
        <v>1869</v>
      </c>
      <c r="G382" s="435" t="s">
        <v>86</v>
      </c>
      <c r="H382" t="s">
        <v>264</v>
      </c>
      <c r="I382" t="s">
        <v>7</v>
      </c>
      <c r="J382" t="s">
        <v>299</v>
      </c>
      <c r="N382" t="s">
        <v>202</v>
      </c>
      <c r="O382" t="s">
        <v>202</v>
      </c>
      <c r="P382" s="81"/>
      <c r="Q382" s="81"/>
      <c r="R382" s="76"/>
      <c r="S382" s="76"/>
      <c r="T382" s="76"/>
      <c r="U382" s="81"/>
      <c r="V382" s="81" t="str">
        <f>IF(U382="","",VLOOKUP(U382,'1.3 Lists'!$L$10:$M$313,2,FALSE))</f>
        <v/>
      </c>
      <c r="AC382" t="s">
        <v>3</v>
      </c>
      <c r="AD382" s="81"/>
      <c r="AE382" s="81"/>
      <c r="AF382" s="81"/>
      <c r="AG382" s="81"/>
      <c r="AH382" s="81"/>
      <c r="AI382" s="81"/>
      <c r="AJ382" s="81"/>
    </row>
    <row r="383" spans="4:36">
      <c r="D383" t="s">
        <v>79</v>
      </c>
      <c r="E383" t="s">
        <v>68</v>
      </c>
      <c r="F383" s="435" t="s">
        <v>1869</v>
      </c>
      <c r="G383" s="435" t="s">
        <v>86</v>
      </c>
      <c r="H383" t="s">
        <v>264</v>
      </c>
      <c r="I383" t="s">
        <v>7</v>
      </c>
      <c r="J383" t="s">
        <v>299</v>
      </c>
      <c r="N383" t="s">
        <v>202</v>
      </c>
      <c r="O383" t="s">
        <v>202</v>
      </c>
      <c r="P383" s="81"/>
      <c r="Q383" s="81"/>
      <c r="R383" s="76"/>
      <c r="S383" s="76"/>
      <c r="T383" s="76"/>
      <c r="U383" s="81"/>
      <c r="V383" s="81" t="str">
        <f>IF(U383="","",VLOOKUP(U383,'1.3 Lists'!$L$10:$M$313,2,FALSE))</f>
        <v/>
      </c>
      <c r="AC383" t="s">
        <v>3</v>
      </c>
      <c r="AD383" s="81"/>
      <c r="AE383" s="81"/>
      <c r="AF383" s="81"/>
      <c r="AG383" s="81"/>
      <c r="AH383" s="81"/>
      <c r="AI383" s="81"/>
      <c r="AJ383" s="81"/>
    </row>
    <row r="384" spans="4:36" s="67" customFormat="1">
      <c r="D384" t="s">
        <v>79</v>
      </c>
      <c r="E384" t="s">
        <v>68</v>
      </c>
      <c r="F384" s="435" t="s">
        <v>1869</v>
      </c>
      <c r="G384" s="435" t="s">
        <v>86</v>
      </c>
      <c r="H384" t="s">
        <v>264</v>
      </c>
      <c r="I384" t="s">
        <v>7</v>
      </c>
      <c r="J384" t="s">
        <v>299</v>
      </c>
      <c r="K384"/>
      <c r="L384"/>
      <c r="M384"/>
      <c r="N384" t="s">
        <v>202</v>
      </c>
      <c r="O384" t="s">
        <v>202</v>
      </c>
      <c r="P384" s="81"/>
      <c r="Q384" s="81"/>
      <c r="R384" s="76"/>
      <c r="S384" s="76"/>
      <c r="T384" s="76"/>
      <c r="U384" s="81"/>
      <c r="V384" s="81" t="str">
        <f>IF(U384="","",VLOOKUP(U384,'1.3 Lists'!$L$10:$M$313,2,FALSE))</f>
        <v/>
      </c>
      <c r="W384"/>
      <c r="X384"/>
      <c r="Y384"/>
      <c r="Z384"/>
      <c r="AA384"/>
      <c r="AB384"/>
      <c r="AC384" t="s">
        <v>3</v>
      </c>
      <c r="AD384" s="81"/>
      <c r="AE384" s="81"/>
      <c r="AF384" s="81"/>
      <c r="AG384" s="81"/>
      <c r="AH384" s="81"/>
      <c r="AI384" s="81"/>
      <c r="AJ384" s="81"/>
    </row>
    <row r="386" spans="1:1" s="73" customFormat="1" ht="18">
      <c r="A386" s="74" t="s">
        <v>76</v>
      </c>
    </row>
  </sheetData>
  <mergeCells count="1">
    <mergeCell ref="AE6:AI6"/>
  </mergeCells>
  <dataValidations count="2">
    <dataValidation type="list" allowBlank="1" showInputMessage="1" showErrorMessage="1" sqref="P69:P384" xr:uid="{1E458BBB-1994-4567-9A74-5557EAAA0BDB}">
      <formula1>$P$13:$P$63</formula1>
    </dataValidation>
    <dataValidation type="list" allowBlank="1" showInputMessage="1" showErrorMessage="1" sqref="Q69:Q384" xr:uid="{7F558576-B25B-4588-9972-BAB1A07E0F9E}">
      <formula1>$Q$13:$Q$63</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Lists'!$L$11:$L$313</xm:f>
          </x14:formula1>
          <xm:sqref>U69:U384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J111"/>
  <sheetViews>
    <sheetView zoomScale="80" zoomScaleNormal="80" workbookViewId="0">
      <pane ySplit="8" topLeftCell="A9" activePane="bottomLeft" state="frozen"/>
      <selection activeCell="J37" sqref="J37"/>
      <selection pane="bottomLeft"/>
    </sheetView>
  </sheetViews>
  <sheetFormatPr defaultRowHeight="14.25"/>
  <cols>
    <col min="1" max="3" width="1.73046875" customWidth="1"/>
    <col min="4" max="4" width="8.73046875" bestFit="1" customWidth="1"/>
    <col min="5" max="5" width="5" bestFit="1" customWidth="1"/>
    <col min="6" max="7" width="5" style="435" customWidth="1"/>
    <col min="8" max="8" width="13.73046875" bestFit="1" customWidth="1"/>
    <col min="9" max="9" width="9.3984375" bestFit="1" customWidth="1"/>
    <col min="10" max="10" width="23.3984375" bestFit="1" customWidth="1"/>
    <col min="11" max="11" width="22" bestFit="1" customWidth="1"/>
    <col min="12" max="13" width="1.73046875" customWidth="1"/>
    <col min="14" max="14" width="19.265625" bestFit="1" customWidth="1"/>
    <col min="15" max="15" width="7.265625" bestFit="1" customWidth="1"/>
    <col min="16" max="16" width="14.265625" bestFit="1" customWidth="1"/>
    <col min="17" max="17" width="17.1328125" bestFit="1" customWidth="1"/>
    <col min="18" max="18" width="17.265625" bestFit="1" customWidth="1"/>
    <col min="19" max="19" width="22.73046875" bestFit="1" customWidth="1"/>
    <col min="20" max="20" width="30.73046875" bestFit="1" customWidth="1"/>
    <col min="21" max="21" width="20.73046875" customWidth="1"/>
    <col min="22" max="22" width="10.265625" bestFit="1" customWidth="1"/>
    <col min="23" max="23" width="11.1328125" customWidth="1"/>
    <col min="24" max="24" width="9.86328125" customWidth="1"/>
    <col min="25" max="28" width="1.73046875" hidden="1" customWidth="1"/>
    <col min="29" max="29" width="5" bestFit="1" customWidth="1"/>
    <col min="30" max="30" width="7.86328125" bestFit="1" customWidth="1"/>
    <col min="36" max="36" width="8.1328125" bestFit="1" customWidth="1"/>
  </cols>
  <sheetData>
    <row r="1" spans="1:36" s="73" customFormat="1" ht="23.25">
      <c r="A1" s="89" t="str">
        <f>'1.1 Cover'!A2</f>
        <v>Regulatory Reporting Pack</v>
      </c>
    </row>
    <row r="2" spans="1:36" s="73" customFormat="1" ht="23.25">
      <c r="A2" s="89" t="str">
        <f>'1.1 Cover'!A3</f>
        <v>Price base - 2018/19</v>
      </c>
    </row>
    <row r="3" spans="1:36" s="73" customFormat="1" ht="23.25">
      <c r="A3" s="89" t="str">
        <f>'1.1 Cover'!A4</f>
        <v>Regulatory Year: April 2021 - March 2022</v>
      </c>
    </row>
    <row r="4" spans="1:36" s="73" customFormat="1" ht="23.25">
      <c r="A4" s="89" t="s">
        <v>262</v>
      </c>
    </row>
    <row r="6" spans="1:36">
      <c r="AD6" s="88" t="s">
        <v>113</v>
      </c>
      <c r="AE6" s="1347" t="s">
        <v>112</v>
      </c>
      <c r="AF6" s="1348"/>
      <c r="AG6" s="1348"/>
      <c r="AH6" s="1348"/>
      <c r="AI6" s="1349"/>
      <c r="AJ6" s="88" t="s">
        <v>2614</v>
      </c>
    </row>
    <row r="7" spans="1:36" s="67" customFormat="1">
      <c r="D7" s="87" t="s">
        <v>111</v>
      </c>
      <c r="E7" s="87" t="s">
        <v>68</v>
      </c>
      <c r="F7" s="87" t="s">
        <v>2680</v>
      </c>
      <c r="G7" s="87" t="s">
        <v>2681</v>
      </c>
      <c r="H7" s="87" t="s">
        <v>110</v>
      </c>
      <c r="I7" s="87" t="s">
        <v>109</v>
      </c>
      <c r="J7" s="87" t="s">
        <v>108</v>
      </c>
      <c r="K7" s="87" t="s">
        <v>107</v>
      </c>
      <c r="L7" s="87" t="s">
        <v>106</v>
      </c>
      <c r="M7" s="87" t="s">
        <v>105</v>
      </c>
      <c r="N7" s="87" t="s">
        <v>104</v>
      </c>
      <c r="O7" s="87" t="s">
        <v>103</v>
      </c>
      <c r="P7" s="87" t="s">
        <v>102</v>
      </c>
      <c r="Q7" s="87" t="s">
        <v>71</v>
      </c>
      <c r="R7" s="67" t="s">
        <v>249</v>
      </c>
      <c r="S7" s="67" t="s">
        <v>251</v>
      </c>
      <c r="T7" s="67" t="s">
        <v>250</v>
      </c>
      <c r="U7" s="67" t="s">
        <v>260</v>
      </c>
      <c r="V7" s="67" t="s">
        <v>163</v>
      </c>
      <c r="W7" s="67" t="s">
        <v>164</v>
      </c>
      <c r="X7" s="67" t="s">
        <v>267</v>
      </c>
      <c r="Y7" s="86" t="s">
        <v>94</v>
      </c>
      <c r="Z7" s="86" t="s">
        <v>93</v>
      </c>
      <c r="AA7" s="86" t="s">
        <v>92</v>
      </c>
      <c r="AB7" s="86" t="s">
        <v>91</v>
      </c>
      <c r="AC7" s="67" t="s">
        <v>5</v>
      </c>
      <c r="AD7" s="85" t="s">
        <v>88</v>
      </c>
      <c r="AE7" s="84">
        <v>2022</v>
      </c>
      <c r="AF7" s="83">
        <v>2023</v>
      </c>
      <c r="AG7" s="83">
        <v>2024</v>
      </c>
      <c r="AH7" s="83">
        <v>2025</v>
      </c>
      <c r="AI7" s="82">
        <v>2026</v>
      </c>
      <c r="AJ7" s="85" t="s">
        <v>2615</v>
      </c>
    </row>
    <row r="8" spans="1:36">
      <c r="R8" s="67"/>
      <c r="S8" s="67"/>
      <c r="T8" s="67"/>
      <c r="U8" s="67"/>
      <c r="V8" s="67"/>
      <c r="W8" s="67"/>
      <c r="X8" s="67"/>
    </row>
    <row r="9" spans="1:36" s="1" customFormat="1" ht="17.649999999999999">
      <c r="A9" s="2" t="s">
        <v>87</v>
      </c>
    </row>
    <row r="11" spans="1:36" s="1" customFormat="1" ht="13.9">
      <c r="A11" s="66"/>
      <c r="B11" s="78" t="s">
        <v>263</v>
      </c>
    </row>
    <row r="13" spans="1:36">
      <c r="D13" t="s">
        <v>79</v>
      </c>
      <c r="E13" t="s">
        <v>68</v>
      </c>
      <c r="F13" s="435" t="s">
        <v>274</v>
      </c>
      <c r="G13" s="435" t="s">
        <v>12</v>
      </c>
      <c r="H13" t="s">
        <v>264</v>
      </c>
      <c r="I13" t="s">
        <v>7</v>
      </c>
      <c r="J13" t="s">
        <v>265</v>
      </c>
      <c r="K13" t="s">
        <v>263</v>
      </c>
      <c r="N13" t="s">
        <v>263</v>
      </c>
      <c r="O13" t="s">
        <v>219</v>
      </c>
      <c r="P13" s="81"/>
      <c r="Q13" s="81"/>
      <c r="R13" s="123"/>
      <c r="S13" s="81"/>
      <c r="T13" s="81"/>
      <c r="U13" s="81"/>
      <c r="V13" s="81"/>
      <c r="W13" s="81"/>
      <c r="X13" s="81"/>
      <c r="AC13" t="s">
        <v>2</v>
      </c>
      <c r="AD13" s="81"/>
      <c r="AE13" s="81"/>
      <c r="AF13" s="81"/>
      <c r="AG13" s="81"/>
      <c r="AH13" s="81"/>
      <c r="AI13" s="81"/>
      <c r="AJ13" s="81"/>
    </row>
    <row r="14" spans="1:36">
      <c r="D14" t="s">
        <v>79</v>
      </c>
      <c r="E14" t="s">
        <v>68</v>
      </c>
      <c r="F14" s="435" t="s">
        <v>274</v>
      </c>
      <c r="G14" s="435" t="s">
        <v>12</v>
      </c>
      <c r="H14" t="s">
        <v>264</v>
      </c>
      <c r="I14" t="s">
        <v>7</v>
      </c>
      <c r="J14" t="s">
        <v>265</v>
      </c>
      <c r="K14" t="s">
        <v>263</v>
      </c>
      <c r="N14" t="s">
        <v>263</v>
      </c>
      <c r="O14" t="s">
        <v>219</v>
      </c>
      <c r="P14" s="81"/>
      <c r="Q14" s="81"/>
      <c r="R14" s="834"/>
      <c r="S14" s="834"/>
      <c r="T14" s="834"/>
      <c r="U14" s="834"/>
      <c r="V14" s="81"/>
      <c r="W14" s="81"/>
      <c r="X14" s="81"/>
      <c r="AC14" t="s">
        <v>2</v>
      </c>
      <c r="AD14" s="81"/>
      <c r="AE14" s="81"/>
      <c r="AF14" s="81"/>
      <c r="AG14" s="81"/>
      <c r="AH14" s="81"/>
      <c r="AI14" s="81"/>
      <c r="AJ14" s="81"/>
    </row>
    <row r="15" spans="1:36">
      <c r="D15" t="s">
        <v>79</v>
      </c>
      <c r="E15" t="s">
        <v>68</v>
      </c>
      <c r="F15" s="435" t="s">
        <v>274</v>
      </c>
      <c r="G15" s="435" t="s">
        <v>12</v>
      </c>
      <c r="H15" t="s">
        <v>264</v>
      </c>
      <c r="I15" t="s">
        <v>7</v>
      </c>
      <c r="J15" t="s">
        <v>265</v>
      </c>
      <c r="K15" t="s">
        <v>263</v>
      </c>
      <c r="N15" t="s">
        <v>263</v>
      </c>
      <c r="O15" t="s">
        <v>219</v>
      </c>
      <c r="P15" s="81"/>
      <c r="Q15" s="81"/>
      <c r="R15" s="834"/>
      <c r="S15" s="834"/>
      <c r="T15" s="834"/>
      <c r="U15" s="834"/>
      <c r="V15" s="81"/>
      <c r="W15" s="81"/>
      <c r="X15" s="81"/>
      <c r="AC15" t="s">
        <v>2</v>
      </c>
      <c r="AD15" s="81"/>
      <c r="AE15" s="81"/>
      <c r="AF15" s="81"/>
      <c r="AG15" s="81"/>
      <c r="AH15" s="81"/>
      <c r="AI15" s="81"/>
      <c r="AJ15" s="81"/>
    </row>
    <row r="16" spans="1:36">
      <c r="D16" t="s">
        <v>79</v>
      </c>
      <c r="E16" t="s">
        <v>68</v>
      </c>
      <c r="F16" s="435" t="s">
        <v>274</v>
      </c>
      <c r="G16" s="435" t="s">
        <v>12</v>
      </c>
      <c r="H16" t="s">
        <v>264</v>
      </c>
      <c r="I16" t="s">
        <v>7</v>
      </c>
      <c r="J16" t="s">
        <v>265</v>
      </c>
      <c r="K16" t="s">
        <v>263</v>
      </c>
      <c r="N16" t="s">
        <v>263</v>
      </c>
      <c r="O16" t="s">
        <v>219</v>
      </c>
      <c r="P16" s="81"/>
      <c r="Q16" s="81"/>
      <c r="R16" s="834"/>
      <c r="S16" s="834"/>
      <c r="T16" s="834"/>
      <c r="U16" s="834"/>
      <c r="V16" s="81"/>
      <c r="W16" s="81"/>
      <c r="X16" s="81"/>
      <c r="AC16" t="s">
        <v>2</v>
      </c>
      <c r="AD16" s="81"/>
      <c r="AE16" s="81"/>
      <c r="AF16" s="81"/>
      <c r="AG16" s="81"/>
      <c r="AH16" s="81"/>
      <c r="AI16" s="81"/>
      <c r="AJ16" s="81"/>
    </row>
    <row r="17" spans="4:36">
      <c r="D17" t="s">
        <v>79</v>
      </c>
      <c r="E17" t="s">
        <v>68</v>
      </c>
      <c r="F17" s="435" t="s">
        <v>274</v>
      </c>
      <c r="G17" s="435" t="s">
        <v>12</v>
      </c>
      <c r="H17" t="s">
        <v>264</v>
      </c>
      <c r="I17" t="s">
        <v>7</v>
      </c>
      <c r="J17" t="s">
        <v>265</v>
      </c>
      <c r="K17" t="s">
        <v>263</v>
      </c>
      <c r="N17" t="s">
        <v>263</v>
      </c>
      <c r="O17" t="s">
        <v>219</v>
      </c>
      <c r="P17" s="81"/>
      <c r="Q17" s="81"/>
      <c r="R17" s="834"/>
      <c r="S17" s="834"/>
      <c r="T17" s="834"/>
      <c r="U17" s="834"/>
      <c r="V17" s="81"/>
      <c r="W17" s="81"/>
      <c r="X17" s="81"/>
      <c r="AC17" t="s">
        <v>2</v>
      </c>
      <c r="AD17" s="81"/>
      <c r="AE17" s="81"/>
      <c r="AF17" s="81"/>
      <c r="AG17" s="81"/>
      <c r="AH17" s="81"/>
      <c r="AI17" s="81"/>
      <c r="AJ17" s="81"/>
    </row>
    <row r="18" spans="4:36">
      <c r="D18" t="s">
        <v>79</v>
      </c>
      <c r="E18" t="s">
        <v>68</v>
      </c>
      <c r="F18" s="435" t="s">
        <v>274</v>
      </c>
      <c r="G18" s="435" t="s">
        <v>12</v>
      </c>
      <c r="H18" t="s">
        <v>264</v>
      </c>
      <c r="I18" t="s">
        <v>7</v>
      </c>
      <c r="J18" t="s">
        <v>265</v>
      </c>
      <c r="K18" t="s">
        <v>263</v>
      </c>
      <c r="N18" t="s">
        <v>263</v>
      </c>
      <c r="O18" t="s">
        <v>219</v>
      </c>
      <c r="P18" s="81"/>
      <c r="Q18" s="81"/>
      <c r="R18" s="834"/>
      <c r="S18" s="834"/>
      <c r="T18" s="834"/>
      <c r="U18" s="834"/>
      <c r="V18" s="81"/>
      <c r="W18" s="81"/>
      <c r="X18" s="81"/>
      <c r="AC18" t="s">
        <v>2</v>
      </c>
      <c r="AD18" s="81"/>
      <c r="AE18" s="81"/>
      <c r="AF18" s="81"/>
      <c r="AG18" s="81"/>
      <c r="AH18" s="81"/>
      <c r="AI18" s="81"/>
      <c r="AJ18" s="81"/>
    </row>
    <row r="19" spans="4:36">
      <c r="D19" t="s">
        <v>79</v>
      </c>
      <c r="E19" t="s">
        <v>68</v>
      </c>
      <c r="F19" s="435" t="s">
        <v>274</v>
      </c>
      <c r="G19" s="435" t="s">
        <v>12</v>
      </c>
      <c r="H19" t="s">
        <v>264</v>
      </c>
      <c r="I19" t="s">
        <v>7</v>
      </c>
      <c r="J19" t="s">
        <v>265</v>
      </c>
      <c r="K19" t="s">
        <v>263</v>
      </c>
      <c r="N19" t="s">
        <v>263</v>
      </c>
      <c r="O19" t="s">
        <v>219</v>
      </c>
      <c r="P19" s="81"/>
      <c r="Q19" s="81"/>
      <c r="R19" s="834"/>
      <c r="S19" s="834"/>
      <c r="T19" s="834"/>
      <c r="U19" s="834"/>
      <c r="V19" s="81"/>
      <c r="W19" s="81"/>
      <c r="X19" s="81"/>
      <c r="AC19" t="s">
        <v>2</v>
      </c>
      <c r="AD19" s="81"/>
      <c r="AE19" s="81"/>
      <c r="AF19" s="81"/>
      <c r="AG19" s="81"/>
      <c r="AH19" s="81"/>
      <c r="AI19" s="81"/>
      <c r="AJ19" s="81"/>
    </row>
    <row r="20" spans="4:36">
      <c r="D20" t="s">
        <v>79</v>
      </c>
      <c r="E20" t="s">
        <v>68</v>
      </c>
      <c r="F20" s="435" t="s">
        <v>274</v>
      </c>
      <c r="G20" s="435" t="s">
        <v>12</v>
      </c>
      <c r="H20" t="s">
        <v>264</v>
      </c>
      <c r="I20" t="s">
        <v>7</v>
      </c>
      <c r="J20" t="s">
        <v>265</v>
      </c>
      <c r="K20" t="s">
        <v>263</v>
      </c>
      <c r="N20" t="s">
        <v>263</v>
      </c>
      <c r="O20" t="s">
        <v>219</v>
      </c>
      <c r="P20" s="81"/>
      <c r="Q20" s="81"/>
      <c r="R20" s="834"/>
      <c r="S20" s="834"/>
      <c r="T20" s="834"/>
      <c r="U20" s="834"/>
      <c r="V20" s="81"/>
      <c r="W20" s="81"/>
      <c r="X20" s="81"/>
      <c r="AC20" t="s">
        <v>2</v>
      </c>
      <c r="AD20" s="81"/>
      <c r="AE20" s="81"/>
      <c r="AF20" s="81"/>
      <c r="AG20" s="81"/>
      <c r="AH20" s="81"/>
      <c r="AI20" s="81"/>
      <c r="AJ20" s="81"/>
    </row>
    <row r="21" spans="4:36">
      <c r="D21" t="s">
        <v>79</v>
      </c>
      <c r="E21" t="s">
        <v>68</v>
      </c>
      <c r="F21" s="435" t="s">
        <v>274</v>
      </c>
      <c r="G21" s="435" t="s">
        <v>12</v>
      </c>
      <c r="H21" t="s">
        <v>264</v>
      </c>
      <c r="I21" t="s">
        <v>7</v>
      </c>
      <c r="J21" t="s">
        <v>265</v>
      </c>
      <c r="K21" t="s">
        <v>263</v>
      </c>
      <c r="N21" t="s">
        <v>263</v>
      </c>
      <c r="O21" t="s">
        <v>219</v>
      </c>
      <c r="P21" s="81"/>
      <c r="Q21" s="81"/>
      <c r="R21" s="834"/>
      <c r="S21" s="834"/>
      <c r="T21" s="834"/>
      <c r="U21" s="834"/>
      <c r="V21" s="81"/>
      <c r="W21" s="81"/>
      <c r="X21" s="81"/>
      <c r="AC21" t="s">
        <v>2</v>
      </c>
      <c r="AD21" s="81"/>
      <c r="AE21" s="81"/>
      <c r="AF21" s="81"/>
      <c r="AG21" s="81"/>
      <c r="AH21" s="81"/>
      <c r="AI21" s="81"/>
      <c r="AJ21" s="81"/>
    </row>
    <row r="22" spans="4:36">
      <c r="D22" t="s">
        <v>79</v>
      </c>
      <c r="E22" t="s">
        <v>68</v>
      </c>
      <c r="F22" s="435" t="s">
        <v>274</v>
      </c>
      <c r="G22" s="435" t="s">
        <v>12</v>
      </c>
      <c r="H22" t="s">
        <v>264</v>
      </c>
      <c r="I22" t="s">
        <v>7</v>
      </c>
      <c r="J22" t="s">
        <v>265</v>
      </c>
      <c r="K22" t="s">
        <v>263</v>
      </c>
      <c r="N22" t="s">
        <v>263</v>
      </c>
      <c r="O22" t="s">
        <v>219</v>
      </c>
      <c r="P22" s="81"/>
      <c r="Q22" s="81"/>
      <c r="R22" s="834"/>
      <c r="S22" s="834"/>
      <c r="T22" s="834"/>
      <c r="U22" s="834"/>
      <c r="V22" s="81"/>
      <c r="W22" s="81"/>
      <c r="X22" s="81"/>
      <c r="AC22" t="s">
        <v>2</v>
      </c>
      <c r="AD22" s="81"/>
      <c r="AE22" s="81"/>
      <c r="AF22" s="81"/>
      <c r="AG22" s="81"/>
      <c r="AH22" s="81"/>
      <c r="AI22" s="81"/>
      <c r="AJ22" s="81"/>
    </row>
    <row r="23" spans="4:36">
      <c r="D23" t="s">
        <v>79</v>
      </c>
      <c r="E23" t="s">
        <v>68</v>
      </c>
      <c r="F23" s="435" t="s">
        <v>274</v>
      </c>
      <c r="G23" s="435" t="s">
        <v>12</v>
      </c>
      <c r="H23" t="s">
        <v>264</v>
      </c>
      <c r="I23" t="s">
        <v>7</v>
      </c>
      <c r="J23" t="s">
        <v>265</v>
      </c>
      <c r="K23" t="s">
        <v>263</v>
      </c>
      <c r="N23" t="s">
        <v>263</v>
      </c>
      <c r="O23" t="s">
        <v>219</v>
      </c>
      <c r="P23" s="81"/>
      <c r="Q23" s="81"/>
      <c r="R23" s="834"/>
      <c r="S23" s="834"/>
      <c r="T23" s="834"/>
      <c r="U23" s="834"/>
      <c r="V23" s="81"/>
      <c r="W23" s="81"/>
      <c r="X23" s="81"/>
      <c r="AC23" t="s">
        <v>2</v>
      </c>
      <c r="AD23" s="81"/>
      <c r="AE23" s="81"/>
      <c r="AF23" s="81"/>
      <c r="AG23" s="81"/>
      <c r="AH23" s="81"/>
      <c r="AI23" s="81"/>
      <c r="AJ23" s="81"/>
    </row>
    <row r="24" spans="4:36">
      <c r="D24" t="s">
        <v>79</v>
      </c>
      <c r="E24" t="s">
        <v>68</v>
      </c>
      <c r="F24" s="435" t="s">
        <v>274</v>
      </c>
      <c r="G24" s="435" t="s">
        <v>12</v>
      </c>
      <c r="H24" t="s">
        <v>264</v>
      </c>
      <c r="I24" t="s">
        <v>7</v>
      </c>
      <c r="J24" t="s">
        <v>265</v>
      </c>
      <c r="K24" t="s">
        <v>263</v>
      </c>
      <c r="N24" t="s">
        <v>263</v>
      </c>
      <c r="O24" t="s">
        <v>219</v>
      </c>
      <c r="P24" s="81"/>
      <c r="Q24" s="81"/>
      <c r="R24" s="81"/>
      <c r="S24" s="81"/>
      <c r="T24" s="81"/>
      <c r="U24" s="81"/>
      <c r="V24" s="81"/>
      <c r="W24" s="81"/>
      <c r="X24" s="81"/>
      <c r="AC24" t="s">
        <v>2</v>
      </c>
      <c r="AD24" s="81"/>
      <c r="AE24" s="81"/>
      <c r="AF24" s="81"/>
      <c r="AG24" s="81"/>
      <c r="AH24" s="81"/>
      <c r="AI24" s="81"/>
      <c r="AJ24" s="81"/>
    </row>
    <row r="25" spans="4:36">
      <c r="D25" t="s">
        <v>79</v>
      </c>
      <c r="E25" t="s">
        <v>68</v>
      </c>
      <c r="F25" s="435" t="s">
        <v>274</v>
      </c>
      <c r="G25" s="435" t="s">
        <v>12</v>
      </c>
      <c r="H25" t="s">
        <v>264</v>
      </c>
      <c r="I25" t="s">
        <v>7</v>
      </c>
      <c r="J25" t="s">
        <v>265</v>
      </c>
      <c r="K25" t="s">
        <v>263</v>
      </c>
      <c r="N25" t="s">
        <v>263</v>
      </c>
      <c r="O25" t="s">
        <v>219</v>
      </c>
      <c r="P25" s="81"/>
      <c r="Q25" s="81"/>
      <c r="R25" s="81"/>
      <c r="S25" s="81"/>
      <c r="T25" s="81"/>
      <c r="U25" s="81"/>
      <c r="V25" s="81"/>
      <c r="W25" s="81"/>
      <c r="X25" s="81"/>
      <c r="AC25" t="s">
        <v>2</v>
      </c>
      <c r="AD25" s="81"/>
      <c r="AE25" s="81"/>
      <c r="AF25" s="81"/>
      <c r="AG25" s="81"/>
      <c r="AH25" s="81"/>
      <c r="AI25" s="81"/>
      <c r="AJ25" s="81"/>
    </row>
    <row r="26" spans="4:36">
      <c r="D26" t="s">
        <v>79</v>
      </c>
      <c r="E26" t="s">
        <v>68</v>
      </c>
      <c r="F26" s="435" t="s">
        <v>274</v>
      </c>
      <c r="G26" s="435" t="s">
        <v>12</v>
      </c>
      <c r="H26" t="s">
        <v>264</v>
      </c>
      <c r="I26" t="s">
        <v>7</v>
      </c>
      <c r="J26" t="s">
        <v>265</v>
      </c>
      <c r="K26" t="s">
        <v>263</v>
      </c>
      <c r="N26" t="s">
        <v>263</v>
      </c>
      <c r="O26" t="s">
        <v>219</v>
      </c>
      <c r="P26" s="81"/>
      <c r="Q26" s="81"/>
      <c r="R26" s="81"/>
      <c r="S26" s="81"/>
      <c r="T26" s="81"/>
      <c r="U26" s="81"/>
      <c r="V26" s="81"/>
      <c r="W26" s="81"/>
      <c r="X26" s="81"/>
      <c r="AC26" t="s">
        <v>2</v>
      </c>
      <c r="AD26" s="81"/>
      <c r="AE26" s="81"/>
      <c r="AF26" s="81"/>
      <c r="AG26" s="81"/>
      <c r="AH26" s="81"/>
      <c r="AI26" s="81"/>
      <c r="AJ26" s="81"/>
    </row>
    <row r="27" spans="4:36">
      <c r="D27" t="s">
        <v>79</v>
      </c>
      <c r="E27" t="s">
        <v>68</v>
      </c>
      <c r="F27" s="435" t="s">
        <v>274</v>
      </c>
      <c r="G27" s="435" t="s">
        <v>12</v>
      </c>
      <c r="H27" t="s">
        <v>264</v>
      </c>
      <c r="I27" t="s">
        <v>7</v>
      </c>
      <c r="J27" t="s">
        <v>265</v>
      </c>
      <c r="K27" t="s">
        <v>263</v>
      </c>
      <c r="N27" t="s">
        <v>263</v>
      </c>
      <c r="O27" t="s">
        <v>219</v>
      </c>
      <c r="P27" s="81"/>
      <c r="Q27" s="81"/>
      <c r="R27" s="81"/>
      <c r="S27" s="81"/>
      <c r="T27" s="81"/>
      <c r="U27" s="81"/>
      <c r="V27" s="81"/>
      <c r="W27" s="81"/>
      <c r="X27" s="81"/>
      <c r="AC27" t="s">
        <v>2</v>
      </c>
      <c r="AD27" s="81"/>
      <c r="AE27" s="81"/>
      <c r="AF27" s="81"/>
      <c r="AG27" s="81"/>
      <c r="AH27" s="81"/>
      <c r="AI27" s="81"/>
      <c r="AJ27" s="81"/>
    </row>
    <row r="28" spans="4:36">
      <c r="D28" t="s">
        <v>79</v>
      </c>
      <c r="E28" t="s">
        <v>68</v>
      </c>
      <c r="F28" s="435" t="s">
        <v>274</v>
      </c>
      <c r="G28" s="435" t="s">
        <v>12</v>
      </c>
      <c r="H28" t="s">
        <v>264</v>
      </c>
      <c r="I28" t="s">
        <v>7</v>
      </c>
      <c r="J28" t="s">
        <v>265</v>
      </c>
      <c r="K28" t="s">
        <v>263</v>
      </c>
      <c r="N28" t="s">
        <v>263</v>
      </c>
      <c r="O28" t="s">
        <v>219</v>
      </c>
      <c r="P28" s="81"/>
      <c r="Q28" s="81"/>
      <c r="R28" s="81"/>
      <c r="S28" s="81"/>
      <c r="T28" s="81"/>
      <c r="U28" s="81"/>
      <c r="V28" s="81"/>
      <c r="W28" s="81"/>
      <c r="X28" s="81"/>
      <c r="AC28" t="s">
        <v>2</v>
      </c>
      <c r="AD28" s="81"/>
      <c r="AE28" s="81"/>
      <c r="AF28" s="81"/>
      <c r="AG28" s="81"/>
      <c r="AH28" s="81"/>
      <c r="AI28" s="81"/>
      <c r="AJ28" s="81"/>
    </row>
    <row r="29" spans="4:36">
      <c r="D29" t="s">
        <v>79</v>
      </c>
      <c r="E29" t="s">
        <v>68</v>
      </c>
      <c r="F29" s="435" t="s">
        <v>274</v>
      </c>
      <c r="G29" s="435" t="s">
        <v>12</v>
      </c>
      <c r="H29" t="s">
        <v>264</v>
      </c>
      <c r="I29" t="s">
        <v>7</v>
      </c>
      <c r="J29" t="s">
        <v>265</v>
      </c>
      <c r="K29" t="s">
        <v>263</v>
      </c>
      <c r="N29" t="s">
        <v>263</v>
      </c>
      <c r="O29" t="s">
        <v>219</v>
      </c>
      <c r="P29" s="81"/>
      <c r="Q29" s="81"/>
      <c r="R29" s="81"/>
      <c r="S29" s="81"/>
      <c r="T29" s="81"/>
      <c r="U29" s="81"/>
      <c r="V29" s="81"/>
      <c r="W29" s="81"/>
      <c r="X29" s="81"/>
      <c r="AC29" t="s">
        <v>2</v>
      </c>
      <c r="AD29" s="81"/>
      <c r="AE29" s="81"/>
      <c r="AF29" s="81"/>
      <c r="AG29" s="81"/>
      <c r="AH29" s="81"/>
      <c r="AI29" s="81"/>
      <c r="AJ29" s="81"/>
    </row>
    <row r="30" spans="4:36">
      <c r="D30" t="s">
        <v>79</v>
      </c>
      <c r="E30" t="s">
        <v>68</v>
      </c>
      <c r="F30" s="435" t="s">
        <v>274</v>
      </c>
      <c r="G30" s="435" t="s">
        <v>12</v>
      </c>
      <c r="H30" t="s">
        <v>264</v>
      </c>
      <c r="I30" t="s">
        <v>7</v>
      </c>
      <c r="J30" t="s">
        <v>265</v>
      </c>
      <c r="K30" t="s">
        <v>263</v>
      </c>
      <c r="N30" t="s">
        <v>263</v>
      </c>
      <c r="O30" t="s">
        <v>219</v>
      </c>
      <c r="P30" s="81"/>
      <c r="Q30" s="81"/>
      <c r="R30" s="81"/>
      <c r="S30" s="81"/>
      <c r="T30" s="81"/>
      <c r="U30" s="81"/>
      <c r="V30" s="81"/>
      <c r="W30" s="81"/>
      <c r="X30" s="81"/>
      <c r="AC30" t="s">
        <v>2</v>
      </c>
      <c r="AD30" s="81"/>
      <c r="AE30" s="81"/>
      <c r="AF30" s="81"/>
      <c r="AG30" s="81"/>
      <c r="AH30" s="81"/>
      <c r="AI30" s="81"/>
      <c r="AJ30" s="81"/>
    </row>
    <row r="31" spans="4:36">
      <c r="D31" t="s">
        <v>79</v>
      </c>
      <c r="E31" t="s">
        <v>68</v>
      </c>
      <c r="F31" s="435" t="s">
        <v>274</v>
      </c>
      <c r="G31" s="435" t="s">
        <v>12</v>
      </c>
      <c r="H31" t="s">
        <v>264</v>
      </c>
      <c r="I31" t="s">
        <v>7</v>
      </c>
      <c r="J31" t="s">
        <v>265</v>
      </c>
      <c r="K31" t="s">
        <v>263</v>
      </c>
      <c r="N31" t="s">
        <v>263</v>
      </c>
      <c r="O31" t="s">
        <v>219</v>
      </c>
      <c r="P31" s="81"/>
      <c r="Q31" s="81"/>
      <c r="R31" s="81"/>
      <c r="S31" s="81"/>
      <c r="T31" s="81"/>
      <c r="U31" s="81"/>
      <c r="V31" s="81"/>
      <c r="W31" s="81"/>
      <c r="X31" s="81"/>
      <c r="AC31" t="s">
        <v>2</v>
      </c>
      <c r="AD31" s="81"/>
      <c r="AE31" s="81"/>
      <c r="AF31" s="81"/>
      <c r="AG31" s="81"/>
      <c r="AH31" s="81"/>
      <c r="AI31" s="81"/>
      <c r="AJ31" s="81"/>
    </row>
    <row r="32" spans="4:36">
      <c r="D32" t="s">
        <v>79</v>
      </c>
      <c r="E32" t="s">
        <v>68</v>
      </c>
      <c r="F32" s="435" t="s">
        <v>274</v>
      </c>
      <c r="G32" s="435" t="s">
        <v>12</v>
      </c>
      <c r="H32" t="s">
        <v>264</v>
      </c>
      <c r="I32" t="s">
        <v>7</v>
      </c>
      <c r="J32" t="s">
        <v>265</v>
      </c>
      <c r="K32" t="s">
        <v>263</v>
      </c>
      <c r="N32" t="s">
        <v>263</v>
      </c>
      <c r="O32" t="s">
        <v>219</v>
      </c>
      <c r="P32" s="81"/>
      <c r="Q32" s="81"/>
      <c r="R32" s="81"/>
      <c r="S32" s="81"/>
      <c r="T32" s="81"/>
      <c r="U32" s="81"/>
      <c r="V32" s="81"/>
      <c r="W32" s="81"/>
      <c r="X32" s="81"/>
      <c r="AC32" t="s">
        <v>2</v>
      </c>
      <c r="AD32" s="81"/>
      <c r="AE32" s="81"/>
      <c r="AF32" s="81"/>
      <c r="AG32" s="81"/>
      <c r="AH32" s="81"/>
      <c r="AI32" s="81"/>
      <c r="AJ32" s="81"/>
    </row>
    <row r="33" spans="4:36">
      <c r="D33" t="s">
        <v>79</v>
      </c>
      <c r="E33" t="s">
        <v>68</v>
      </c>
      <c r="F33" s="435" t="s">
        <v>274</v>
      </c>
      <c r="G33" s="435" t="s">
        <v>12</v>
      </c>
      <c r="H33" t="s">
        <v>264</v>
      </c>
      <c r="I33" t="s">
        <v>7</v>
      </c>
      <c r="J33" t="s">
        <v>265</v>
      </c>
      <c r="K33" t="s">
        <v>263</v>
      </c>
      <c r="N33" t="s">
        <v>263</v>
      </c>
      <c r="O33" t="s">
        <v>219</v>
      </c>
      <c r="P33" s="81"/>
      <c r="Q33" s="81"/>
      <c r="R33" s="81"/>
      <c r="S33" s="81"/>
      <c r="T33" s="81"/>
      <c r="U33" s="81"/>
      <c r="V33" s="81"/>
      <c r="W33" s="81"/>
      <c r="X33" s="81"/>
      <c r="AC33" t="s">
        <v>2</v>
      </c>
      <c r="AD33" s="81"/>
      <c r="AE33" s="81"/>
      <c r="AF33" s="81"/>
      <c r="AG33" s="81"/>
      <c r="AH33" s="81"/>
      <c r="AI33" s="81"/>
      <c r="AJ33" s="81"/>
    </row>
    <row r="34" spans="4:36">
      <c r="D34" t="s">
        <v>79</v>
      </c>
      <c r="E34" t="s">
        <v>68</v>
      </c>
      <c r="F34" s="435" t="s">
        <v>274</v>
      </c>
      <c r="G34" s="435" t="s">
        <v>12</v>
      </c>
      <c r="H34" t="s">
        <v>264</v>
      </c>
      <c r="I34" t="s">
        <v>7</v>
      </c>
      <c r="J34" t="s">
        <v>265</v>
      </c>
      <c r="K34" t="s">
        <v>263</v>
      </c>
      <c r="N34" t="s">
        <v>263</v>
      </c>
      <c r="O34" t="s">
        <v>219</v>
      </c>
      <c r="P34" s="81"/>
      <c r="Q34" s="81"/>
      <c r="R34" s="81"/>
      <c r="S34" s="81"/>
      <c r="T34" s="81"/>
      <c r="U34" s="81"/>
      <c r="V34" s="81"/>
      <c r="W34" s="81"/>
      <c r="X34" s="81"/>
      <c r="AC34" t="s">
        <v>2</v>
      </c>
      <c r="AD34" s="81"/>
      <c r="AE34" s="81"/>
      <c r="AF34" s="81"/>
      <c r="AG34" s="81"/>
      <c r="AH34" s="81"/>
      <c r="AI34" s="81"/>
      <c r="AJ34" s="81"/>
    </row>
    <row r="35" spans="4:36">
      <c r="D35" t="s">
        <v>79</v>
      </c>
      <c r="E35" t="s">
        <v>68</v>
      </c>
      <c r="F35" s="435" t="s">
        <v>274</v>
      </c>
      <c r="G35" s="435" t="s">
        <v>12</v>
      </c>
      <c r="H35" t="s">
        <v>264</v>
      </c>
      <c r="I35" t="s">
        <v>7</v>
      </c>
      <c r="J35" t="s">
        <v>265</v>
      </c>
      <c r="K35" t="s">
        <v>263</v>
      </c>
      <c r="N35" t="s">
        <v>263</v>
      </c>
      <c r="O35" t="s">
        <v>219</v>
      </c>
      <c r="P35" s="81"/>
      <c r="Q35" s="81"/>
      <c r="R35" s="81"/>
      <c r="S35" s="81"/>
      <c r="T35" s="81"/>
      <c r="U35" s="81"/>
      <c r="V35" s="81"/>
      <c r="W35" s="81"/>
      <c r="X35" s="81"/>
      <c r="AC35" t="s">
        <v>2</v>
      </c>
      <c r="AD35" s="81"/>
      <c r="AE35" s="81"/>
      <c r="AF35" s="81"/>
      <c r="AG35" s="81"/>
      <c r="AH35" s="81"/>
      <c r="AI35" s="81"/>
      <c r="AJ35" s="81"/>
    </row>
    <row r="36" spans="4:36">
      <c r="D36" t="s">
        <v>79</v>
      </c>
      <c r="E36" t="s">
        <v>68</v>
      </c>
      <c r="F36" s="435" t="s">
        <v>274</v>
      </c>
      <c r="G36" s="435" t="s">
        <v>12</v>
      </c>
      <c r="H36" t="s">
        <v>264</v>
      </c>
      <c r="I36" t="s">
        <v>7</v>
      </c>
      <c r="J36" t="s">
        <v>265</v>
      </c>
      <c r="K36" t="s">
        <v>263</v>
      </c>
      <c r="N36" t="s">
        <v>263</v>
      </c>
      <c r="O36" t="s">
        <v>219</v>
      </c>
      <c r="P36" s="81"/>
      <c r="Q36" s="81"/>
      <c r="R36" s="81"/>
      <c r="S36" s="81"/>
      <c r="T36" s="81"/>
      <c r="U36" s="81"/>
      <c r="V36" s="81"/>
      <c r="W36" s="81"/>
      <c r="X36" s="81"/>
      <c r="AC36" t="s">
        <v>2</v>
      </c>
      <c r="AD36" s="81"/>
      <c r="AE36" s="81"/>
      <c r="AF36" s="81"/>
      <c r="AG36" s="81"/>
      <c r="AH36" s="81"/>
      <c r="AI36" s="81"/>
      <c r="AJ36" s="81"/>
    </row>
    <row r="37" spans="4:36">
      <c r="D37" t="s">
        <v>79</v>
      </c>
      <c r="E37" t="s">
        <v>68</v>
      </c>
      <c r="F37" s="435" t="s">
        <v>274</v>
      </c>
      <c r="G37" s="435" t="s">
        <v>12</v>
      </c>
      <c r="H37" t="s">
        <v>264</v>
      </c>
      <c r="I37" t="s">
        <v>7</v>
      </c>
      <c r="J37" t="s">
        <v>265</v>
      </c>
      <c r="K37" t="s">
        <v>263</v>
      </c>
      <c r="N37" t="s">
        <v>263</v>
      </c>
      <c r="O37" t="s">
        <v>219</v>
      </c>
      <c r="P37" s="81"/>
      <c r="Q37" s="81"/>
      <c r="R37" s="81"/>
      <c r="S37" s="81"/>
      <c r="T37" s="81"/>
      <c r="U37" s="81"/>
      <c r="V37" s="81"/>
      <c r="W37" s="81"/>
      <c r="X37" s="81"/>
      <c r="AC37" t="s">
        <v>2</v>
      </c>
      <c r="AD37" s="81"/>
      <c r="AE37" s="81"/>
      <c r="AF37" s="81"/>
      <c r="AG37" s="81"/>
      <c r="AH37" s="81"/>
      <c r="AI37" s="81"/>
      <c r="AJ37" s="81"/>
    </row>
    <row r="38" spans="4:36">
      <c r="D38" t="s">
        <v>79</v>
      </c>
      <c r="E38" t="s">
        <v>68</v>
      </c>
      <c r="F38" s="435" t="s">
        <v>274</v>
      </c>
      <c r="G38" s="435" t="s">
        <v>12</v>
      </c>
      <c r="H38" t="s">
        <v>264</v>
      </c>
      <c r="I38" t="s">
        <v>7</v>
      </c>
      <c r="J38" t="s">
        <v>265</v>
      </c>
      <c r="K38" t="s">
        <v>263</v>
      </c>
      <c r="N38" t="s">
        <v>263</v>
      </c>
      <c r="O38" t="s">
        <v>219</v>
      </c>
      <c r="P38" s="81"/>
      <c r="Q38" s="81"/>
      <c r="R38" s="81"/>
      <c r="S38" s="81"/>
      <c r="T38" s="81"/>
      <c r="U38" s="81"/>
      <c r="V38" s="81"/>
      <c r="W38" s="81"/>
      <c r="X38" s="81"/>
      <c r="AC38" t="s">
        <v>2</v>
      </c>
      <c r="AD38" s="81"/>
      <c r="AE38" s="81"/>
      <c r="AF38" s="81"/>
      <c r="AG38" s="81"/>
      <c r="AH38" s="81"/>
      <c r="AI38" s="81"/>
      <c r="AJ38" s="81"/>
    </row>
    <row r="39" spans="4:36">
      <c r="D39" t="s">
        <v>79</v>
      </c>
      <c r="E39" t="s">
        <v>68</v>
      </c>
      <c r="F39" s="435" t="s">
        <v>274</v>
      </c>
      <c r="G39" s="435" t="s">
        <v>12</v>
      </c>
      <c r="H39" t="s">
        <v>264</v>
      </c>
      <c r="I39" t="s">
        <v>7</v>
      </c>
      <c r="J39" t="s">
        <v>265</v>
      </c>
      <c r="K39" t="s">
        <v>263</v>
      </c>
      <c r="N39" t="s">
        <v>263</v>
      </c>
      <c r="O39" t="s">
        <v>219</v>
      </c>
      <c r="P39" s="81"/>
      <c r="Q39" s="81"/>
      <c r="R39" s="81"/>
      <c r="S39" s="81"/>
      <c r="T39" s="81"/>
      <c r="U39" s="81"/>
      <c r="V39" s="81"/>
      <c r="W39" s="81"/>
      <c r="X39" s="81"/>
      <c r="AC39" t="s">
        <v>2</v>
      </c>
      <c r="AD39" s="81"/>
      <c r="AE39" s="81"/>
      <c r="AF39" s="81"/>
      <c r="AG39" s="81"/>
      <c r="AH39" s="81"/>
      <c r="AI39" s="81"/>
      <c r="AJ39" s="81"/>
    </row>
    <row r="40" spans="4:36">
      <c r="D40" t="s">
        <v>79</v>
      </c>
      <c r="E40" t="s">
        <v>68</v>
      </c>
      <c r="F40" s="435" t="s">
        <v>274</v>
      </c>
      <c r="G40" s="435" t="s">
        <v>12</v>
      </c>
      <c r="H40" t="s">
        <v>264</v>
      </c>
      <c r="I40" t="s">
        <v>7</v>
      </c>
      <c r="J40" t="s">
        <v>265</v>
      </c>
      <c r="K40" t="s">
        <v>263</v>
      </c>
      <c r="N40" t="s">
        <v>263</v>
      </c>
      <c r="O40" t="s">
        <v>219</v>
      </c>
      <c r="P40" s="81"/>
      <c r="Q40" s="81"/>
      <c r="R40" s="81"/>
      <c r="S40" s="81"/>
      <c r="T40" s="81"/>
      <c r="U40" s="81"/>
      <c r="V40" s="81"/>
      <c r="W40" s="81"/>
      <c r="X40" s="81"/>
      <c r="AC40" t="s">
        <v>2</v>
      </c>
      <c r="AD40" s="81"/>
      <c r="AE40" s="81"/>
      <c r="AF40" s="81"/>
      <c r="AG40" s="81"/>
      <c r="AH40" s="81"/>
      <c r="AI40" s="81"/>
      <c r="AJ40" s="81"/>
    </row>
    <row r="41" spans="4:36">
      <c r="D41" t="s">
        <v>79</v>
      </c>
      <c r="E41" t="s">
        <v>68</v>
      </c>
      <c r="F41" s="435" t="s">
        <v>274</v>
      </c>
      <c r="G41" s="435" t="s">
        <v>12</v>
      </c>
      <c r="H41" t="s">
        <v>264</v>
      </c>
      <c r="I41" t="s">
        <v>7</v>
      </c>
      <c r="J41" t="s">
        <v>265</v>
      </c>
      <c r="K41" t="s">
        <v>263</v>
      </c>
      <c r="N41" t="s">
        <v>263</v>
      </c>
      <c r="O41" t="s">
        <v>219</v>
      </c>
      <c r="P41" s="81"/>
      <c r="Q41" s="81"/>
      <c r="R41" s="81"/>
      <c r="S41" s="81"/>
      <c r="T41" s="81"/>
      <c r="U41" s="81"/>
      <c r="V41" s="81"/>
      <c r="W41" s="81"/>
      <c r="X41" s="81"/>
      <c r="AC41" t="s">
        <v>2</v>
      </c>
      <c r="AD41" s="81"/>
      <c r="AE41" s="81"/>
      <c r="AF41" s="81"/>
      <c r="AG41" s="81"/>
      <c r="AH41" s="81"/>
      <c r="AI41" s="81"/>
      <c r="AJ41" s="81"/>
    </row>
    <row r="42" spans="4:36">
      <c r="D42" t="s">
        <v>79</v>
      </c>
      <c r="E42" t="s">
        <v>68</v>
      </c>
      <c r="F42" s="435" t="s">
        <v>274</v>
      </c>
      <c r="G42" s="435" t="s">
        <v>12</v>
      </c>
      <c r="H42" t="s">
        <v>264</v>
      </c>
      <c r="I42" t="s">
        <v>7</v>
      </c>
      <c r="J42" t="s">
        <v>265</v>
      </c>
      <c r="K42" t="s">
        <v>263</v>
      </c>
      <c r="N42" t="s">
        <v>263</v>
      </c>
      <c r="O42" t="s">
        <v>219</v>
      </c>
      <c r="P42" s="81"/>
      <c r="Q42" s="81"/>
      <c r="R42" s="81"/>
      <c r="S42" s="81"/>
      <c r="T42" s="81"/>
      <c r="U42" s="81"/>
      <c r="V42" s="81"/>
      <c r="W42" s="81"/>
      <c r="X42" s="81"/>
      <c r="AC42" t="s">
        <v>2</v>
      </c>
      <c r="AD42" s="81"/>
      <c r="AE42" s="81"/>
      <c r="AF42" s="81"/>
      <c r="AG42" s="81"/>
      <c r="AH42" s="81"/>
      <c r="AI42" s="81"/>
      <c r="AJ42" s="81"/>
    </row>
    <row r="43" spans="4:36">
      <c r="D43" t="s">
        <v>79</v>
      </c>
      <c r="E43" t="s">
        <v>68</v>
      </c>
      <c r="F43" s="435" t="s">
        <v>274</v>
      </c>
      <c r="G43" s="435" t="s">
        <v>12</v>
      </c>
      <c r="H43" t="s">
        <v>264</v>
      </c>
      <c r="I43" t="s">
        <v>7</v>
      </c>
      <c r="J43" t="s">
        <v>265</v>
      </c>
      <c r="K43" t="s">
        <v>263</v>
      </c>
      <c r="N43" t="s">
        <v>263</v>
      </c>
      <c r="O43" t="s">
        <v>219</v>
      </c>
      <c r="P43" s="81"/>
      <c r="Q43" s="81"/>
      <c r="R43" s="81"/>
      <c r="S43" s="81"/>
      <c r="T43" s="81"/>
      <c r="U43" s="81"/>
      <c r="V43" s="81"/>
      <c r="W43" s="81"/>
      <c r="X43" s="81"/>
      <c r="AC43" t="s">
        <v>2</v>
      </c>
      <c r="AD43" s="81"/>
      <c r="AE43" s="81"/>
      <c r="AF43" s="81"/>
      <c r="AG43" s="81"/>
      <c r="AH43" s="81"/>
      <c r="AI43" s="81"/>
      <c r="AJ43" s="81"/>
    </row>
    <row r="44" spans="4:36">
      <c r="D44" t="s">
        <v>79</v>
      </c>
      <c r="E44" t="s">
        <v>68</v>
      </c>
      <c r="F44" s="435" t="s">
        <v>274</v>
      </c>
      <c r="G44" s="435" t="s">
        <v>12</v>
      </c>
      <c r="H44" t="s">
        <v>264</v>
      </c>
      <c r="I44" t="s">
        <v>7</v>
      </c>
      <c r="J44" t="s">
        <v>265</v>
      </c>
      <c r="K44" t="s">
        <v>263</v>
      </c>
      <c r="N44" t="s">
        <v>263</v>
      </c>
      <c r="O44" t="s">
        <v>219</v>
      </c>
      <c r="P44" s="81"/>
      <c r="Q44" s="81"/>
      <c r="R44" s="81"/>
      <c r="S44" s="81"/>
      <c r="T44" s="81"/>
      <c r="U44" s="81"/>
      <c r="V44" s="81"/>
      <c r="W44" s="81"/>
      <c r="X44" s="81"/>
      <c r="AC44" t="s">
        <v>2</v>
      </c>
      <c r="AD44" s="81"/>
      <c r="AE44" s="81"/>
      <c r="AF44" s="81"/>
      <c r="AG44" s="81"/>
      <c r="AH44" s="81"/>
      <c r="AI44" s="81"/>
      <c r="AJ44" s="81"/>
    </row>
    <row r="45" spans="4:36">
      <c r="D45" t="s">
        <v>79</v>
      </c>
      <c r="E45" t="s">
        <v>68</v>
      </c>
      <c r="F45" s="435" t="s">
        <v>274</v>
      </c>
      <c r="G45" s="435" t="s">
        <v>12</v>
      </c>
      <c r="H45" t="s">
        <v>264</v>
      </c>
      <c r="I45" t="s">
        <v>7</v>
      </c>
      <c r="J45" t="s">
        <v>265</v>
      </c>
      <c r="K45" t="s">
        <v>263</v>
      </c>
      <c r="N45" t="s">
        <v>263</v>
      </c>
      <c r="O45" t="s">
        <v>219</v>
      </c>
      <c r="P45" s="81"/>
      <c r="Q45" s="81"/>
      <c r="R45" s="81"/>
      <c r="S45" s="81"/>
      <c r="T45" s="81"/>
      <c r="U45" s="81"/>
      <c r="V45" s="81"/>
      <c r="W45" s="81"/>
      <c r="X45" s="81"/>
      <c r="AC45" t="s">
        <v>2</v>
      </c>
      <c r="AD45" s="81"/>
      <c r="AE45" s="81"/>
      <c r="AF45" s="81"/>
      <c r="AG45" s="81"/>
      <c r="AH45" s="81"/>
      <c r="AI45" s="81"/>
      <c r="AJ45" s="81"/>
    </row>
    <row r="46" spans="4:36">
      <c r="D46" t="s">
        <v>79</v>
      </c>
      <c r="E46" t="s">
        <v>68</v>
      </c>
      <c r="F46" s="435" t="s">
        <v>274</v>
      </c>
      <c r="G46" s="435" t="s">
        <v>12</v>
      </c>
      <c r="H46" t="s">
        <v>264</v>
      </c>
      <c r="I46" t="s">
        <v>7</v>
      </c>
      <c r="J46" t="s">
        <v>265</v>
      </c>
      <c r="K46" t="s">
        <v>263</v>
      </c>
      <c r="N46" t="s">
        <v>263</v>
      </c>
      <c r="O46" t="s">
        <v>219</v>
      </c>
      <c r="P46" s="81"/>
      <c r="Q46" s="81"/>
      <c r="R46" s="81"/>
      <c r="S46" s="81"/>
      <c r="T46" s="81"/>
      <c r="U46" s="81"/>
      <c r="V46" s="81"/>
      <c r="W46" s="81"/>
      <c r="X46" s="81"/>
      <c r="AC46" t="s">
        <v>2</v>
      </c>
      <c r="AD46" s="81"/>
      <c r="AE46" s="81"/>
      <c r="AF46" s="81"/>
      <c r="AG46" s="81"/>
      <c r="AH46" s="81"/>
      <c r="AI46" s="81"/>
      <c r="AJ46" s="81"/>
    </row>
    <row r="47" spans="4:36">
      <c r="D47" t="s">
        <v>79</v>
      </c>
      <c r="E47" t="s">
        <v>68</v>
      </c>
      <c r="F47" s="435" t="s">
        <v>274</v>
      </c>
      <c r="G47" s="435" t="s">
        <v>12</v>
      </c>
      <c r="H47" t="s">
        <v>264</v>
      </c>
      <c r="I47" t="s">
        <v>7</v>
      </c>
      <c r="J47" t="s">
        <v>265</v>
      </c>
      <c r="K47" t="s">
        <v>263</v>
      </c>
      <c r="N47" t="s">
        <v>263</v>
      </c>
      <c r="O47" t="s">
        <v>219</v>
      </c>
      <c r="P47" s="81"/>
      <c r="Q47" s="81"/>
      <c r="R47" s="81"/>
      <c r="S47" s="81"/>
      <c r="T47" s="81"/>
      <c r="U47" s="81"/>
      <c r="V47" s="81"/>
      <c r="W47" s="81"/>
      <c r="X47" s="81"/>
      <c r="AC47" t="s">
        <v>2</v>
      </c>
      <c r="AD47" s="81"/>
      <c r="AE47" s="81"/>
      <c r="AF47" s="81"/>
      <c r="AG47" s="81"/>
      <c r="AH47" s="81"/>
      <c r="AI47" s="81"/>
      <c r="AJ47" s="81"/>
    </row>
    <row r="48" spans="4:36" s="435" customFormat="1">
      <c r="D48" s="435" t="s">
        <v>79</v>
      </c>
      <c r="E48" s="435" t="s">
        <v>68</v>
      </c>
      <c r="F48" s="435" t="s">
        <v>274</v>
      </c>
      <c r="G48" s="435" t="s">
        <v>12</v>
      </c>
      <c r="H48" s="435" t="s">
        <v>264</v>
      </c>
      <c r="I48" s="435" t="s">
        <v>7</v>
      </c>
      <c r="J48" s="435" t="s">
        <v>265</v>
      </c>
      <c r="K48" s="435" t="s">
        <v>263</v>
      </c>
      <c r="N48" s="435" t="s">
        <v>263</v>
      </c>
      <c r="O48" s="435" t="s">
        <v>219</v>
      </c>
      <c r="P48" s="81"/>
      <c r="Q48" s="81"/>
      <c r="R48" s="81"/>
      <c r="S48" s="81"/>
      <c r="T48" s="81"/>
      <c r="U48" s="81"/>
      <c r="V48" s="81"/>
      <c r="W48" s="81"/>
      <c r="X48" s="81"/>
      <c r="AC48" s="435" t="s">
        <v>2</v>
      </c>
      <c r="AD48" s="81"/>
      <c r="AE48" s="81"/>
      <c r="AF48" s="81"/>
      <c r="AG48" s="81"/>
      <c r="AH48" s="81"/>
      <c r="AI48" s="81"/>
      <c r="AJ48" s="81"/>
    </row>
    <row r="49" spans="4:36" s="435" customFormat="1">
      <c r="D49" s="435" t="s">
        <v>79</v>
      </c>
      <c r="E49" s="435" t="s">
        <v>68</v>
      </c>
      <c r="F49" s="435" t="s">
        <v>274</v>
      </c>
      <c r="G49" s="435" t="s">
        <v>12</v>
      </c>
      <c r="H49" s="435" t="s">
        <v>264</v>
      </c>
      <c r="I49" s="435" t="s">
        <v>7</v>
      </c>
      <c r="J49" s="435" t="s">
        <v>265</v>
      </c>
      <c r="K49" s="435" t="s">
        <v>263</v>
      </c>
      <c r="N49" s="435" t="s">
        <v>263</v>
      </c>
      <c r="O49" s="435" t="s">
        <v>219</v>
      </c>
      <c r="P49" s="81"/>
      <c r="Q49" s="81"/>
      <c r="R49" s="81"/>
      <c r="S49" s="81"/>
      <c r="T49" s="81"/>
      <c r="U49" s="81"/>
      <c r="V49" s="81"/>
      <c r="W49" s="81"/>
      <c r="X49" s="81"/>
      <c r="AC49" s="435" t="s">
        <v>2</v>
      </c>
      <c r="AD49" s="81"/>
      <c r="AE49" s="81"/>
      <c r="AF49" s="81"/>
      <c r="AG49" s="81"/>
      <c r="AH49" s="81"/>
      <c r="AI49" s="81"/>
      <c r="AJ49" s="81"/>
    </row>
    <row r="50" spans="4:36" s="435" customFormat="1">
      <c r="D50" s="435" t="s">
        <v>79</v>
      </c>
      <c r="E50" s="435" t="s">
        <v>68</v>
      </c>
      <c r="F50" s="435" t="s">
        <v>274</v>
      </c>
      <c r="G50" s="435" t="s">
        <v>12</v>
      </c>
      <c r="H50" s="435" t="s">
        <v>264</v>
      </c>
      <c r="I50" s="435" t="s">
        <v>7</v>
      </c>
      <c r="J50" s="435" t="s">
        <v>265</v>
      </c>
      <c r="K50" s="435" t="s">
        <v>263</v>
      </c>
      <c r="N50" s="435" t="s">
        <v>263</v>
      </c>
      <c r="O50" s="435" t="s">
        <v>219</v>
      </c>
      <c r="P50" s="81"/>
      <c r="Q50" s="81"/>
      <c r="R50" s="81"/>
      <c r="S50" s="81"/>
      <c r="T50" s="81"/>
      <c r="U50" s="81"/>
      <c r="V50" s="81"/>
      <c r="W50" s="81"/>
      <c r="X50" s="81"/>
      <c r="AC50" s="435" t="s">
        <v>2</v>
      </c>
      <c r="AD50" s="81"/>
      <c r="AE50" s="81"/>
      <c r="AF50" s="81"/>
      <c r="AG50" s="81"/>
      <c r="AH50" s="81"/>
      <c r="AI50" s="81"/>
      <c r="AJ50" s="81"/>
    </row>
    <row r="51" spans="4:36" s="435" customFormat="1">
      <c r="D51" s="435" t="s">
        <v>79</v>
      </c>
      <c r="E51" s="435" t="s">
        <v>68</v>
      </c>
      <c r="F51" s="435" t="s">
        <v>274</v>
      </c>
      <c r="G51" s="435" t="s">
        <v>12</v>
      </c>
      <c r="H51" s="435" t="s">
        <v>264</v>
      </c>
      <c r="I51" s="435" t="s">
        <v>7</v>
      </c>
      <c r="J51" s="435" t="s">
        <v>265</v>
      </c>
      <c r="K51" s="435" t="s">
        <v>263</v>
      </c>
      <c r="N51" s="435" t="s">
        <v>263</v>
      </c>
      <c r="O51" s="435" t="s">
        <v>219</v>
      </c>
      <c r="P51" s="81"/>
      <c r="Q51" s="81"/>
      <c r="R51" s="81"/>
      <c r="S51" s="81"/>
      <c r="T51" s="81"/>
      <c r="U51" s="81"/>
      <c r="V51" s="81"/>
      <c r="W51" s="81"/>
      <c r="X51" s="81"/>
      <c r="AC51" s="435" t="s">
        <v>2</v>
      </c>
      <c r="AD51" s="81"/>
      <c r="AE51" s="81"/>
      <c r="AF51" s="81"/>
      <c r="AG51" s="81"/>
      <c r="AH51" s="81"/>
      <c r="AI51" s="81"/>
      <c r="AJ51" s="81"/>
    </row>
    <row r="52" spans="4:36" s="435" customFormat="1">
      <c r="D52" s="435" t="s">
        <v>79</v>
      </c>
      <c r="E52" s="435" t="s">
        <v>68</v>
      </c>
      <c r="F52" s="435" t="s">
        <v>274</v>
      </c>
      <c r="G52" s="435" t="s">
        <v>12</v>
      </c>
      <c r="H52" s="435" t="s">
        <v>264</v>
      </c>
      <c r="I52" s="435" t="s">
        <v>7</v>
      </c>
      <c r="J52" s="435" t="s">
        <v>265</v>
      </c>
      <c r="K52" s="435" t="s">
        <v>263</v>
      </c>
      <c r="N52" s="435" t="s">
        <v>263</v>
      </c>
      <c r="O52" s="435" t="s">
        <v>219</v>
      </c>
      <c r="P52" s="81"/>
      <c r="Q52" s="81"/>
      <c r="R52" s="81"/>
      <c r="S52" s="81"/>
      <c r="T52" s="81"/>
      <c r="U52" s="81"/>
      <c r="V52" s="81"/>
      <c r="W52" s="81"/>
      <c r="X52" s="81"/>
      <c r="AC52" s="435" t="s">
        <v>2</v>
      </c>
      <c r="AD52" s="81"/>
      <c r="AE52" s="81"/>
      <c r="AF52" s="81"/>
      <c r="AG52" s="81"/>
      <c r="AH52" s="81"/>
      <c r="AI52" s="81"/>
      <c r="AJ52" s="81"/>
    </row>
    <row r="53" spans="4:36" s="435" customFormat="1">
      <c r="D53" s="435" t="s">
        <v>79</v>
      </c>
      <c r="E53" s="435" t="s">
        <v>68</v>
      </c>
      <c r="F53" s="435" t="s">
        <v>274</v>
      </c>
      <c r="G53" s="435" t="s">
        <v>12</v>
      </c>
      <c r="H53" s="435" t="s">
        <v>264</v>
      </c>
      <c r="I53" s="435" t="s">
        <v>7</v>
      </c>
      <c r="J53" s="435" t="s">
        <v>265</v>
      </c>
      <c r="K53" s="435" t="s">
        <v>263</v>
      </c>
      <c r="N53" s="435" t="s">
        <v>263</v>
      </c>
      <c r="O53" s="435" t="s">
        <v>219</v>
      </c>
      <c r="P53" s="81"/>
      <c r="Q53" s="81"/>
      <c r="R53" s="81"/>
      <c r="S53" s="81"/>
      <c r="T53" s="81"/>
      <c r="U53" s="81"/>
      <c r="V53" s="81"/>
      <c r="W53" s="81"/>
      <c r="X53" s="81"/>
      <c r="AC53" s="435" t="s">
        <v>2</v>
      </c>
      <c r="AD53" s="81"/>
      <c r="AE53" s="81"/>
      <c r="AF53" s="81"/>
      <c r="AG53" s="81"/>
      <c r="AH53" s="81"/>
      <c r="AI53" s="81"/>
      <c r="AJ53" s="81"/>
    </row>
    <row r="54" spans="4:36" s="435" customFormat="1">
      <c r="D54" s="435" t="s">
        <v>79</v>
      </c>
      <c r="E54" s="435" t="s">
        <v>68</v>
      </c>
      <c r="F54" s="435" t="s">
        <v>274</v>
      </c>
      <c r="G54" s="435" t="s">
        <v>12</v>
      </c>
      <c r="H54" s="435" t="s">
        <v>264</v>
      </c>
      <c r="I54" s="435" t="s">
        <v>7</v>
      </c>
      <c r="J54" s="435" t="s">
        <v>265</v>
      </c>
      <c r="K54" s="435" t="s">
        <v>263</v>
      </c>
      <c r="N54" s="435" t="s">
        <v>263</v>
      </c>
      <c r="O54" s="435" t="s">
        <v>219</v>
      </c>
      <c r="P54" s="81"/>
      <c r="Q54" s="81"/>
      <c r="R54" s="81"/>
      <c r="S54" s="81"/>
      <c r="T54" s="81"/>
      <c r="U54" s="81"/>
      <c r="V54" s="81"/>
      <c r="W54" s="81"/>
      <c r="X54" s="81"/>
      <c r="AC54" s="435" t="s">
        <v>2</v>
      </c>
      <c r="AD54" s="81"/>
      <c r="AE54" s="81"/>
      <c r="AF54" s="81"/>
      <c r="AG54" s="81"/>
      <c r="AH54" s="81"/>
      <c r="AI54" s="81"/>
      <c r="AJ54" s="81"/>
    </row>
    <row r="55" spans="4:36" s="435" customFormat="1">
      <c r="D55" s="435" t="s">
        <v>79</v>
      </c>
      <c r="E55" s="435" t="s">
        <v>68</v>
      </c>
      <c r="F55" s="435" t="s">
        <v>274</v>
      </c>
      <c r="G55" s="435" t="s">
        <v>12</v>
      </c>
      <c r="H55" s="435" t="s">
        <v>264</v>
      </c>
      <c r="I55" s="435" t="s">
        <v>7</v>
      </c>
      <c r="J55" s="435" t="s">
        <v>265</v>
      </c>
      <c r="K55" s="435" t="s">
        <v>263</v>
      </c>
      <c r="N55" s="435" t="s">
        <v>263</v>
      </c>
      <c r="O55" s="435" t="s">
        <v>219</v>
      </c>
      <c r="P55" s="81"/>
      <c r="Q55" s="81"/>
      <c r="R55" s="81"/>
      <c r="S55" s="81"/>
      <c r="T55" s="81"/>
      <c r="U55" s="81"/>
      <c r="V55" s="81"/>
      <c r="W55" s="81"/>
      <c r="X55" s="81"/>
      <c r="AC55" s="435" t="s">
        <v>2</v>
      </c>
      <c r="AD55" s="81"/>
      <c r="AE55" s="81"/>
      <c r="AF55" s="81"/>
      <c r="AG55" s="81"/>
      <c r="AH55" s="81"/>
      <c r="AI55" s="81"/>
      <c r="AJ55" s="81"/>
    </row>
    <row r="56" spans="4:36" s="435" customFormat="1">
      <c r="D56" s="435" t="s">
        <v>79</v>
      </c>
      <c r="E56" s="435" t="s">
        <v>68</v>
      </c>
      <c r="F56" s="435" t="s">
        <v>274</v>
      </c>
      <c r="G56" s="435" t="s">
        <v>12</v>
      </c>
      <c r="H56" s="435" t="s">
        <v>264</v>
      </c>
      <c r="I56" s="435" t="s">
        <v>7</v>
      </c>
      <c r="J56" s="435" t="s">
        <v>265</v>
      </c>
      <c r="K56" s="435" t="s">
        <v>263</v>
      </c>
      <c r="N56" s="435" t="s">
        <v>263</v>
      </c>
      <c r="O56" s="435" t="s">
        <v>219</v>
      </c>
      <c r="P56" s="81"/>
      <c r="Q56" s="81"/>
      <c r="R56" s="81"/>
      <c r="S56" s="81"/>
      <c r="T56" s="81"/>
      <c r="U56" s="81"/>
      <c r="V56" s="81"/>
      <c r="W56" s="81"/>
      <c r="X56" s="81"/>
      <c r="AC56" s="435" t="s">
        <v>2</v>
      </c>
      <c r="AD56" s="81"/>
      <c r="AE56" s="81"/>
      <c r="AF56" s="81"/>
      <c r="AG56" s="81"/>
      <c r="AH56" s="81"/>
      <c r="AI56" s="81"/>
      <c r="AJ56" s="81"/>
    </row>
    <row r="57" spans="4:36" s="435" customFormat="1">
      <c r="D57" s="435" t="s">
        <v>79</v>
      </c>
      <c r="E57" s="435" t="s">
        <v>68</v>
      </c>
      <c r="F57" s="435" t="s">
        <v>274</v>
      </c>
      <c r="G57" s="435" t="s">
        <v>12</v>
      </c>
      <c r="H57" s="435" t="s">
        <v>264</v>
      </c>
      <c r="I57" s="435" t="s">
        <v>7</v>
      </c>
      <c r="J57" s="435" t="s">
        <v>265</v>
      </c>
      <c r="K57" s="435" t="s">
        <v>263</v>
      </c>
      <c r="N57" s="435" t="s">
        <v>263</v>
      </c>
      <c r="O57" s="435" t="s">
        <v>219</v>
      </c>
      <c r="P57" s="81"/>
      <c r="Q57" s="81"/>
      <c r="R57" s="81"/>
      <c r="S57" s="81"/>
      <c r="T57" s="81"/>
      <c r="U57" s="81"/>
      <c r="V57" s="81"/>
      <c r="W57" s="81"/>
      <c r="X57" s="81"/>
      <c r="AC57" s="435" t="s">
        <v>2</v>
      </c>
      <c r="AD57" s="81"/>
      <c r="AE57" s="81"/>
      <c r="AF57" s="81"/>
      <c r="AG57" s="81"/>
      <c r="AH57" s="81"/>
      <c r="AI57" s="81"/>
      <c r="AJ57" s="81"/>
    </row>
    <row r="58" spans="4:36" s="435" customFormat="1">
      <c r="D58" s="435" t="s">
        <v>79</v>
      </c>
      <c r="E58" s="435" t="s">
        <v>68</v>
      </c>
      <c r="F58" s="435" t="s">
        <v>274</v>
      </c>
      <c r="G58" s="435" t="s">
        <v>12</v>
      </c>
      <c r="H58" s="435" t="s">
        <v>264</v>
      </c>
      <c r="I58" s="435" t="s">
        <v>7</v>
      </c>
      <c r="J58" s="435" t="s">
        <v>265</v>
      </c>
      <c r="K58" s="435" t="s">
        <v>263</v>
      </c>
      <c r="N58" s="435" t="s">
        <v>263</v>
      </c>
      <c r="O58" s="435" t="s">
        <v>219</v>
      </c>
      <c r="P58" s="81"/>
      <c r="Q58" s="81"/>
      <c r="R58" s="81"/>
      <c r="S58" s="81"/>
      <c r="T58" s="81"/>
      <c r="U58" s="81"/>
      <c r="V58" s="81"/>
      <c r="W58" s="81"/>
      <c r="X58" s="81"/>
      <c r="AC58" s="435" t="s">
        <v>2</v>
      </c>
      <c r="AD58" s="81"/>
      <c r="AE58" s="81"/>
      <c r="AF58" s="81"/>
      <c r="AG58" s="81"/>
      <c r="AH58" s="81"/>
      <c r="AI58" s="81"/>
      <c r="AJ58" s="81"/>
    </row>
    <row r="59" spans="4:36" s="435" customFormat="1">
      <c r="D59" s="435" t="s">
        <v>79</v>
      </c>
      <c r="E59" s="435" t="s">
        <v>68</v>
      </c>
      <c r="F59" s="435" t="s">
        <v>274</v>
      </c>
      <c r="G59" s="435" t="s">
        <v>12</v>
      </c>
      <c r="H59" s="435" t="s">
        <v>264</v>
      </c>
      <c r="I59" s="435" t="s">
        <v>7</v>
      </c>
      <c r="J59" s="435" t="s">
        <v>265</v>
      </c>
      <c r="K59" s="435" t="s">
        <v>263</v>
      </c>
      <c r="N59" s="435" t="s">
        <v>263</v>
      </c>
      <c r="O59" s="435" t="s">
        <v>219</v>
      </c>
      <c r="P59" s="81"/>
      <c r="Q59" s="81"/>
      <c r="R59" s="81"/>
      <c r="S59" s="81"/>
      <c r="T59" s="81"/>
      <c r="U59" s="81"/>
      <c r="V59" s="81"/>
      <c r="W59" s="81"/>
      <c r="X59" s="81"/>
      <c r="AC59" s="435" t="s">
        <v>2</v>
      </c>
      <c r="AD59" s="81"/>
      <c r="AE59" s="81"/>
      <c r="AF59" s="81"/>
      <c r="AG59" s="81"/>
      <c r="AH59" s="81"/>
      <c r="AI59" s="81"/>
      <c r="AJ59" s="81"/>
    </row>
    <row r="60" spans="4:36" s="435" customFormat="1">
      <c r="D60" s="435" t="s">
        <v>79</v>
      </c>
      <c r="E60" s="435" t="s">
        <v>68</v>
      </c>
      <c r="F60" s="435" t="s">
        <v>274</v>
      </c>
      <c r="G60" s="435" t="s">
        <v>12</v>
      </c>
      <c r="H60" s="435" t="s">
        <v>264</v>
      </c>
      <c r="I60" s="435" t="s">
        <v>7</v>
      </c>
      <c r="J60" s="435" t="s">
        <v>265</v>
      </c>
      <c r="K60" s="435" t="s">
        <v>263</v>
      </c>
      <c r="N60" s="435" t="s">
        <v>263</v>
      </c>
      <c r="O60" s="435" t="s">
        <v>219</v>
      </c>
      <c r="P60" s="81"/>
      <c r="Q60" s="81"/>
      <c r="R60" s="81"/>
      <c r="S60" s="81"/>
      <c r="T60" s="81"/>
      <c r="U60" s="81"/>
      <c r="V60" s="81"/>
      <c r="W60" s="81"/>
      <c r="X60" s="81"/>
      <c r="AC60" s="435" t="s">
        <v>2</v>
      </c>
      <c r="AD60" s="81"/>
      <c r="AE60" s="81"/>
      <c r="AF60" s="81"/>
      <c r="AG60" s="81"/>
      <c r="AH60" s="81"/>
      <c r="AI60" s="81"/>
      <c r="AJ60" s="81"/>
    </row>
    <row r="61" spans="4:36" s="435" customFormat="1">
      <c r="D61" s="435" t="s">
        <v>79</v>
      </c>
      <c r="E61" s="435" t="s">
        <v>68</v>
      </c>
      <c r="F61" s="435" t="s">
        <v>274</v>
      </c>
      <c r="G61" s="435" t="s">
        <v>12</v>
      </c>
      <c r="H61" s="435" t="s">
        <v>264</v>
      </c>
      <c r="I61" s="435" t="s">
        <v>7</v>
      </c>
      <c r="J61" s="435" t="s">
        <v>265</v>
      </c>
      <c r="K61" s="435" t="s">
        <v>263</v>
      </c>
      <c r="N61" s="435" t="s">
        <v>263</v>
      </c>
      <c r="O61" s="435" t="s">
        <v>219</v>
      </c>
      <c r="P61" s="81"/>
      <c r="Q61" s="81"/>
      <c r="R61" s="81"/>
      <c r="S61" s="81"/>
      <c r="T61" s="81"/>
      <c r="U61" s="81"/>
      <c r="V61" s="81"/>
      <c r="W61" s="81"/>
      <c r="X61" s="81"/>
      <c r="AC61" s="435" t="s">
        <v>2</v>
      </c>
      <c r="AD61" s="81"/>
      <c r="AE61" s="81"/>
      <c r="AF61" s="81"/>
      <c r="AG61" s="81"/>
      <c r="AH61" s="81"/>
      <c r="AI61" s="81"/>
      <c r="AJ61" s="81"/>
    </row>
    <row r="62" spans="4:36" s="435" customFormat="1">
      <c r="D62" s="435" t="s">
        <v>79</v>
      </c>
      <c r="E62" s="435" t="s">
        <v>68</v>
      </c>
      <c r="F62" s="435" t="s">
        <v>274</v>
      </c>
      <c r="G62" s="435" t="s">
        <v>12</v>
      </c>
      <c r="H62" s="435" t="s">
        <v>264</v>
      </c>
      <c r="I62" s="435" t="s">
        <v>7</v>
      </c>
      <c r="J62" s="435" t="s">
        <v>265</v>
      </c>
      <c r="K62" s="435" t="s">
        <v>263</v>
      </c>
      <c r="N62" s="435" t="s">
        <v>263</v>
      </c>
      <c r="O62" s="435" t="s">
        <v>219</v>
      </c>
      <c r="P62" s="81"/>
      <c r="Q62" s="81"/>
      <c r="R62" s="81"/>
      <c r="S62" s="81"/>
      <c r="T62" s="81"/>
      <c r="U62" s="81"/>
      <c r="V62" s="81"/>
      <c r="W62" s="81"/>
      <c r="X62" s="81"/>
      <c r="AC62" s="435" t="s">
        <v>2</v>
      </c>
      <c r="AD62" s="81"/>
      <c r="AE62" s="81"/>
      <c r="AF62" s="81"/>
      <c r="AG62" s="81"/>
      <c r="AH62" s="81"/>
      <c r="AI62" s="81"/>
      <c r="AJ62" s="81"/>
    </row>
    <row r="63" spans="4:36" s="435" customFormat="1">
      <c r="D63" s="435" t="s">
        <v>79</v>
      </c>
      <c r="E63" s="435" t="s">
        <v>68</v>
      </c>
      <c r="F63" s="435" t="s">
        <v>274</v>
      </c>
      <c r="G63" s="435" t="s">
        <v>12</v>
      </c>
      <c r="H63" s="435" t="s">
        <v>264</v>
      </c>
      <c r="I63" s="435" t="s">
        <v>7</v>
      </c>
      <c r="J63" s="435" t="s">
        <v>265</v>
      </c>
      <c r="K63" s="435" t="s">
        <v>263</v>
      </c>
      <c r="N63" s="435" t="s">
        <v>263</v>
      </c>
      <c r="O63" s="435" t="s">
        <v>219</v>
      </c>
      <c r="P63" s="81"/>
      <c r="Q63" s="81"/>
      <c r="R63" s="81"/>
      <c r="S63" s="81"/>
      <c r="T63" s="81"/>
      <c r="U63" s="81"/>
      <c r="V63" s="81"/>
      <c r="W63" s="81"/>
      <c r="X63" s="81"/>
      <c r="AC63" s="435" t="s">
        <v>2</v>
      </c>
      <c r="AD63" s="81"/>
      <c r="AE63" s="81"/>
      <c r="AF63" s="81"/>
      <c r="AG63" s="81"/>
      <c r="AH63" s="81"/>
      <c r="AI63" s="81"/>
      <c r="AJ63" s="81"/>
    </row>
    <row r="64" spans="4:36" s="435" customFormat="1">
      <c r="D64" s="435" t="s">
        <v>79</v>
      </c>
      <c r="E64" s="435" t="s">
        <v>68</v>
      </c>
      <c r="F64" s="435" t="s">
        <v>274</v>
      </c>
      <c r="G64" s="435" t="s">
        <v>12</v>
      </c>
      <c r="H64" s="435" t="s">
        <v>264</v>
      </c>
      <c r="I64" s="435" t="s">
        <v>7</v>
      </c>
      <c r="J64" s="435" t="s">
        <v>265</v>
      </c>
      <c r="K64" s="435" t="s">
        <v>263</v>
      </c>
      <c r="N64" s="435" t="s">
        <v>263</v>
      </c>
      <c r="O64" s="435" t="s">
        <v>219</v>
      </c>
      <c r="P64" s="81"/>
      <c r="Q64" s="81"/>
      <c r="R64" s="81"/>
      <c r="S64" s="81"/>
      <c r="T64" s="81"/>
      <c r="U64" s="81"/>
      <c r="V64" s="81"/>
      <c r="W64" s="81"/>
      <c r="X64" s="81"/>
      <c r="AC64" s="435" t="s">
        <v>2</v>
      </c>
      <c r="AD64" s="81"/>
      <c r="AE64" s="81"/>
      <c r="AF64" s="81"/>
      <c r="AG64" s="81"/>
      <c r="AH64" s="81"/>
      <c r="AI64" s="81"/>
      <c r="AJ64" s="81"/>
    </row>
    <row r="65" spans="4:36" s="435" customFormat="1">
      <c r="D65" s="435" t="s">
        <v>79</v>
      </c>
      <c r="E65" s="435" t="s">
        <v>68</v>
      </c>
      <c r="F65" s="435" t="s">
        <v>274</v>
      </c>
      <c r="G65" s="435" t="s">
        <v>12</v>
      </c>
      <c r="H65" s="435" t="s">
        <v>264</v>
      </c>
      <c r="I65" s="435" t="s">
        <v>7</v>
      </c>
      <c r="J65" s="435" t="s">
        <v>265</v>
      </c>
      <c r="K65" s="435" t="s">
        <v>263</v>
      </c>
      <c r="N65" s="435" t="s">
        <v>263</v>
      </c>
      <c r="O65" s="435" t="s">
        <v>219</v>
      </c>
      <c r="P65" s="81"/>
      <c r="Q65" s="81"/>
      <c r="R65" s="81"/>
      <c r="S65" s="81"/>
      <c r="T65" s="81"/>
      <c r="U65" s="81"/>
      <c r="V65" s="81"/>
      <c r="W65" s="81"/>
      <c r="X65" s="81"/>
      <c r="AC65" s="435" t="s">
        <v>2</v>
      </c>
      <c r="AD65" s="81"/>
      <c r="AE65" s="81"/>
      <c r="AF65" s="81"/>
      <c r="AG65" s="81"/>
      <c r="AH65" s="81"/>
      <c r="AI65" s="81"/>
      <c r="AJ65" s="81"/>
    </row>
    <row r="66" spans="4:36" s="435" customFormat="1">
      <c r="D66" s="435" t="s">
        <v>79</v>
      </c>
      <c r="E66" s="435" t="s">
        <v>68</v>
      </c>
      <c r="F66" s="435" t="s">
        <v>274</v>
      </c>
      <c r="G66" s="435" t="s">
        <v>12</v>
      </c>
      <c r="H66" s="435" t="s">
        <v>264</v>
      </c>
      <c r="I66" s="435" t="s">
        <v>7</v>
      </c>
      <c r="J66" s="435" t="s">
        <v>265</v>
      </c>
      <c r="K66" s="435" t="s">
        <v>263</v>
      </c>
      <c r="N66" s="435" t="s">
        <v>263</v>
      </c>
      <c r="O66" s="435" t="s">
        <v>219</v>
      </c>
      <c r="P66" s="81"/>
      <c r="Q66" s="81"/>
      <c r="R66" s="81"/>
      <c r="S66" s="81"/>
      <c r="T66" s="81"/>
      <c r="U66" s="81"/>
      <c r="V66" s="81"/>
      <c r="W66" s="81"/>
      <c r="X66" s="81"/>
      <c r="AC66" s="435" t="s">
        <v>2</v>
      </c>
      <c r="AD66" s="81"/>
      <c r="AE66" s="81"/>
      <c r="AF66" s="81"/>
      <c r="AG66" s="81"/>
      <c r="AH66" s="81"/>
      <c r="AI66" s="81"/>
      <c r="AJ66" s="81"/>
    </row>
    <row r="67" spans="4:36" s="435" customFormat="1">
      <c r="D67" s="435" t="s">
        <v>79</v>
      </c>
      <c r="E67" s="435" t="s">
        <v>68</v>
      </c>
      <c r="F67" s="435" t="s">
        <v>274</v>
      </c>
      <c r="G67" s="435" t="s">
        <v>12</v>
      </c>
      <c r="H67" s="435" t="s">
        <v>264</v>
      </c>
      <c r="I67" s="435" t="s">
        <v>7</v>
      </c>
      <c r="J67" s="435" t="s">
        <v>265</v>
      </c>
      <c r="K67" s="435" t="s">
        <v>263</v>
      </c>
      <c r="N67" s="435" t="s">
        <v>263</v>
      </c>
      <c r="O67" s="435" t="s">
        <v>219</v>
      </c>
      <c r="P67" s="81"/>
      <c r="Q67" s="81"/>
      <c r="R67" s="81"/>
      <c r="S67" s="81"/>
      <c r="T67" s="81"/>
      <c r="U67" s="81"/>
      <c r="V67" s="81"/>
      <c r="W67" s="81"/>
      <c r="X67" s="81"/>
      <c r="AC67" s="435" t="s">
        <v>2</v>
      </c>
      <c r="AD67" s="81"/>
      <c r="AE67" s="81"/>
      <c r="AF67" s="81"/>
      <c r="AG67" s="81"/>
      <c r="AH67" s="81"/>
      <c r="AI67" s="81"/>
      <c r="AJ67" s="81"/>
    </row>
    <row r="68" spans="4:36" s="435" customFormat="1">
      <c r="D68" s="435" t="s">
        <v>79</v>
      </c>
      <c r="E68" s="435" t="s">
        <v>68</v>
      </c>
      <c r="F68" s="435" t="s">
        <v>274</v>
      </c>
      <c r="G68" s="435" t="s">
        <v>12</v>
      </c>
      <c r="H68" s="435" t="s">
        <v>264</v>
      </c>
      <c r="I68" s="435" t="s">
        <v>7</v>
      </c>
      <c r="J68" s="435" t="s">
        <v>265</v>
      </c>
      <c r="K68" s="435" t="s">
        <v>263</v>
      </c>
      <c r="N68" s="435" t="s">
        <v>263</v>
      </c>
      <c r="O68" s="435" t="s">
        <v>219</v>
      </c>
      <c r="P68" s="81"/>
      <c r="Q68" s="81"/>
      <c r="R68" s="81"/>
      <c r="S68" s="81"/>
      <c r="T68" s="81"/>
      <c r="U68" s="81"/>
      <c r="V68" s="81"/>
      <c r="W68" s="81"/>
      <c r="X68" s="81"/>
      <c r="AC68" s="435" t="s">
        <v>2</v>
      </c>
      <c r="AD68" s="81"/>
      <c r="AE68" s="81"/>
      <c r="AF68" s="81"/>
      <c r="AG68" s="81"/>
      <c r="AH68" s="81"/>
      <c r="AI68" s="81"/>
      <c r="AJ68" s="81"/>
    </row>
    <row r="69" spans="4:36" s="435" customFormat="1">
      <c r="D69" s="435" t="s">
        <v>79</v>
      </c>
      <c r="E69" s="435" t="s">
        <v>68</v>
      </c>
      <c r="F69" s="435" t="s">
        <v>274</v>
      </c>
      <c r="G69" s="435" t="s">
        <v>12</v>
      </c>
      <c r="H69" s="435" t="s">
        <v>264</v>
      </c>
      <c r="I69" s="435" t="s">
        <v>7</v>
      </c>
      <c r="J69" s="435" t="s">
        <v>265</v>
      </c>
      <c r="K69" s="435" t="s">
        <v>263</v>
      </c>
      <c r="N69" s="435" t="s">
        <v>263</v>
      </c>
      <c r="O69" s="435" t="s">
        <v>219</v>
      </c>
      <c r="P69" s="81"/>
      <c r="Q69" s="81"/>
      <c r="R69" s="81"/>
      <c r="S69" s="81"/>
      <c r="T69" s="81"/>
      <c r="U69" s="81"/>
      <c r="V69" s="81"/>
      <c r="W69" s="81"/>
      <c r="X69" s="81"/>
      <c r="AC69" s="435" t="s">
        <v>2</v>
      </c>
      <c r="AD69" s="81"/>
      <c r="AE69" s="81"/>
      <c r="AF69" s="81"/>
      <c r="AG69" s="81"/>
      <c r="AH69" s="81"/>
      <c r="AI69" s="81"/>
      <c r="AJ69" s="81"/>
    </row>
    <row r="70" spans="4:36" s="435" customFormat="1">
      <c r="D70" s="435" t="s">
        <v>79</v>
      </c>
      <c r="E70" s="435" t="s">
        <v>68</v>
      </c>
      <c r="F70" s="435" t="s">
        <v>274</v>
      </c>
      <c r="G70" s="435" t="s">
        <v>12</v>
      </c>
      <c r="H70" s="435" t="s">
        <v>264</v>
      </c>
      <c r="I70" s="435" t="s">
        <v>7</v>
      </c>
      <c r="J70" s="435" t="s">
        <v>265</v>
      </c>
      <c r="K70" s="435" t="s">
        <v>263</v>
      </c>
      <c r="N70" s="435" t="s">
        <v>263</v>
      </c>
      <c r="O70" s="435" t="s">
        <v>219</v>
      </c>
      <c r="P70" s="81"/>
      <c r="Q70" s="81"/>
      <c r="R70" s="81"/>
      <c r="S70" s="81"/>
      <c r="T70" s="81"/>
      <c r="U70" s="81"/>
      <c r="V70" s="81"/>
      <c r="W70" s="81"/>
      <c r="X70" s="81"/>
      <c r="AC70" s="435" t="s">
        <v>2</v>
      </c>
      <c r="AD70" s="81"/>
      <c r="AE70" s="81"/>
      <c r="AF70" s="81"/>
      <c r="AG70" s="81"/>
      <c r="AH70" s="81"/>
      <c r="AI70" s="81"/>
      <c r="AJ70" s="81"/>
    </row>
    <row r="71" spans="4:36" s="435" customFormat="1">
      <c r="D71" s="435" t="s">
        <v>79</v>
      </c>
      <c r="E71" s="435" t="s">
        <v>68</v>
      </c>
      <c r="F71" s="435" t="s">
        <v>274</v>
      </c>
      <c r="G71" s="435" t="s">
        <v>12</v>
      </c>
      <c r="H71" s="435" t="s">
        <v>264</v>
      </c>
      <c r="I71" s="435" t="s">
        <v>7</v>
      </c>
      <c r="J71" s="435" t="s">
        <v>265</v>
      </c>
      <c r="K71" s="435" t="s">
        <v>263</v>
      </c>
      <c r="N71" s="435" t="s">
        <v>263</v>
      </c>
      <c r="O71" s="435" t="s">
        <v>219</v>
      </c>
      <c r="P71" s="81"/>
      <c r="Q71" s="81"/>
      <c r="R71" s="81"/>
      <c r="S71" s="81"/>
      <c r="T71" s="81"/>
      <c r="U71" s="81"/>
      <c r="V71" s="81"/>
      <c r="W71" s="81"/>
      <c r="X71" s="81"/>
      <c r="AC71" s="435" t="s">
        <v>2</v>
      </c>
      <c r="AD71" s="81"/>
      <c r="AE71" s="81"/>
      <c r="AF71" s="81"/>
      <c r="AG71" s="81"/>
      <c r="AH71" s="81"/>
      <c r="AI71" s="81"/>
      <c r="AJ71" s="81"/>
    </row>
    <row r="72" spans="4:36" s="435" customFormat="1">
      <c r="D72" s="435" t="s">
        <v>79</v>
      </c>
      <c r="E72" s="435" t="s">
        <v>68</v>
      </c>
      <c r="F72" s="435" t="s">
        <v>274</v>
      </c>
      <c r="G72" s="435" t="s">
        <v>12</v>
      </c>
      <c r="H72" s="435" t="s">
        <v>264</v>
      </c>
      <c r="I72" s="435" t="s">
        <v>7</v>
      </c>
      <c r="J72" s="435" t="s">
        <v>265</v>
      </c>
      <c r="K72" s="435" t="s">
        <v>263</v>
      </c>
      <c r="N72" s="435" t="s">
        <v>263</v>
      </c>
      <c r="O72" s="435" t="s">
        <v>219</v>
      </c>
      <c r="P72" s="81"/>
      <c r="Q72" s="81"/>
      <c r="R72" s="81"/>
      <c r="S72" s="81"/>
      <c r="T72" s="81"/>
      <c r="U72" s="81"/>
      <c r="V72" s="81"/>
      <c r="W72" s="81"/>
      <c r="X72" s="81"/>
      <c r="AC72" s="435" t="s">
        <v>2</v>
      </c>
      <c r="AD72" s="81"/>
      <c r="AE72" s="81"/>
      <c r="AF72" s="81"/>
      <c r="AG72" s="81"/>
      <c r="AH72" s="81"/>
      <c r="AI72" s="81"/>
      <c r="AJ72" s="81"/>
    </row>
    <row r="73" spans="4:36" s="435" customFormat="1">
      <c r="D73" s="435" t="s">
        <v>79</v>
      </c>
      <c r="E73" s="435" t="s">
        <v>68</v>
      </c>
      <c r="F73" s="435" t="s">
        <v>274</v>
      </c>
      <c r="G73" s="435" t="s">
        <v>12</v>
      </c>
      <c r="H73" s="435" t="s">
        <v>264</v>
      </c>
      <c r="I73" s="435" t="s">
        <v>7</v>
      </c>
      <c r="J73" s="435" t="s">
        <v>265</v>
      </c>
      <c r="K73" s="435" t="s">
        <v>263</v>
      </c>
      <c r="N73" s="435" t="s">
        <v>263</v>
      </c>
      <c r="O73" s="435" t="s">
        <v>219</v>
      </c>
      <c r="P73" s="81"/>
      <c r="Q73" s="81"/>
      <c r="R73" s="81"/>
      <c r="S73" s="81"/>
      <c r="T73" s="81"/>
      <c r="U73" s="81"/>
      <c r="V73" s="81"/>
      <c r="W73" s="81"/>
      <c r="X73" s="81"/>
      <c r="AC73" s="435" t="s">
        <v>2</v>
      </c>
      <c r="AD73" s="81"/>
      <c r="AE73" s="81"/>
      <c r="AF73" s="81"/>
      <c r="AG73" s="81"/>
      <c r="AH73" s="81"/>
      <c r="AI73" s="81"/>
      <c r="AJ73" s="81"/>
    </row>
    <row r="74" spans="4:36" s="435" customFormat="1">
      <c r="D74" s="435" t="s">
        <v>79</v>
      </c>
      <c r="E74" s="435" t="s">
        <v>68</v>
      </c>
      <c r="F74" s="435" t="s">
        <v>274</v>
      </c>
      <c r="G74" s="435" t="s">
        <v>12</v>
      </c>
      <c r="H74" s="435" t="s">
        <v>264</v>
      </c>
      <c r="I74" s="435" t="s">
        <v>7</v>
      </c>
      <c r="J74" s="435" t="s">
        <v>265</v>
      </c>
      <c r="K74" s="435" t="s">
        <v>263</v>
      </c>
      <c r="N74" s="435" t="s">
        <v>263</v>
      </c>
      <c r="O74" s="435" t="s">
        <v>219</v>
      </c>
      <c r="P74" s="81"/>
      <c r="Q74" s="81"/>
      <c r="R74" s="81"/>
      <c r="S74" s="81"/>
      <c r="T74" s="81"/>
      <c r="U74" s="81"/>
      <c r="V74" s="81"/>
      <c r="W74" s="81"/>
      <c r="X74" s="81"/>
      <c r="AC74" s="435" t="s">
        <v>2</v>
      </c>
      <c r="AD74" s="81"/>
      <c r="AE74" s="81"/>
      <c r="AF74" s="81"/>
      <c r="AG74" s="81"/>
      <c r="AH74" s="81"/>
      <c r="AI74" s="81"/>
      <c r="AJ74" s="81"/>
    </row>
    <row r="75" spans="4:36" s="435" customFormat="1">
      <c r="D75" s="435" t="s">
        <v>79</v>
      </c>
      <c r="E75" s="435" t="s">
        <v>68</v>
      </c>
      <c r="F75" s="435" t="s">
        <v>274</v>
      </c>
      <c r="G75" s="435" t="s">
        <v>12</v>
      </c>
      <c r="H75" s="435" t="s">
        <v>264</v>
      </c>
      <c r="I75" s="435" t="s">
        <v>7</v>
      </c>
      <c r="J75" s="435" t="s">
        <v>265</v>
      </c>
      <c r="K75" s="435" t="s">
        <v>263</v>
      </c>
      <c r="N75" s="435" t="s">
        <v>263</v>
      </c>
      <c r="O75" s="435" t="s">
        <v>219</v>
      </c>
      <c r="P75" s="81"/>
      <c r="Q75" s="81"/>
      <c r="R75" s="81"/>
      <c r="S75" s="81"/>
      <c r="T75" s="81"/>
      <c r="U75" s="81"/>
      <c r="V75" s="81"/>
      <c r="W75" s="81"/>
      <c r="X75" s="81"/>
      <c r="AC75" s="435" t="s">
        <v>2</v>
      </c>
      <c r="AD75" s="81"/>
      <c r="AE75" s="81"/>
      <c r="AF75" s="81"/>
      <c r="AG75" s="81"/>
      <c r="AH75" s="81"/>
      <c r="AI75" s="81"/>
      <c r="AJ75" s="81"/>
    </row>
    <row r="76" spans="4:36" s="435" customFormat="1">
      <c r="D76" s="435" t="s">
        <v>79</v>
      </c>
      <c r="E76" s="435" t="s">
        <v>68</v>
      </c>
      <c r="F76" s="435" t="s">
        <v>274</v>
      </c>
      <c r="G76" s="435" t="s">
        <v>12</v>
      </c>
      <c r="H76" s="435" t="s">
        <v>264</v>
      </c>
      <c r="I76" s="435" t="s">
        <v>7</v>
      </c>
      <c r="J76" s="435" t="s">
        <v>265</v>
      </c>
      <c r="K76" s="435" t="s">
        <v>263</v>
      </c>
      <c r="N76" s="435" t="s">
        <v>263</v>
      </c>
      <c r="O76" s="435" t="s">
        <v>219</v>
      </c>
      <c r="P76" s="81"/>
      <c r="Q76" s="81"/>
      <c r="R76" s="81"/>
      <c r="S76" s="81"/>
      <c r="T76" s="81"/>
      <c r="U76" s="81"/>
      <c r="V76" s="81"/>
      <c r="W76" s="81"/>
      <c r="X76" s="81"/>
      <c r="AC76" s="435" t="s">
        <v>2</v>
      </c>
      <c r="AD76" s="81"/>
      <c r="AE76" s="81"/>
      <c r="AF76" s="81"/>
      <c r="AG76" s="81"/>
      <c r="AH76" s="81"/>
      <c r="AI76" s="81"/>
      <c r="AJ76" s="81"/>
    </row>
    <row r="77" spans="4:36" s="435" customFormat="1">
      <c r="D77" s="435" t="s">
        <v>79</v>
      </c>
      <c r="E77" s="435" t="s">
        <v>68</v>
      </c>
      <c r="F77" s="435" t="s">
        <v>274</v>
      </c>
      <c r="G77" s="435" t="s">
        <v>12</v>
      </c>
      <c r="H77" s="435" t="s">
        <v>264</v>
      </c>
      <c r="I77" s="435" t="s">
        <v>7</v>
      </c>
      <c r="J77" s="435" t="s">
        <v>265</v>
      </c>
      <c r="K77" s="435" t="s">
        <v>263</v>
      </c>
      <c r="N77" s="435" t="s">
        <v>263</v>
      </c>
      <c r="O77" s="435" t="s">
        <v>219</v>
      </c>
      <c r="P77" s="81"/>
      <c r="Q77" s="81"/>
      <c r="R77" s="81"/>
      <c r="S77" s="81"/>
      <c r="T77" s="81"/>
      <c r="U77" s="81"/>
      <c r="V77" s="81"/>
      <c r="W77" s="81"/>
      <c r="X77" s="81"/>
      <c r="AC77" s="435" t="s">
        <v>2</v>
      </c>
      <c r="AD77" s="81"/>
      <c r="AE77" s="81"/>
      <c r="AF77" s="81"/>
      <c r="AG77" s="81"/>
      <c r="AH77" s="81"/>
      <c r="AI77" s="81"/>
      <c r="AJ77" s="81"/>
    </row>
    <row r="78" spans="4:36" s="435" customFormat="1">
      <c r="D78" s="435" t="s">
        <v>79</v>
      </c>
      <c r="E78" s="435" t="s">
        <v>68</v>
      </c>
      <c r="F78" s="435" t="s">
        <v>274</v>
      </c>
      <c r="G78" s="435" t="s">
        <v>12</v>
      </c>
      <c r="H78" s="435" t="s">
        <v>264</v>
      </c>
      <c r="I78" s="435" t="s">
        <v>7</v>
      </c>
      <c r="J78" s="435" t="s">
        <v>265</v>
      </c>
      <c r="K78" s="435" t="s">
        <v>263</v>
      </c>
      <c r="N78" s="435" t="s">
        <v>263</v>
      </c>
      <c r="O78" s="435" t="s">
        <v>219</v>
      </c>
      <c r="P78" s="81"/>
      <c r="Q78" s="81"/>
      <c r="R78" s="81"/>
      <c r="S78" s="81"/>
      <c r="T78" s="81"/>
      <c r="U78" s="81"/>
      <c r="V78" s="81"/>
      <c r="W78" s="81"/>
      <c r="X78" s="81"/>
      <c r="AC78" s="435" t="s">
        <v>2</v>
      </c>
      <c r="AD78" s="81"/>
      <c r="AE78" s="81"/>
      <c r="AF78" s="81"/>
      <c r="AG78" s="81"/>
      <c r="AH78" s="81"/>
      <c r="AI78" s="81"/>
      <c r="AJ78" s="81"/>
    </row>
    <row r="79" spans="4:36" s="435" customFormat="1">
      <c r="D79" s="435" t="s">
        <v>79</v>
      </c>
      <c r="E79" s="435" t="s">
        <v>68</v>
      </c>
      <c r="F79" s="435" t="s">
        <v>274</v>
      </c>
      <c r="G79" s="435" t="s">
        <v>12</v>
      </c>
      <c r="H79" s="435" t="s">
        <v>264</v>
      </c>
      <c r="I79" s="435" t="s">
        <v>7</v>
      </c>
      <c r="J79" s="435" t="s">
        <v>265</v>
      </c>
      <c r="K79" s="435" t="s">
        <v>263</v>
      </c>
      <c r="N79" s="435" t="s">
        <v>263</v>
      </c>
      <c r="O79" s="435" t="s">
        <v>219</v>
      </c>
      <c r="P79" s="81"/>
      <c r="Q79" s="81"/>
      <c r="R79" s="81"/>
      <c r="S79" s="81"/>
      <c r="T79" s="81"/>
      <c r="U79" s="81"/>
      <c r="V79" s="81"/>
      <c r="W79" s="81"/>
      <c r="X79" s="81"/>
      <c r="AC79" s="435" t="s">
        <v>2</v>
      </c>
      <c r="AD79" s="81"/>
      <c r="AE79" s="81"/>
      <c r="AF79" s="81"/>
      <c r="AG79" s="81"/>
      <c r="AH79" s="81"/>
      <c r="AI79" s="81"/>
      <c r="AJ79" s="81"/>
    </row>
    <row r="80" spans="4:36" s="435" customFormat="1">
      <c r="D80" s="435" t="s">
        <v>79</v>
      </c>
      <c r="E80" s="435" t="s">
        <v>68</v>
      </c>
      <c r="F80" s="435" t="s">
        <v>274</v>
      </c>
      <c r="G80" s="435" t="s">
        <v>12</v>
      </c>
      <c r="H80" s="435" t="s">
        <v>264</v>
      </c>
      <c r="I80" s="435" t="s">
        <v>7</v>
      </c>
      <c r="J80" s="435" t="s">
        <v>265</v>
      </c>
      <c r="K80" s="435" t="s">
        <v>263</v>
      </c>
      <c r="N80" s="435" t="s">
        <v>263</v>
      </c>
      <c r="O80" s="435" t="s">
        <v>219</v>
      </c>
      <c r="P80" s="81"/>
      <c r="Q80" s="81"/>
      <c r="R80" s="81"/>
      <c r="S80" s="81"/>
      <c r="T80" s="81"/>
      <c r="U80" s="81"/>
      <c r="V80" s="81"/>
      <c r="W80" s="81"/>
      <c r="X80" s="81"/>
      <c r="AC80" s="435" t="s">
        <v>2</v>
      </c>
      <c r="AD80" s="81"/>
      <c r="AE80" s="81"/>
      <c r="AF80" s="81"/>
      <c r="AG80" s="81"/>
      <c r="AH80" s="81"/>
      <c r="AI80" s="81"/>
      <c r="AJ80" s="81"/>
    </row>
    <row r="81" spans="4:36" s="435" customFormat="1">
      <c r="D81" s="435" t="s">
        <v>79</v>
      </c>
      <c r="E81" s="435" t="s">
        <v>68</v>
      </c>
      <c r="F81" s="435" t="s">
        <v>274</v>
      </c>
      <c r="G81" s="435" t="s">
        <v>12</v>
      </c>
      <c r="H81" s="435" t="s">
        <v>264</v>
      </c>
      <c r="I81" s="435" t="s">
        <v>7</v>
      </c>
      <c r="J81" s="435" t="s">
        <v>265</v>
      </c>
      <c r="K81" s="435" t="s">
        <v>263</v>
      </c>
      <c r="N81" s="435" t="s">
        <v>263</v>
      </c>
      <c r="O81" s="435" t="s">
        <v>219</v>
      </c>
      <c r="P81" s="81"/>
      <c r="Q81" s="81"/>
      <c r="R81" s="81"/>
      <c r="S81" s="81"/>
      <c r="T81" s="81"/>
      <c r="U81" s="81"/>
      <c r="V81" s="81"/>
      <c r="W81" s="81"/>
      <c r="X81" s="81"/>
      <c r="AC81" s="435" t="s">
        <v>2</v>
      </c>
      <c r="AD81" s="81"/>
      <c r="AE81" s="81"/>
      <c r="AF81" s="81"/>
      <c r="AG81" s="81"/>
      <c r="AH81" s="81"/>
      <c r="AI81" s="81"/>
      <c r="AJ81" s="81"/>
    </row>
    <row r="82" spans="4:36" s="435" customFormat="1">
      <c r="D82" s="435" t="s">
        <v>79</v>
      </c>
      <c r="E82" s="435" t="s">
        <v>68</v>
      </c>
      <c r="F82" s="435" t="s">
        <v>274</v>
      </c>
      <c r="G82" s="435" t="s">
        <v>12</v>
      </c>
      <c r="H82" s="435" t="s">
        <v>264</v>
      </c>
      <c r="I82" s="435" t="s">
        <v>7</v>
      </c>
      <c r="J82" s="435" t="s">
        <v>265</v>
      </c>
      <c r="K82" s="435" t="s">
        <v>263</v>
      </c>
      <c r="N82" s="435" t="s">
        <v>263</v>
      </c>
      <c r="O82" s="435" t="s">
        <v>219</v>
      </c>
      <c r="P82" s="81"/>
      <c r="Q82" s="81"/>
      <c r="R82" s="81"/>
      <c r="S82" s="81"/>
      <c r="T82" s="81"/>
      <c r="U82" s="81"/>
      <c r="V82" s="81"/>
      <c r="W82" s="81"/>
      <c r="X82" s="81"/>
      <c r="AC82" s="435" t="s">
        <v>2</v>
      </c>
      <c r="AD82" s="81"/>
      <c r="AE82" s="81"/>
      <c r="AF82" s="81"/>
      <c r="AG82" s="81"/>
      <c r="AH82" s="81"/>
      <c r="AI82" s="81"/>
      <c r="AJ82" s="81"/>
    </row>
    <row r="83" spans="4:36" s="435" customFormat="1">
      <c r="D83" s="435" t="s">
        <v>79</v>
      </c>
      <c r="E83" s="435" t="s">
        <v>68</v>
      </c>
      <c r="F83" s="435" t="s">
        <v>274</v>
      </c>
      <c r="G83" s="435" t="s">
        <v>12</v>
      </c>
      <c r="H83" s="435" t="s">
        <v>264</v>
      </c>
      <c r="I83" s="435" t="s">
        <v>7</v>
      </c>
      <c r="J83" s="435" t="s">
        <v>265</v>
      </c>
      <c r="K83" s="435" t="s">
        <v>263</v>
      </c>
      <c r="N83" s="435" t="s">
        <v>263</v>
      </c>
      <c r="O83" s="435" t="s">
        <v>219</v>
      </c>
      <c r="P83" s="81"/>
      <c r="Q83" s="81"/>
      <c r="R83" s="81"/>
      <c r="S83" s="81"/>
      <c r="T83" s="81"/>
      <c r="U83" s="81"/>
      <c r="V83" s="81"/>
      <c r="W83" s="81"/>
      <c r="X83" s="81"/>
      <c r="AC83" s="435" t="s">
        <v>2</v>
      </c>
      <c r="AD83" s="81"/>
      <c r="AE83" s="81"/>
      <c r="AF83" s="81"/>
      <c r="AG83" s="81"/>
      <c r="AH83" s="81"/>
      <c r="AI83" s="81"/>
      <c r="AJ83" s="81"/>
    </row>
    <row r="84" spans="4:36" s="435" customFormat="1">
      <c r="D84" s="435" t="s">
        <v>79</v>
      </c>
      <c r="E84" s="435" t="s">
        <v>68</v>
      </c>
      <c r="F84" s="435" t="s">
        <v>274</v>
      </c>
      <c r="G84" s="435" t="s">
        <v>12</v>
      </c>
      <c r="H84" s="435" t="s">
        <v>264</v>
      </c>
      <c r="I84" s="435" t="s">
        <v>7</v>
      </c>
      <c r="J84" s="435" t="s">
        <v>265</v>
      </c>
      <c r="K84" s="435" t="s">
        <v>263</v>
      </c>
      <c r="N84" s="435" t="s">
        <v>263</v>
      </c>
      <c r="O84" s="435" t="s">
        <v>219</v>
      </c>
      <c r="P84" s="81"/>
      <c r="Q84" s="81"/>
      <c r="R84" s="81"/>
      <c r="S84" s="81"/>
      <c r="T84" s="81"/>
      <c r="U84" s="81"/>
      <c r="V84" s="81"/>
      <c r="W84" s="81"/>
      <c r="X84" s="81"/>
      <c r="AC84" s="435" t="s">
        <v>2</v>
      </c>
      <c r="AD84" s="81"/>
      <c r="AE84" s="81"/>
      <c r="AF84" s="81"/>
      <c r="AG84" s="81"/>
      <c r="AH84" s="81"/>
      <c r="AI84" s="81"/>
      <c r="AJ84" s="81"/>
    </row>
    <row r="85" spans="4:36" s="435" customFormat="1">
      <c r="D85" s="435" t="s">
        <v>79</v>
      </c>
      <c r="E85" s="435" t="s">
        <v>68</v>
      </c>
      <c r="F85" s="435" t="s">
        <v>274</v>
      </c>
      <c r="G85" s="435" t="s">
        <v>12</v>
      </c>
      <c r="H85" s="435" t="s">
        <v>264</v>
      </c>
      <c r="I85" s="435" t="s">
        <v>7</v>
      </c>
      <c r="J85" s="435" t="s">
        <v>265</v>
      </c>
      <c r="K85" s="435" t="s">
        <v>263</v>
      </c>
      <c r="N85" s="435" t="s">
        <v>263</v>
      </c>
      <c r="O85" s="435" t="s">
        <v>219</v>
      </c>
      <c r="P85" s="81"/>
      <c r="Q85" s="81"/>
      <c r="R85" s="81"/>
      <c r="S85" s="81"/>
      <c r="T85" s="81"/>
      <c r="U85" s="81"/>
      <c r="V85" s="81"/>
      <c r="W85" s="81"/>
      <c r="X85" s="81"/>
      <c r="AC85" s="435" t="s">
        <v>2</v>
      </c>
      <c r="AD85" s="81"/>
      <c r="AE85" s="81"/>
      <c r="AF85" s="81"/>
      <c r="AG85" s="81"/>
      <c r="AH85" s="81"/>
      <c r="AI85" s="81"/>
      <c r="AJ85" s="81"/>
    </row>
    <row r="86" spans="4:36" s="435" customFormat="1">
      <c r="D86" s="435" t="s">
        <v>79</v>
      </c>
      <c r="E86" s="435" t="s">
        <v>68</v>
      </c>
      <c r="F86" s="435" t="s">
        <v>274</v>
      </c>
      <c r="G86" s="435" t="s">
        <v>12</v>
      </c>
      <c r="H86" s="435" t="s">
        <v>264</v>
      </c>
      <c r="I86" s="435" t="s">
        <v>7</v>
      </c>
      <c r="J86" s="435" t="s">
        <v>265</v>
      </c>
      <c r="K86" s="435" t="s">
        <v>263</v>
      </c>
      <c r="N86" s="435" t="s">
        <v>263</v>
      </c>
      <c r="O86" s="435" t="s">
        <v>219</v>
      </c>
      <c r="P86" s="81"/>
      <c r="Q86" s="81"/>
      <c r="R86" s="81"/>
      <c r="S86" s="81"/>
      <c r="T86" s="81"/>
      <c r="U86" s="81"/>
      <c r="V86" s="81"/>
      <c r="W86" s="81"/>
      <c r="X86" s="81"/>
      <c r="AC86" s="435" t="s">
        <v>2</v>
      </c>
      <c r="AD86" s="81"/>
      <c r="AE86" s="81"/>
      <c r="AF86" s="81"/>
      <c r="AG86" s="81"/>
      <c r="AH86" s="81"/>
      <c r="AI86" s="81"/>
      <c r="AJ86" s="81"/>
    </row>
    <row r="87" spans="4:36" s="435" customFormat="1">
      <c r="D87" s="435" t="s">
        <v>79</v>
      </c>
      <c r="E87" s="435" t="s">
        <v>68</v>
      </c>
      <c r="F87" s="435" t="s">
        <v>274</v>
      </c>
      <c r="G87" s="435" t="s">
        <v>12</v>
      </c>
      <c r="H87" s="435" t="s">
        <v>264</v>
      </c>
      <c r="I87" s="435" t="s">
        <v>7</v>
      </c>
      <c r="J87" s="435" t="s">
        <v>265</v>
      </c>
      <c r="K87" s="435" t="s">
        <v>263</v>
      </c>
      <c r="N87" s="435" t="s">
        <v>263</v>
      </c>
      <c r="O87" s="435" t="s">
        <v>219</v>
      </c>
      <c r="P87" s="81"/>
      <c r="Q87" s="81"/>
      <c r="R87" s="81"/>
      <c r="S87" s="81"/>
      <c r="T87" s="81"/>
      <c r="U87" s="81"/>
      <c r="V87" s="81"/>
      <c r="W87" s="81"/>
      <c r="X87" s="81"/>
      <c r="AC87" s="435" t="s">
        <v>2</v>
      </c>
      <c r="AD87" s="81"/>
      <c r="AE87" s="81"/>
      <c r="AF87" s="81"/>
      <c r="AG87" s="81"/>
      <c r="AH87" s="81"/>
      <c r="AI87" s="81"/>
      <c r="AJ87" s="81"/>
    </row>
    <row r="88" spans="4:36" s="435" customFormat="1">
      <c r="D88" s="435" t="s">
        <v>79</v>
      </c>
      <c r="E88" s="435" t="s">
        <v>68</v>
      </c>
      <c r="F88" s="435" t="s">
        <v>274</v>
      </c>
      <c r="G88" s="435" t="s">
        <v>12</v>
      </c>
      <c r="H88" s="435" t="s">
        <v>264</v>
      </c>
      <c r="I88" s="435" t="s">
        <v>7</v>
      </c>
      <c r="J88" s="435" t="s">
        <v>265</v>
      </c>
      <c r="K88" s="435" t="s">
        <v>263</v>
      </c>
      <c r="N88" s="435" t="s">
        <v>263</v>
      </c>
      <c r="O88" s="435" t="s">
        <v>219</v>
      </c>
      <c r="P88" s="81"/>
      <c r="Q88" s="81"/>
      <c r="R88" s="81"/>
      <c r="S88" s="81"/>
      <c r="T88" s="81"/>
      <c r="U88" s="81"/>
      <c r="V88" s="81"/>
      <c r="W88" s="81"/>
      <c r="X88" s="81"/>
      <c r="AC88" s="435" t="s">
        <v>2</v>
      </c>
      <c r="AD88" s="81"/>
      <c r="AE88" s="81"/>
      <c r="AF88" s="81"/>
      <c r="AG88" s="81"/>
      <c r="AH88" s="81"/>
      <c r="AI88" s="81"/>
      <c r="AJ88" s="81"/>
    </row>
    <row r="89" spans="4:36" s="435" customFormat="1">
      <c r="D89" s="435" t="s">
        <v>79</v>
      </c>
      <c r="E89" s="435" t="s">
        <v>68</v>
      </c>
      <c r="F89" s="435" t="s">
        <v>274</v>
      </c>
      <c r="G89" s="435" t="s">
        <v>12</v>
      </c>
      <c r="H89" s="435" t="s">
        <v>264</v>
      </c>
      <c r="I89" s="435" t="s">
        <v>7</v>
      </c>
      <c r="J89" s="435" t="s">
        <v>265</v>
      </c>
      <c r="K89" s="435" t="s">
        <v>263</v>
      </c>
      <c r="N89" s="435" t="s">
        <v>263</v>
      </c>
      <c r="O89" s="435" t="s">
        <v>219</v>
      </c>
      <c r="P89" s="81"/>
      <c r="Q89" s="81"/>
      <c r="R89" s="81"/>
      <c r="S89" s="81"/>
      <c r="T89" s="81"/>
      <c r="U89" s="81"/>
      <c r="V89" s="81"/>
      <c r="W89" s="81"/>
      <c r="X89" s="81"/>
      <c r="AC89" s="435" t="s">
        <v>2</v>
      </c>
      <c r="AD89" s="81"/>
      <c r="AE89" s="81"/>
      <c r="AF89" s="81"/>
      <c r="AG89" s="81"/>
      <c r="AH89" s="81"/>
      <c r="AI89" s="81"/>
      <c r="AJ89" s="81"/>
    </row>
    <row r="90" spans="4:36" s="435" customFormat="1">
      <c r="D90" s="435" t="s">
        <v>79</v>
      </c>
      <c r="E90" s="435" t="s">
        <v>68</v>
      </c>
      <c r="F90" s="435" t="s">
        <v>274</v>
      </c>
      <c r="G90" s="435" t="s">
        <v>12</v>
      </c>
      <c r="H90" s="435" t="s">
        <v>264</v>
      </c>
      <c r="I90" s="435" t="s">
        <v>7</v>
      </c>
      <c r="J90" s="435" t="s">
        <v>265</v>
      </c>
      <c r="K90" s="435" t="s">
        <v>263</v>
      </c>
      <c r="N90" s="435" t="s">
        <v>263</v>
      </c>
      <c r="O90" s="435" t="s">
        <v>219</v>
      </c>
      <c r="P90" s="81"/>
      <c r="Q90" s="81"/>
      <c r="R90" s="81"/>
      <c r="S90" s="81"/>
      <c r="T90" s="81"/>
      <c r="U90" s="81"/>
      <c r="V90" s="81"/>
      <c r="W90" s="81"/>
      <c r="X90" s="81"/>
      <c r="AC90" s="435" t="s">
        <v>2</v>
      </c>
      <c r="AD90" s="81"/>
      <c r="AE90" s="81"/>
      <c r="AF90" s="81"/>
      <c r="AG90" s="81"/>
      <c r="AH90" s="81"/>
      <c r="AI90" s="81"/>
      <c r="AJ90" s="81"/>
    </row>
    <row r="91" spans="4:36" s="435" customFormat="1">
      <c r="D91" s="435" t="s">
        <v>79</v>
      </c>
      <c r="E91" s="435" t="s">
        <v>68</v>
      </c>
      <c r="F91" s="435" t="s">
        <v>274</v>
      </c>
      <c r="G91" s="435" t="s">
        <v>12</v>
      </c>
      <c r="H91" s="435" t="s">
        <v>264</v>
      </c>
      <c r="I91" s="435" t="s">
        <v>7</v>
      </c>
      <c r="J91" s="435" t="s">
        <v>265</v>
      </c>
      <c r="K91" s="435" t="s">
        <v>263</v>
      </c>
      <c r="N91" s="435" t="s">
        <v>263</v>
      </c>
      <c r="O91" s="435" t="s">
        <v>219</v>
      </c>
      <c r="P91" s="81"/>
      <c r="Q91" s="81"/>
      <c r="R91" s="81"/>
      <c r="S91" s="81"/>
      <c r="T91" s="81"/>
      <c r="U91" s="81"/>
      <c r="V91" s="81"/>
      <c r="W91" s="81"/>
      <c r="X91" s="81"/>
      <c r="AC91" s="435" t="s">
        <v>2</v>
      </c>
      <c r="AD91" s="81"/>
      <c r="AE91" s="81"/>
      <c r="AF91" s="81"/>
      <c r="AG91" s="81"/>
      <c r="AH91" s="81"/>
      <c r="AI91" s="81"/>
      <c r="AJ91" s="81"/>
    </row>
    <row r="92" spans="4:36" s="435" customFormat="1">
      <c r="D92" s="435" t="s">
        <v>79</v>
      </c>
      <c r="E92" s="435" t="s">
        <v>68</v>
      </c>
      <c r="F92" s="435" t="s">
        <v>274</v>
      </c>
      <c r="G92" s="435" t="s">
        <v>12</v>
      </c>
      <c r="H92" s="435" t="s">
        <v>264</v>
      </c>
      <c r="I92" s="435" t="s">
        <v>7</v>
      </c>
      <c r="J92" s="435" t="s">
        <v>265</v>
      </c>
      <c r="K92" s="435" t="s">
        <v>263</v>
      </c>
      <c r="N92" s="435" t="s">
        <v>263</v>
      </c>
      <c r="O92" s="435" t="s">
        <v>219</v>
      </c>
      <c r="P92" s="81"/>
      <c r="Q92" s="81"/>
      <c r="R92" s="81"/>
      <c r="S92" s="81"/>
      <c r="T92" s="81"/>
      <c r="U92" s="81"/>
      <c r="V92" s="81"/>
      <c r="W92" s="81"/>
      <c r="X92" s="81"/>
      <c r="AC92" s="435" t="s">
        <v>2</v>
      </c>
      <c r="AD92" s="81"/>
      <c r="AE92" s="81"/>
      <c r="AF92" s="81"/>
      <c r="AG92" s="81"/>
      <c r="AH92" s="81"/>
      <c r="AI92" s="81"/>
      <c r="AJ92" s="81"/>
    </row>
    <row r="93" spans="4:36" s="435" customFormat="1">
      <c r="D93" s="435" t="s">
        <v>79</v>
      </c>
      <c r="E93" s="435" t="s">
        <v>68</v>
      </c>
      <c r="F93" s="435" t="s">
        <v>274</v>
      </c>
      <c r="G93" s="435" t="s">
        <v>12</v>
      </c>
      <c r="H93" s="435" t="s">
        <v>264</v>
      </c>
      <c r="I93" s="435" t="s">
        <v>7</v>
      </c>
      <c r="J93" s="435" t="s">
        <v>265</v>
      </c>
      <c r="K93" s="435" t="s">
        <v>263</v>
      </c>
      <c r="N93" s="435" t="s">
        <v>263</v>
      </c>
      <c r="O93" s="435" t="s">
        <v>219</v>
      </c>
      <c r="P93" s="81"/>
      <c r="Q93" s="81"/>
      <c r="R93" s="81"/>
      <c r="S93" s="81"/>
      <c r="T93" s="81"/>
      <c r="U93" s="81"/>
      <c r="V93" s="81"/>
      <c r="W93" s="81"/>
      <c r="X93" s="81"/>
      <c r="AC93" s="435" t="s">
        <v>2</v>
      </c>
      <c r="AD93" s="81"/>
      <c r="AE93" s="81"/>
      <c r="AF93" s="81"/>
      <c r="AG93" s="81"/>
      <c r="AH93" s="81"/>
      <c r="AI93" s="81"/>
      <c r="AJ93" s="81"/>
    </row>
    <row r="94" spans="4:36" s="435" customFormat="1">
      <c r="D94" s="435" t="s">
        <v>79</v>
      </c>
      <c r="E94" s="435" t="s">
        <v>68</v>
      </c>
      <c r="F94" s="435" t="s">
        <v>274</v>
      </c>
      <c r="G94" s="435" t="s">
        <v>12</v>
      </c>
      <c r="H94" s="435" t="s">
        <v>264</v>
      </c>
      <c r="I94" s="435" t="s">
        <v>7</v>
      </c>
      <c r="J94" s="435" t="s">
        <v>265</v>
      </c>
      <c r="K94" s="435" t="s">
        <v>263</v>
      </c>
      <c r="N94" s="435" t="s">
        <v>263</v>
      </c>
      <c r="O94" s="435" t="s">
        <v>219</v>
      </c>
      <c r="P94" s="81"/>
      <c r="Q94" s="81"/>
      <c r="R94" s="81"/>
      <c r="S94" s="81"/>
      <c r="T94" s="81"/>
      <c r="U94" s="81"/>
      <c r="V94" s="81"/>
      <c r="W94" s="81"/>
      <c r="X94" s="81"/>
      <c r="AC94" s="435" t="s">
        <v>2</v>
      </c>
      <c r="AD94" s="81"/>
      <c r="AE94" s="81"/>
      <c r="AF94" s="81"/>
      <c r="AG94" s="81"/>
      <c r="AH94" s="81"/>
      <c r="AI94" s="81"/>
      <c r="AJ94" s="81"/>
    </row>
    <row r="95" spans="4:36" s="435" customFormat="1">
      <c r="D95" s="435" t="s">
        <v>79</v>
      </c>
      <c r="E95" s="435" t="s">
        <v>68</v>
      </c>
      <c r="F95" s="435" t="s">
        <v>274</v>
      </c>
      <c r="G95" s="435" t="s">
        <v>12</v>
      </c>
      <c r="H95" s="435" t="s">
        <v>264</v>
      </c>
      <c r="I95" s="435" t="s">
        <v>7</v>
      </c>
      <c r="J95" s="435" t="s">
        <v>265</v>
      </c>
      <c r="K95" s="435" t="s">
        <v>263</v>
      </c>
      <c r="N95" s="435" t="s">
        <v>263</v>
      </c>
      <c r="O95" s="435" t="s">
        <v>219</v>
      </c>
      <c r="P95" s="81"/>
      <c r="Q95" s="81"/>
      <c r="R95" s="81"/>
      <c r="S95" s="81"/>
      <c r="T95" s="81"/>
      <c r="U95" s="81"/>
      <c r="V95" s="81"/>
      <c r="W95" s="81"/>
      <c r="X95" s="81"/>
      <c r="AC95" s="435" t="s">
        <v>2</v>
      </c>
      <c r="AD95" s="81"/>
      <c r="AE95" s="81"/>
      <c r="AF95" s="81"/>
      <c r="AG95" s="81"/>
      <c r="AH95" s="81"/>
      <c r="AI95" s="81"/>
      <c r="AJ95" s="81"/>
    </row>
    <row r="96" spans="4:36" s="435" customFormat="1">
      <c r="D96" s="435" t="s">
        <v>79</v>
      </c>
      <c r="E96" s="435" t="s">
        <v>68</v>
      </c>
      <c r="F96" s="435" t="s">
        <v>274</v>
      </c>
      <c r="G96" s="435" t="s">
        <v>12</v>
      </c>
      <c r="H96" s="435" t="s">
        <v>264</v>
      </c>
      <c r="I96" s="435" t="s">
        <v>7</v>
      </c>
      <c r="J96" s="435" t="s">
        <v>265</v>
      </c>
      <c r="K96" s="435" t="s">
        <v>263</v>
      </c>
      <c r="N96" s="435" t="s">
        <v>263</v>
      </c>
      <c r="O96" s="435" t="s">
        <v>219</v>
      </c>
      <c r="P96" s="81"/>
      <c r="Q96" s="81"/>
      <c r="R96" s="81"/>
      <c r="S96" s="81"/>
      <c r="T96" s="81"/>
      <c r="U96" s="81"/>
      <c r="V96" s="81"/>
      <c r="W96" s="81"/>
      <c r="X96" s="81"/>
      <c r="AC96" s="435" t="s">
        <v>2</v>
      </c>
      <c r="AD96" s="81"/>
      <c r="AE96" s="81"/>
      <c r="AF96" s="81"/>
      <c r="AG96" s="81"/>
      <c r="AH96" s="81"/>
      <c r="AI96" s="81"/>
      <c r="AJ96" s="81"/>
    </row>
    <row r="97" spans="1:36" s="435" customFormat="1">
      <c r="D97" s="435" t="s">
        <v>79</v>
      </c>
      <c r="E97" s="435" t="s">
        <v>68</v>
      </c>
      <c r="F97" s="435" t="s">
        <v>274</v>
      </c>
      <c r="G97" s="435" t="s">
        <v>12</v>
      </c>
      <c r="H97" s="435" t="s">
        <v>264</v>
      </c>
      <c r="I97" s="435" t="s">
        <v>7</v>
      </c>
      <c r="J97" s="435" t="s">
        <v>265</v>
      </c>
      <c r="K97" s="435" t="s">
        <v>263</v>
      </c>
      <c r="N97" s="435" t="s">
        <v>263</v>
      </c>
      <c r="O97" s="435" t="s">
        <v>219</v>
      </c>
      <c r="P97" s="81"/>
      <c r="Q97" s="81"/>
      <c r="R97" s="81"/>
      <c r="S97" s="81"/>
      <c r="T97" s="81"/>
      <c r="U97" s="81"/>
      <c r="V97" s="81"/>
      <c r="W97" s="81"/>
      <c r="X97" s="81"/>
      <c r="AC97" s="435" t="s">
        <v>2</v>
      </c>
      <c r="AD97" s="81"/>
      <c r="AE97" s="81"/>
      <c r="AF97" s="81"/>
      <c r="AG97" s="81"/>
      <c r="AH97" s="81"/>
      <c r="AI97" s="81"/>
      <c r="AJ97" s="81"/>
    </row>
    <row r="98" spans="1:36" s="435" customFormat="1">
      <c r="D98" s="435" t="s">
        <v>79</v>
      </c>
      <c r="E98" s="435" t="s">
        <v>68</v>
      </c>
      <c r="F98" s="435" t="s">
        <v>274</v>
      </c>
      <c r="G98" s="435" t="s">
        <v>12</v>
      </c>
      <c r="H98" s="435" t="s">
        <v>264</v>
      </c>
      <c r="I98" s="435" t="s">
        <v>7</v>
      </c>
      <c r="J98" s="435" t="s">
        <v>265</v>
      </c>
      <c r="K98" s="435" t="s">
        <v>263</v>
      </c>
      <c r="N98" s="435" t="s">
        <v>263</v>
      </c>
      <c r="O98" s="435" t="s">
        <v>219</v>
      </c>
      <c r="P98" s="81"/>
      <c r="Q98" s="81"/>
      <c r="R98" s="81"/>
      <c r="S98" s="81"/>
      <c r="T98" s="81"/>
      <c r="U98" s="81"/>
      <c r="V98" s="81"/>
      <c r="W98" s="81"/>
      <c r="X98" s="81"/>
      <c r="AC98" s="435" t="s">
        <v>2</v>
      </c>
      <c r="AD98" s="81"/>
      <c r="AE98" s="81"/>
      <c r="AF98" s="81"/>
      <c r="AG98" s="81"/>
      <c r="AH98" s="81"/>
      <c r="AI98" s="81"/>
      <c r="AJ98" s="81"/>
    </row>
    <row r="99" spans="1:36" s="435" customFormat="1">
      <c r="D99" s="435" t="s">
        <v>79</v>
      </c>
      <c r="E99" s="435" t="s">
        <v>68</v>
      </c>
      <c r="F99" s="435" t="s">
        <v>274</v>
      </c>
      <c r="G99" s="435" t="s">
        <v>12</v>
      </c>
      <c r="H99" s="435" t="s">
        <v>264</v>
      </c>
      <c r="I99" s="435" t="s">
        <v>7</v>
      </c>
      <c r="J99" s="435" t="s">
        <v>265</v>
      </c>
      <c r="K99" s="435" t="s">
        <v>263</v>
      </c>
      <c r="N99" s="435" t="s">
        <v>263</v>
      </c>
      <c r="O99" s="435" t="s">
        <v>219</v>
      </c>
      <c r="P99" s="81"/>
      <c r="Q99" s="81"/>
      <c r="R99" s="81"/>
      <c r="S99" s="81"/>
      <c r="T99" s="81"/>
      <c r="U99" s="81"/>
      <c r="V99" s="81"/>
      <c r="W99" s="81"/>
      <c r="X99" s="81"/>
      <c r="AC99" s="435" t="s">
        <v>2</v>
      </c>
      <c r="AD99" s="81"/>
      <c r="AE99" s="81"/>
      <c r="AF99" s="81"/>
      <c r="AG99" s="81"/>
      <c r="AH99" s="81"/>
      <c r="AI99" s="81"/>
      <c r="AJ99" s="81"/>
    </row>
    <row r="100" spans="1:36">
      <c r="D100" t="s">
        <v>79</v>
      </c>
      <c r="E100" t="s">
        <v>68</v>
      </c>
      <c r="F100" s="435" t="s">
        <v>274</v>
      </c>
      <c r="G100" s="435" t="s">
        <v>12</v>
      </c>
      <c r="H100" t="s">
        <v>264</v>
      </c>
      <c r="I100" t="s">
        <v>7</v>
      </c>
      <c r="J100" t="s">
        <v>265</v>
      </c>
      <c r="K100" t="s">
        <v>263</v>
      </c>
      <c r="N100" t="s">
        <v>263</v>
      </c>
      <c r="O100" t="s">
        <v>219</v>
      </c>
      <c r="P100" s="81"/>
      <c r="Q100" s="81"/>
      <c r="R100" s="81"/>
      <c r="S100" s="81"/>
      <c r="T100" s="81"/>
      <c r="U100" s="81"/>
      <c r="V100" s="81"/>
      <c r="W100" s="81"/>
      <c r="X100" s="81"/>
      <c r="AC100" t="s">
        <v>2</v>
      </c>
      <c r="AD100" s="81"/>
      <c r="AE100" s="81"/>
      <c r="AF100" s="81"/>
      <c r="AG100" s="81"/>
      <c r="AH100" s="81"/>
      <c r="AI100" s="81"/>
      <c r="AJ100" s="81"/>
    </row>
    <row r="101" spans="1:36">
      <c r="D101" t="s">
        <v>79</v>
      </c>
      <c r="E101" t="s">
        <v>68</v>
      </c>
      <c r="F101" s="435" t="s">
        <v>274</v>
      </c>
      <c r="G101" s="435" t="s">
        <v>12</v>
      </c>
      <c r="H101" t="s">
        <v>264</v>
      </c>
      <c r="I101" t="s">
        <v>7</v>
      </c>
      <c r="J101" t="s">
        <v>265</v>
      </c>
      <c r="K101" t="s">
        <v>263</v>
      </c>
      <c r="N101" t="s">
        <v>263</v>
      </c>
      <c r="O101" t="s">
        <v>219</v>
      </c>
      <c r="P101" s="81"/>
      <c r="Q101" s="81"/>
      <c r="R101" s="81"/>
      <c r="S101" s="81"/>
      <c r="T101" s="81"/>
      <c r="U101" s="81"/>
      <c r="V101" s="81"/>
      <c r="W101" s="81"/>
      <c r="X101" s="81"/>
      <c r="AC101" t="s">
        <v>2</v>
      </c>
      <c r="AD101" s="81"/>
      <c r="AE101" s="81"/>
      <c r="AF101" s="81"/>
      <c r="AG101" s="81"/>
      <c r="AH101" s="81"/>
      <c r="AI101" s="81"/>
      <c r="AJ101" s="81"/>
    </row>
    <row r="102" spans="1:36">
      <c r="D102" t="s">
        <v>79</v>
      </c>
      <c r="E102" t="s">
        <v>68</v>
      </c>
      <c r="F102" s="435" t="s">
        <v>274</v>
      </c>
      <c r="G102" s="435" t="s">
        <v>12</v>
      </c>
      <c r="H102" t="s">
        <v>264</v>
      </c>
      <c r="I102" t="s">
        <v>7</v>
      </c>
      <c r="J102" t="s">
        <v>265</v>
      </c>
      <c r="K102" t="s">
        <v>263</v>
      </c>
      <c r="N102" t="s">
        <v>263</v>
      </c>
      <c r="O102" t="s">
        <v>219</v>
      </c>
      <c r="P102" s="81"/>
      <c r="Q102" s="81"/>
      <c r="R102" s="81"/>
      <c r="S102" s="81"/>
      <c r="T102" s="81"/>
      <c r="U102" s="81"/>
      <c r="V102" s="81"/>
      <c r="W102" s="81"/>
      <c r="X102" s="81"/>
      <c r="AC102" t="s">
        <v>2</v>
      </c>
      <c r="AD102" s="81"/>
      <c r="AE102" s="81"/>
      <c r="AF102" s="81"/>
      <c r="AG102" s="81"/>
      <c r="AH102" s="81"/>
      <c r="AI102" s="81"/>
      <c r="AJ102" s="81"/>
    </row>
    <row r="103" spans="1:36">
      <c r="D103" t="s">
        <v>79</v>
      </c>
      <c r="E103" t="s">
        <v>68</v>
      </c>
      <c r="F103" s="435" t="s">
        <v>274</v>
      </c>
      <c r="G103" s="435" t="s">
        <v>12</v>
      </c>
      <c r="H103" t="s">
        <v>264</v>
      </c>
      <c r="I103" t="s">
        <v>7</v>
      </c>
      <c r="J103" t="s">
        <v>265</v>
      </c>
      <c r="K103" t="s">
        <v>263</v>
      </c>
      <c r="N103" t="s">
        <v>263</v>
      </c>
      <c r="O103" t="s">
        <v>219</v>
      </c>
      <c r="P103" s="81"/>
      <c r="Q103" s="81"/>
      <c r="R103" s="81"/>
      <c r="S103" s="81"/>
      <c r="T103" s="81"/>
      <c r="U103" s="81"/>
      <c r="V103" s="81"/>
      <c r="W103" s="81"/>
      <c r="X103" s="81"/>
      <c r="AC103" t="s">
        <v>2</v>
      </c>
      <c r="AD103" s="81"/>
      <c r="AE103" s="81"/>
      <c r="AF103" s="81"/>
      <c r="AG103" s="81"/>
      <c r="AH103" s="81"/>
      <c r="AI103" s="81"/>
      <c r="AJ103" s="81"/>
    </row>
    <row r="104" spans="1:36">
      <c r="D104" t="s">
        <v>79</v>
      </c>
      <c r="E104" t="s">
        <v>68</v>
      </c>
      <c r="F104" s="435" t="s">
        <v>274</v>
      </c>
      <c r="G104" s="435" t="s">
        <v>12</v>
      </c>
      <c r="H104" t="s">
        <v>264</v>
      </c>
      <c r="I104" t="s">
        <v>7</v>
      </c>
      <c r="J104" t="s">
        <v>265</v>
      </c>
      <c r="K104" t="s">
        <v>263</v>
      </c>
      <c r="N104" t="s">
        <v>263</v>
      </c>
      <c r="O104" t="s">
        <v>219</v>
      </c>
      <c r="P104" s="81"/>
      <c r="Q104" s="81"/>
      <c r="R104" s="81"/>
      <c r="S104" s="81"/>
      <c r="T104" s="81"/>
      <c r="U104" s="81"/>
      <c r="V104" s="81"/>
      <c r="W104" s="81"/>
      <c r="X104" s="81"/>
      <c r="AC104" t="s">
        <v>2</v>
      </c>
      <c r="AD104" s="81"/>
      <c r="AE104" s="81"/>
      <c r="AF104" s="81"/>
      <c r="AG104" s="81"/>
      <c r="AH104" s="81"/>
      <c r="AI104" s="81"/>
      <c r="AJ104" s="81"/>
    </row>
    <row r="105" spans="1:36">
      <c r="D105" t="s">
        <v>79</v>
      </c>
      <c r="E105" t="s">
        <v>68</v>
      </c>
      <c r="F105" s="435" t="s">
        <v>274</v>
      </c>
      <c r="G105" s="435" t="s">
        <v>12</v>
      </c>
      <c r="H105" t="s">
        <v>264</v>
      </c>
      <c r="I105" t="s">
        <v>7</v>
      </c>
      <c r="J105" t="s">
        <v>265</v>
      </c>
      <c r="K105" t="s">
        <v>263</v>
      </c>
      <c r="N105" t="s">
        <v>263</v>
      </c>
      <c r="O105" t="s">
        <v>219</v>
      </c>
      <c r="P105" s="81"/>
      <c r="Q105" s="81"/>
      <c r="R105" s="81"/>
      <c r="S105" s="81"/>
      <c r="T105" s="81"/>
      <c r="U105" s="81"/>
      <c r="V105" s="81"/>
      <c r="W105" s="81"/>
      <c r="X105" s="81"/>
      <c r="AC105" t="s">
        <v>2</v>
      </c>
      <c r="AD105" s="81"/>
      <c r="AE105" s="81"/>
      <c r="AF105" s="81"/>
      <c r="AG105" s="81"/>
      <c r="AH105" s="81"/>
      <c r="AI105" s="81"/>
      <c r="AJ105" s="81"/>
    </row>
    <row r="106" spans="1:36">
      <c r="D106" t="s">
        <v>79</v>
      </c>
      <c r="E106" t="s">
        <v>68</v>
      </c>
      <c r="F106" s="435" t="s">
        <v>274</v>
      </c>
      <c r="G106" s="435" t="s">
        <v>12</v>
      </c>
      <c r="H106" t="s">
        <v>264</v>
      </c>
      <c r="I106" t="s">
        <v>7</v>
      </c>
      <c r="J106" t="s">
        <v>265</v>
      </c>
      <c r="K106" t="s">
        <v>263</v>
      </c>
      <c r="N106" t="s">
        <v>263</v>
      </c>
      <c r="O106" t="s">
        <v>219</v>
      </c>
      <c r="P106" s="81"/>
      <c r="Q106" s="81"/>
      <c r="R106" s="81"/>
      <c r="S106" s="81"/>
      <c r="T106" s="81"/>
      <c r="U106" s="81"/>
      <c r="V106" s="81"/>
      <c r="W106" s="81"/>
      <c r="X106" s="81"/>
      <c r="AC106" t="s">
        <v>2</v>
      </c>
      <c r="AD106" s="81"/>
      <c r="AE106" s="81"/>
      <c r="AF106" s="81"/>
      <c r="AG106" s="81"/>
      <c r="AH106" s="81"/>
      <c r="AI106" s="81"/>
      <c r="AJ106" s="81"/>
    </row>
    <row r="107" spans="1:36">
      <c r="D107" t="s">
        <v>79</v>
      </c>
      <c r="E107" t="s">
        <v>68</v>
      </c>
      <c r="F107" s="435" t="s">
        <v>274</v>
      </c>
      <c r="G107" s="435" t="s">
        <v>12</v>
      </c>
      <c r="H107" t="s">
        <v>264</v>
      </c>
      <c r="I107" t="s">
        <v>7</v>
      </c>
      <c r="J107" t="s">
        <v>265</v>
      </c>
      <c r="K107" t="s">
        <v>263</v>
      </c>
      <c r="N107" t="s">
        <v>263</v>
      </c>
      <c r="O107" t="s">
        <v>219</v>
      </c>
      <c r="P107" s="81"/>
      <c r="Q107" s="81"/>
      <c r="R107" s="81"/>
      <c r="S107" s="81"/>
      <c r="T107" s="81"/>
      <c r="U107" s="81"/>
      <c r="V107" s="81"/>
      <c r="W107" s="81"/>
      <c r="X107" s="81"/>
      <c r="Y107" s="435"/>
      <c r="Z107" s="435"/>
      <c r="AA107" s="435"/>
      <c r="AB107" s="435"/>
      <c r="AC107" s="435" t="s">
        <v>2</v>
      </c>
      <c r="AD107" s="81"/>
      <c r="AE107" s="81"/>
      <c r="AF107" s="81"/>
      <c r="AG107" s="81"/>
      <c r="AH107" s="81"/>
      <c r="AI107" s="81"/>
      <c r="AJ107" s="81"/>
    </row>
    <row r="108" spans="1:36">
      <c r="D108" t="s">
        <v>79</v>
      </c>
      <c r="E108" t="s">
        <v>68</v>
      </c>
      <c r="F108" s="435" t="s">
        <v>274</v>
      </c>
      <c r="G108" s="435" t="s">
        <v>12</v>
      </c>
      <c r="H108" t="s">
        <v>264</v>
      </c>
      <c r="I108" t="s">
        <v>7</v>
      </c>
      <c r="J108" t="s">
        <v>265</v>
      </c>
      <c r="K108" t="s">
        <v>263</v>
      </c>
      <c r="N108" t="s">
        <v>263</v>
      </c>
      <c r="O108" t="s">
        <v>219</v>
      </c>
      <c r="P108" s="81"/>
      <c r="Q108" s="81"/>
      <c r="R108" s="81"/>
      <c r="S108" s="81"/>
      <c r="T108" s="81"/>
      <c r="U108" s="81"/>
      <c r="V108" s="81"/>
      <c r="W108" s="81"/>
      <c r="X108" s="81"/>
      <c r="Y108" s="435"/>
      <c r="Z108" s="435"/>
      <c r="AA108" s="435"/>
      <c r="AB108" s="435"/>
      <c r="AC108" s="435" t="s">
        <v>2</v>
      </c>
      <c r="AD108" s="81"/>
      <c r="AE108" s="81"/>
      <c r="AF108" s="81"/>
      <c r="AG108" s="81"/>
      <c r="AH108" s="81"/>
      <c r="AI108" s="81"/>
      <c r="AJ108" s="81"/>
    </row>
    <row r="109" spans="1:36" s="67" customFormat="1">
      <c r="D109" t="s">
        <v>79</v>
      </c>
      <c r="E109" t="s">
        <v>68</v>
      </c>
      <c r="F109" s="435" t="s">
        <v>274</v>
      </c>
      <c r="G109" s="435" t="s">
        <v>12</v>
      </c>
      <c r="H109" t="s">
        <v>264</v>
      </c>
      <c r="I109" t="s">
        <v>7</v>
      </c>
      <c r="J109" t="s">
        <v>265</v>
      </c>
      <c r="K109" t="s">
        <v>263</v>
      </c>
      <c r="L109"/>
      <c r="M109"/>
      <c r="N109" t="s">
        <v>263</v>
      </c>
      <c r="O109" t="s">
        <v>219</v>
      </c>
      <c r="P109" s="81"/>
      <c r="Q109" s="81"/>
      <c r="R109" s="81"/>
      <c r="S109" s="81"/>
      <c r="T109" s="81"/>
      <c r="U109" s="81"/>
      <c r="V109" s="81"/>
      <c r="W109" s="81"/>
      <c r="X109" s="81"/>
      <c r="Y109" s="435"/>
      <c r="Z109" s="435"/>
      <c r="AA109" s="435"/>
      <c r="AB109" s="435"/>
      <c r="AC109" s="435" t="s">
        <v>2</v>
      </c>
      <c r="AD109" s="81"/>
      <c r="AE109" s="81"/>
      <c r="AF109" s="81"/>
      <c r="AG109" s="81"/>
      <c r="AH109" s="81"/>
      <c r="AI109" s="81"/>
      <c r="AJ109" s="81"/>
    </row>
    <row r="111" spans="1:36" s="73" customFormat="1" ht="18">
      <c r="A111" s="74" t="s">
        <v>76</v>
      </c>
    </row>
  </sheetData>
  <mergeCells count="1">
    <mergeCell ref="AE6:AI6"/>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Lists'!$Q$11:$Q$23</xm:f>
          </x14:formula1>
          <xm:sqref>X13:X109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0"/>
  <sheetViews>
    <sheetView zoomScale="80" zoomScaleNormal="80" workbookViewId="0">
      <pane ySplit="8" topLeftCell="A9" activePane="bottomLeft" state="frozen"/>
      <selection activeCell="J37" sqref="J37"/>
      <selection pane="bottomLeft"/>
    </sheetView>
  </sheetViews>
  <sheetFormatPr defaultRowHeight="14.25"/>
  <cols>
    <col min="1" max="3" width="1.73046875" customWidth="1"/>
    <col min="4" max="4" width="8.1328125" bestFit="1" customWidth="1"/>
    <col min="5" max="5" width="5" bestFit="1" customWidth="1"/>
    <col min="6" max="6" width="12.73046875" style="435" bestFit="1" customWidth="1"/>
    <col min="7" max="7" width="11.265625" style="435" bestFit="1" customWidth="1"/>
    <col min="8" max="8" width="14.86328125" bestFit="1" customWidth="1"/>
    <col min="9" max="9" width="10" bestFit="1" customWidth="1"/>
    <col min="10" max="10" width="23.3984375" bestFit="1" customWidth="1"/>
    <col min="11" max="13" width="1.73046875" customWidth="1"/>
    <col min="14" max="14" width="17.265625" bestFit="1" customWidth="1"/>
    <col min="15" max="15" width="14.86328125" bestFit="1" customWidth="1"/>
    <col min="16" max="16" width="18.3984375" customWidth="1"/>
    <col min="17" max="17" width="17.1328125" bestFit="1" customWidth="1"/>
    <col min="18" max="18" width="10.86328125" bestFit="1" customWidth="1"/>
    <col min="19" max="19" width="10" bestFit="1" customWidth="1"/>
    <col min="20"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1060</v>
      </c>
    </row>
    <row r="6" spans="1:35">
      <c r="AD6" s="67"/>
      <c r="AE6" s="1362" t="s">
        <v>112</v>
      </c>
      <c r="AF6" s="1363"/>
      <c r="AG6" s="1363"/>
      <c r="AH6" s="1363"/>
      <c r="AI6" s="1364"/>
    </row>
    <row r="7" spans="1:35" s="67" customFormat="1">
      <c r="D7" s="87" t="s">
        <v>111</v>
      </c>
      <c r="E7" s="87" t="s">
        <v>68</v>
      </c>
      <c r="F7" s="87" t="s">
        <v>2680</v>
      </c>
      <c r="G7" s="87" t="s">
        <v>2681</v>
      </c>
      <c r="H7" s="87" t="s">
        <v>110</v>
      </c>
      <c r="I7" s="87" t="s">
        <v>109</v>
      </c>
      <c r="J7" s="87" t="s">
        <v>108</v>
      </c>
      <c r="K7" s="87" t="s">
        <v>107</v>
      </c>
      <c r="L7" s="87" t="s">
        <v>106</v>
      </c>
      <c r="M7" s="87" t="s">
        <v>105</v>
      </c>
      <c r="N7" s="87" t="s">
        <v>104</v>
      </c>
      <c r="O7" s="87" t="s">
        <v>103</v>
      </c>
      <c r="P7" s="87" t="s">
        <v>102</v>
      </c>
      <c r="Q7" s="87" t="s">
        <v>71</v>
      </c>
      <c r="R7" s="67" t="s">
        <v>163</v>
      </c>
      <c r="S7" s="67" t="s">
        <v>164</v>
      </c>
      <c r="T7" s="86" t="s">
        <v>99</v>
      </c>
      <c r="U7" s="86" t="s">
        <v>98</v>
      </c>
      <c r="V7" s="86" t="s">
        <v>97</v>
      </c>
      <c r="W7" s="86" t="s">
        <v>96</v>
      </c>
      <c r="X7" s="86" t="s">
        <v>95</v>
      </c>
      <c r="Y7" s="86" t="s">
        <v>94</v>
      </c>
      <c r="Z7" s="86" t="s">
        <v>93</v>
      </c>
      <c r="AA7" s="86" t="s">
        <v>92</v>
      </c>
      <c r="AB7" s="86" t="s">
        <v>91</v>
      </c>
      <c r="AC7" s="67" t="s">
        <v>5</v>
      </c>
      <c r="AE7" s="90">
        <v>2022</v>
      </c>
      <c r="AF7" s="91">
        <v>2023</v>
      </c>
      <c r="AG7" s="91">
        <v>2024</v>
      </c>
      <c r="AH7" s="91">
        <v>2025</v>
      </c>
      <c r="AI7" s="92">
        <v>2026</v>
      </c>
    </row>
    <row r="8" spans="1:35">
      <c r="R8" s="67"/>
      <c r="S8" s="67"/>
      <c r="T8" s="67"/>
      <c r="U8" s="67"/>
      <c r="V8" s="67"/>
    </row>
    <row r="9" spans="1:35" s="1" customFormat="1" ht="17.649999999999999">
      <c r="B9" s="2" t="s">
        <v>1061</v>
      </c>
    </row>
    <row r="11" spans="1:35" s="1" customFormat="1" ht="13.9">
      <c r="A11" s="66"/>
      <c r="B11" s="78" t="s">
        <v>274</v>
      </c>
    </row>
    <row r="13" spans="1:35">
      <c r="D13" t="s">
        <v>79</v>
      </c>
      <c r="E13" t="s">
        <v>68</v>
      </c>
      <c r="F13" s="435" t="s">
        <v>274</v>
      </c>
      <c r="G13" s="435" t="s">
        <v>12</v>
      </c>
      <c r="H13" t="s">
        <v>166</v>
      </c>
      <c r="I13" t="s">
        <v>7</v>
      </c>
      <c r="J13" t="s">
        <v>1062</v>
      </c>
      <c r="N13" t="s">
        <v>117</v>
      </c>
      <c r="O13" t="s">
        <v>4</v>
      </c>
      <c r="P13" s="81"/>
      <c r="Q13" s="81"/>
      <c r="R13" s="81"/>
      <c r="S13" s="81"/>
      <c r="AC13" t="s">
        <v>2</v>
      </c>
      <c r="AD13" s="80"/>
      <c r="AE13" s="81"/>
      <c r="AF13" s="81"/>
      <c r="AG13" s="81"/>
      <c r="AH13" s="81"/>
      <c r="AI13" s="81"/>
    </row>
    <row r="14" spans="1:35">
      <c r="D14" t="s">
        <v>79</v>
      </c>
      <c r="E14" t="s">
        <v>68</v>
      </c>
      <c r="F14" s="435" t="s">
        <v>274</v>
      </c>
      <c r="G14" s="435" t="s">
        <v>12</v>
      </c>
      <c r="H14" t="s">
        <v>166</v>
      </c>
      <c r="I14" t="s">
        <v>7</v>
      </c>
      <c r="J14" t="s">
        <v>1062</v>
      </c>
      <c r="N14" s="435" t="s">
        <v>117</v>
      </c>
      <c r="O14" t="s">
        <v>4</v>
      </c>
      <c r="P14" s="81"/>
      <c r="Q14" s="81"/>
      <c r="R14" s="81"/>
      <c r="S14" s="81"/>
      <c r="AC14" t="s">
        <v>2</v>
      </c>
      <c r="AD14" s="80"/>
      <c r="AE14" s="81"/>
      <c r="AF14" s="81"/>
      <c r="AG14" s="81"/>
      <c r="AH14" s="81"/>
      <c r="AI14" s="81"/>
    </row>
    <row r="15" spans="1:35">
      <c r="D15" t="s">
        <v>79</v>
      </c>
      <c r="E15" t="s">
        <v>68</v>
      </c>
      <c r="F15" s="435" t="s">
        <v>274</v>
      </c>
      <c r="G15" s="435" t="s">
        <v>12</v>
      </c>
      <c r="H15" t="s">
        <v>166</v>
      </c>
      <c r="I15" t="s">
        <v>7</v>
      </c>
      <c r="J15" t="s">
        <v>1062</v>
      </c>
      <c r="N15" s="435" t="s">
        <v>117</v>
      </c>
      <c r="O15" t="s">
        <v>4</v>
      </c>
      <c r="P15" s="81"/>
      <c r="Q15" s="81"/>
      <c r="R15" s="81"/>
      <c r="S15" s="81"/>
      <c r="AC15" t="s">
        <v>2</v>
      </c>
      <c r="AD15" s="80"/>
      <c r="AE15" s="81"/>
      <c r="AF15" s="81"/>
      <c r="AG15" s="81"/>
      <c r="AH15" s="81"/>
      <c r="AI15" s="81"/>
    </row>
    <row r="16" spans="1:35">
      <c r="D16" t="s">
        <v>79</v>
      </c>
      <c r="E16" t="s">
        <v>68</v>
      </c>
      <c r="F16" s="435" t="s">
        <v>274</v>
      </c>
      <c r="G16" s="435" t="s">
        <v>12</v>
      </c>
      <c r="H16" t="s">
        <v>166</v>
      </c>
      <c r="I16" t="s">
        <v>7</v>
      </c>
      <c r="J16" t="s">
        <v>1062</v>
      </c>
      <c r="N16" s="435" t="s">
        <v>117</v>
      </c>
      <c r="O16" t="s">
        <v>4</v>
      </c>
      <c r="P16" s="81"/>
      <c r="Q16" s="81"/>
      <c r="R16" s="81"/>
      <c r="S16" s="81"/>
      <c r="AC16" t="s">
        <v>2</v>
      </c>
      <c r="AD16" s="80"/>
      <c r="AE16" s="81"/>
      <c r="AF16" s="81"/>
      <c r="AG16" s="81"/>
      <c r="AH16" s="81"/>
      <c r="AI16" s="81"/>
    </row>
    <row r="17" spans="4:35">
      <c r="D17" t="s">
        <v>79</v>
      </c>
      <c r="E17" t="s">
        <v>68</v>
      </c>
      <c r="F17" s="435" t="s">
        <v>274</v>
      </c>
      <c r="G17" s="435" t="s">
        <v>12</v>
      </c>
      <c r="H17" t="s">
        <v>166</v>
      </c>
      <c r="I17" t="s">
        <v>7</v>
      </c>
      <c r="J17" t="s">
        <v>1062</v>
      </c>
      <c r="N17" s="435" t="s">
        <v>117</v>
      </c>
      <c r="O17" t="s">
        <v>4</v>
      </c>
      <c r="P17" s="81"/>
      <c r="Q17" s="81"/>
      <c r="R17" s="81"/>
      <c r="S17" s="81"/>
      <c r="AC17" t="s">
        <v>2</v>
      </c>
      <c r="AD17" s="80"/>
      <c r="AE17" s="81"/>
      <c r="AF17" s="81"/>
      <c r="AG17" s="81"/>
      <c r="AH17" s="81"/>
      <c r="AI17" s="81"/>
    </row>
    <row r="18" spans="4:35">
      <c r="D18" t="s">
        <v>79</v>
      </c>
      <c r="E18" t="s">
        <v>68</v>
      </c>
      <c r="F18" s="435" t="s">
        <v>274</v>
      </c>
      <c r="G18" s="435" t="s">
        <v>12</v>
      </c>
      <c r="H18" t="s">
        <v>166</v>
      </c>
      <c r="I18" t="s">
        <v>7</v>
      </c>
      <c r="J18" t="s">
        <v>1062</v>
      </c>
      <c r="N18" s="435" t="s">
        <v>117</v>
      </c>
      <c r="O18" t="s">
        <v>4</v>
      </c>
      <c r="P18" s="81"/>
      <c r="Q18" s="81"/>
      <c r="R18" s="81"/>
      <c r="S18" s="81"/>
      <c r="AC18" t="s">
        <v>2</v>
      </c>
      <c r="AD18" s="80"/>
      <c r="AE18" s="81"/>
      <c r="AF18" s="81"/>
      <c r="AG18" s="81"/>
      <c r="AH18" s="81"/>
      <c r="AI18" s="81"/>
    </row>
    <row r="19" spans="4:35">
      <c r="D19" t="s">
        <v>79</v>
      </c>
      <c r="E19" t="s">
        <v>68</v>
      </c>
      <c r="F19" s="435" t="s">
        <v>274</v>
      </c>
      <c r="G19" s="435" t="s">
        <v>12</v>
      </c>
      <c r="H19" t="s">
        <v>166</v>
      </c>
      <c r="I19" t="s">
        <v>7</v>
      </c>
      <c r="J19" t="s">
        <v>1062</v>
      </c>
      <c r="N19" s="435" t="s">
        <v>117</v>
      </c>
      <c r="O19" t="s">
        <v>4</v>
      </c>
      <c r="P19" s="81"/>
      <c r="Q19" s="81"/>
      <c r="R19" s="81"/>
      <c r="S19" s="81"/>
      <c r="AC19" t="s">
        <v>2</v>
      </c>
      <c r="AD19" s="80"/>
      <c r="AE19" s="81"/>
      <c r="AF19" s="81"/>
      <c r="AG19" s="81"/>
      <c r="AH19" s="81"/>
      <c r="AI19" s="81"/>
    </row>
    <row r="20" spans="4:35">
      <c r="D20" t="s">
        <v>79</v>
      </c>
      <c r="E20" t="s">
        <v>68</v>
      </c>
      <c r="F20" s="435" t="s">
        <v>274</v>
      </c>
      <c r="G20" s="435" t="s">
        <v>12</v>
      </c>
      <c r="H20" t="s">
        <v>166</v>
      </c>
      <c r="I20" t="s">
        <v>7</v>
      </c>
      <c r="J20" t="s">
        <v>1062</v>
      </c>
      <c r="N20" s="435" t="s">
        <v>117</v>
      </c>
      <c r="O20" t="s">
        <v>4</v>
      </c>
      <c r="P20" s="81"/>
      <c r="Q20" s="81"/>
      <c r="R20" s="81"/>
      <c r="S20" s="81"/>
      <c r="AC20" t="s">
        <v>2</v>
      </c>
      <c r="AD20" s="80"/>
      <c r="AE20" s="81"/>
      <c r="AF20" s="81"/>
      <c r="AG20" s="81"/>
      <c r="AH20" s="81"/>
      <c r="AI20" s="81"/>
    </row>
    <row r="21" spans="4:35">
      <c r="D21" t="s">
        <v>79</v>
      </c>
      <c r="E21" t="s">
        <v>68</v>
      </c>
      <c r="F21" s="435" t="s">
        <v>274</v>
      </c>
      <c r="G21" s="435" t="s">
        <v>12</v>
      </c>
      <c r="H21" t="s">
        <v>166</v>
      </c>
      <c r="I21" t="s">
        <v>7</v>
      </c>
      <c r="J21" t="s">
        <v>1062</v>
      </c>
      <c r="N21" s="435" t="s">
        <v>117</v>
      </c>
      <c r="O21" t="s">
        <v>4</v>
      </c>
      <c r="P21" s="81"/>
      <c r="Q21" s="81"/>
      <c r="R21" s="81"/>
      <c r="S21" s="81"/>
      <c r="AC21" t="s">
        <v>2</v>
      </c>
      <c r="AD21" s="80"/>
      <c r="AE21" s="81"/>
      <c r="AF21" s="81"/>
      <c r="AG21" s="81"/>
      <c r="AH21" s="81"/>
      <c r="AI21" s="81"/>
    </row>
    <row r="22" spans="4:35">
      <c r="D22" t="s">
        <v>79</v>
      </c>
      <c r="E22" t="s">
        <v>68</v>
      </c>
      <c r="F22" s="435" t="s">
        <v>274</v>
      </c>
      <c r="G22" s="435" t="s">
        <v>12</v>
      </c>
      <c r="H22" t="s">
        <v>166</v>
      </c>
      <c r="I22" t="s">
        <v>7</v>
      </c>
      <c r="J22" t="s">
        <v>1062</v>
      </c>
      <c r="N22" s="435" t="s">
        <v>117</v>
      </c>
      <c r="O22" t="s">
        <v>4</v>
      </c>
      <c r="P22" s="81"/>
      <c r="Q22" s="81"/>
      <c r="R22" s="81"/>
      <c r="S22" s="81"/>
      <c r="AC22" t="s">
        <v>2</v>
      </c>
      <c r="AD22" s="80"/>
      <c r="AE22" s="81"/>
      <c r="AF22" s="81"/>
      <c r="AG22" s="81"/>
      <c r="AH22" s="81"/>
      <c r="AI22" s="81"/>
    </row>
    <row r="23" spans="4:35">
      <c r="D23" t="s">
        <v>79</v>
      </c>
      <c r="E23" t="s">
        <v>68</v>
      </c>
      <c r="F23" s="435" t="s">
        <v>274</v>
      </c>
      <c r="G23" s="435" t="s">
        <v>12</v>
      </c>
      <c r="H23" t="s">
        <v>166</v>
      </c>
      <c r="I23" t="s">
        <v>7</v>
      </c>
      <c r="J23" t="s">
        <v>1062</v>
      </c>
      <c r="N23" s="435" t="s">
        <v>117</v>
      </c>
      <c r="O23" t="s">
        <v>4</v>
      </c>
      <c r="P23" s="81"/>
      <c r="Q23" s="81"/>
      <c r="R23" s="81"/>
      <c r="S23" s="81"/>
      <c r="AC23" t="s">
        <v>2</v>
      </c>
      <c r="AD23" s="80"/>
      <c r="AE23" s="81"/>
      <c r="AF23" s="81"/>
      <c r="AG23" s="81"/>
      <c r="AH23" s="81"/>
      <c r="AI23" s="81"/>
    </row>
    <row r="24" spans="4:35">
      <c r="D24" t="s">
        <v>79</v>
      </c>
      <c r="E24" t="s">
        <v>68</v>
      </c>
      <c r="F24" s="435" t="s">
        <v>274</v>
      </c>
      <c r="G24" s="435" t="s">
        <v>12</v>
      </c>
      <c r="H24" t="s">
        <v>166</v>
      </c>
      <c r="I24" t="s">
        <v>7</v>
      </c>
      <c r="J24" t="s">
        <v>1062</v>
      </c>
      <c r="N24" s="435" t="s">
        <v>117</v>
      </c>
      <c r="O24" t="s">
        <v>4</v>
      </c>
      <c r="P24" s="81"/>
      <c r="Q24" s="81"/>
      <c r="R24" s="81"/>
      <c r="S24" s="81"/>
      <c r="AC24" t="s">
        <v>2</v>
      </c>
      <c r="AD24" s="80"/>
      <c r="AE24" s="81"/>
      <c r="AF24" s="81"/>
      <c r="AG24" s="81"/>
      <c r="AH24" s="81"/>
      <c r="AI24" s="81"/>
    </row>
    <row r="25" spans="4:35">
      <c r="D25" t="s">
        <v>79</v>
      </c>
      <c r="E25" t="s">
        <v>68</v>
      </c>
      <c r="F25" s="435" t="s">
        <v>274</v>
      </c>
      <c r="G25" s="435" t="s">
        <v>12</v>
      </c>
      <c r="H25" t="s">
        <v>166</v>
      </c>
      <c r="I25" t="s">
        <v>7</v>
      </c>
      <c r="J25" t="s">
        <v>1062</v>
      </c>
      <c r="N25" s="435" t="s">
        <v>117</v>
      </c>
      <c r="O25" t="s">
        <v>4</v>
      </c>
      <c r="P25" s="81"/>
      <c r="Q25" s="81"/>
      <c r="R25" s="81"/>
      <c r="S25" s="81"/>
      <c r="AC25" t="s">
        <v>2</v>
      </c>
      <c r="AD25" s="80"/>
      <c r="AE25" s="81"/>
      <c r="AF25" s="81"/>
      <c r="AG25" s="81"/>
      <c r="AH25" s="81"/>
      <c r="AI25" s="81"/>
    </row>
    <row r="26" spans="4:35">
      <c r="D26" t="s">
        <v>79</v>
      </c>
      <c r="E26" t="s">
        <v>68</v>
      </c>
      <c r="F26" s="435" t="s">
        <v>274</v>
      </c>
      <c r="G26" s="435" t="s">
        <v>12</v>
      </c>
      <c r="H26" t="s">
        <v>166</v>
      </c>
      <c r="I26" t="s">
        <v>7</v>
      </c>
      <c r="J26" t="s">
        <v>1062</v>
      </c>
      <c r="N26" s="435" t="s">
        <v>117</v>
      </c>
      <c r="O26" t="s">
        <v>4</v>
      </c>
      <c r="P26" s="81"/>
      <c r="Q26" s="81"/>
      <c r="R26" s="81"/>
      <c r="S26" s="81"/>
      <c r="AC26" t="s">
        <v>2</v>
      </c>
      <c r="AD26" s="80"/>
      <c r="AE26" s="81"/>
      <c r="AF26" s="81"/>
      <c r="AG26" s="81"/>
      <c r="AH26" s="81"/>
      <c r="AI26" s="81"/>
    </row>
    <row r="27" spans="4:35">
      <c r="D27" t="s">
        <v>79</v>
      </c>
      <c r="E27" t="s">
        <v>68</v>
      </c>
      <c r="F27" s="435" t="s">
        <v>274</v>
      </c>
      <c r="G27" s="435" t="s">
        <v>12</v>
      </c>
      <c r="H27" t="s">
        <v>166</v>
      </c>
      <c r="I27" t="s">
        <v>7</v>
      </c>
      <c r="J27" t="s">
        <v>1062</v>
      </c>
      <c r="N27" s="435" t="s">
        <v>117</v>
      </c>
      <c r="O27" t="s">
        <v>4</v>
      </c>
      <c r="P27" s="81"/>
      <c r="Q27" s="81"/>
      <c r="R27" s="81"/>
      <c r="S27" s="81"/>
      <c r="AC27" t="s">
        <v>2</v>
      </c>
      <c r="AD27" s="80"/>
      <c r="AE27" s="81"/>
      <c r="AF27" s="81"/>
      <c r="AG27" s="81"/>
      <c r="AH27" s="81"/>
      <c r="AI27" s="81"/>
    </row>
    <row r="28" spans="4:35">
      <c r="D28" t="s">
        <v>79</v>
      </c>
      <c r="E28" t="s">
        <v>68</v>
      </c>
      <c r="F28" s="435" t="s">
        <v>274</v>
      </c>
      <c r="G28" s="435" t="s">
        <v>12</v>
      </c>
      <c r="H28" t="s">
        <v>166</v>
      </c>
      <c r="I28" t="s">
        <v>7</v>
      </c>
      <c r="J28" t="s">
        <v>1062</v>
      </c>
      <c r="N28" s="435" t="s">
        <v>117</v>
      </c>
      <c r="O28" t="s">
        <v>4</v>
      </c>
      <c r="P28" s="81"/>
      <c r="Q28" s="81"/>
      <c r="R28" s="81"/>
      <c r="S28" s="81"/>
      <c r="AC28" t="s">
        <v>2</v>
      </c>
      <c r="AD28" s="80"/>
      <c r="AE28" s="81"/>
      <c r="AF28" s="81"/>
      <c r="AG28" s="81"/>
      <c r="AH28" s="81"/>
      <c r="AI28" s="81"/>
    </row>
    <row r="29" spans="4:35">
      <c r="D29" t="s">
        <v>79</v>
      </c>
      <c r="E29" t="s">
        <v>68</v>
      </c>
      <c r="F29" s="435" t="s">
        <v>274</v>
      </c>
      <c r="G29" s="435" t="s">
        <v>12</v>
      </c>
      <c r="H29" t="s">
        <v>166</v>
      </c>
      <c r="I29" t="s">
        <v>7</v>
      </c>
      <c r="J29" t="s">
        <v>1062</v>
      </c>
      <c r="N29" s="435" t="s">
        <v>117</v>
      </c>
      <c r="O29" t="s">
        <v>4</v>
      </c>
      <c r="P29" s="81"/>
      <c r="Q29" s="81"/>
      <c r="R29" s="81"/>
      <c r="S29" s="81"/>
      <c r="AC29" t="s">
        <v>2</v>
      </c>
      <c r="AD29" s="80"/>
      <c r="AE29" s="81"/>
      <c r="AF29" s="81"/>
      <c r="AG29" s="81"/>
      <c r="AH29" s="81"/>
      <c r="AI29" s="81"/>
    </row>
    <row r="30" spans="4:35">
      <c r="D30" t="s">
        <v>79</v>
      </c>
      <c r="E30" t="s">
        <v>68</v>
      </c>
      <c r="F30" s="435" t="s">
        <v>274</v>
      </c>
      <c r="G30" s="435" t="s">
        <v>12</v>
      </c>
      <c r="H30" t="s">
        <v>166</v>
      </c>
      <c r="I30" t="s">
        <v>7</v>
      </c>
      <c r="J30" t="s">
        <v>1062</v>
      </c>
      <c r="N30" s="435" t="s">
        <v>117</v>
      </c>
      <c r="O30" t="s">
        <v>4</v>
      </c>
      <c r="P30" s="81"/>
      <c r="Q30" s="81"/>
      <c r="R30" s="81"/>
      <c r="S30" s="81"/>
      <c r="AC30" t="s">
        <v>2</v>
      </c>
      <c r="AD30" s="80"/>
      <c r="AE30" s="81"/>
      <c r="AF30" s="81"/>
      <c r="AG30" s="81"/>
      <c r="AH30" s="81"/>
      <c r="AI30" s="81"/>
    </row>
    <row r="31" spans="4:35">
      <c r="D31" t="s">
        <v>79</v>
      </c>
      <c r="E31" t="s">
        <v>68</v>
      </c>
      <c r="F31" s="435" t="s">
        <v>274</v>
      </c>
      <c r="G31" s="435" t="s">
        <v>12</v>
      </c>
      <c r="H31" t="s">
        <v>166</v>
      </c>
      <c r="I31" t="s">
        <v>7</v>
      </c>
      <c r="J31" t="s">
        <v>1062</v>
      </c>
      <c r="N31" s="435" t="s">
        <v>117</v>
      </c>
      <c r="O31" t="s">
        <v>4</v>
      </c>
      <c r="P31" s="81"/>
      <c r="Q31" s="81"/>
      <c r="R31" s="81"/>
      <c r="S31" s="81"/>
      <c r="AC31" t="s">
        <v>2</v>
      </c>
      <c r="AD31" s="80"/>
      <c r="AE31" s="81"/>
      <c r="AF31" s="81"/>
      <c r="AG31" s="81"/>
      <c r="AH31" s="81"/>
      <c r="AI31" s="81"/>
    </row>
    <row r="32" spans="4:35">
      <c r="D32" t="s">
        <v>79</v>
      </c>
      <c r="E32" t="s">
        <v>68</v>
      </c>
      <c r="F32" s="435" t="s">
        <v>274</v>
      </c>
      <c r="G32" s="435" t="s">
        <v>12</v>
      </c>
      <c r="H32" t="s">
        <v>166</v>
      </c>
      <c r="I32" t="s">
        <v>7</v>
      </c>
      <c r="J32" t="s">
        <v>1062</v>
      </c>
      <c r="N32" s="435" t="s">
        <v>117</v>
      </c>
      <c r="O32" t="s">
        <v>4</v>
      </c>
      <c r="P32" s="81"/>
      <c r="Q32" s="81"/>
      <c r="R32" s="81"/>
      <c r="S32" s="81"/>
      <c r="AC32" t="s">
        <v>2</v>
      </c>
      <c r="AD32" s="80"/>
      <c r="AE32" s="81"/>
      <c r="AF32" s="81"/>
      <c r="AG32" s="81"/>
      <c r="AH32" s="81"/>
      <c r="AI32" s="81"/>
    </row>
    <row r="33" spans="4:35">
      <c r="D33" t="s">
        <v>79</v>
      </c>
      <c r="E33" t="s">
        <v>68</v>
      </c>
      <c r="F33" s="435" t="s">
        <v>274</v>
      </c>
      <c r="G33" s="435" t="s">
        <v>12</v>
      </c>
      <c r="H33" t="s">
        <v>166</v>
      </c>
      <c r="I33" t="s">
        <v>7</v>
      </c>
      <c r="J33" t="s">
        <v>1062</v>
      </c>
      <c r="N33" s="435" t="s">
        <v>117</v>
      </c>
      <c r="O33" t="s">
        <v>4</v>
      </c>
      <c r="P33" s="81"/>
      <c r="Q33" s="81"/>
      <c r="R33" s="81"/>
      <c r="S33" s="81"/>
      <c r="AC33" t="s">
        <v>2</v>
      </c>
      <c r="AD33" s="80"/>
      <c r="AE33" s="81"/>
      <c r="AF33" s="81"/>
      <c r="AG33" s="81"/>
      <c r="AH33" s="81"/>
      <c r="AI33" s="81"/>
    </row>
    <row r="34" spans="4:35">
      <c r="D34" t="s">
        <v>79</v>
      </c>
      <c r="E34" t="s">
        <v>68</v>
      </c>
      <c r="F34" s="435" t="s">
        <v>274</v>
      </c>
      <c r="G34" s="435" t="s">
        <v>12</v>
      </c>
      <c r="H34" t="s">
        <v>166</v>
      </c>
      <c r="I34" t="s">
        <v>7</v>
      </c>
      <c r="J34" t="s">
        <v>1062</v>
      </c>
      <c r="N34" s="435" t="s">
        <v>117</v>
      </c>
      <c r="O34" t="s">
        <v>4</v>
      </c>
      <c r="P34" s="81"/>
      <c r="Q34" s="81"/>
      <c r="R34" s="81"/>
      <c r="S34" s="81"/>
      <c r="AC34" t="s">
        <v>2</v>
      </c>
      <c r="AD34" s="80"/>
      <c r="AE34" s="81"/>
      <c r="AF34" s="81"/>
      <c r="AG34" s="81"/>
      <c r="AH34" s="81"/>
      <c r="AI34" s="81"/>
    </row>
    <row r="35" spans="4:35">
      <c r="D35" t="s">
        <v>79</v>
      </c>
      <c r="E35" t="s">
        <v>68</v>
      </c>
      <c r="F35" s="435" t="s">
        <v>274</v>
      </c>
      <c r="G35" s="435" t="s">
        <v>12</v>
      </c>
      <c r="H35" t="s">
        <v>166</v>
      </c>
      <c r="I35" t="s">
        <v>7</v>
      </c>
      <c r="J35" t="s">
        <v>1062</v>
      </c>
      <c r="N35" s="435" t="s">
        <v>117</v>
      </c>
      <c r="O35" t="s">
        <v>4</v>
      </c>
      <c r="P35" s="81"/>
      <c r="Q35" s="81"/>
      <c r="R35" s="81"/>
      <c r="S35" s="81"/>
      <c r="AC35" t="s">
        <v>2</v>
      </c>
      <c r="AD35" s="80"/>
      <c r="AE35" s="81"/>
      <c r="AF35" s="81"/>
      <c r="AG35" s="81"/>
      <c r="AH35" s="81"/>
      <c r="AI35" s="81"/>
    </row>
    <row r="36" spans="4:35">
      <c r="D36" t="s">
        <v>79</v>
      </c>
      <c r="E36" t="s">
        <v>68</v>
      </c>
      <c r="F36" s="435" t="s">
        <v>274</v>
      </c>
      <c r="G36" s="435" t="s">
        <v>12</v>
      </c>
      <c r="H36" t="s">
        <v>166</v>
      </c>
      <c r="I36" t="s">
        <v>7</v>
      </c>
      <c r="J36" t="s">
        <v>1062</v>
      </c>
      <c r="N36" s="435" t="s">
        <v>117</v>
      </c>
      <c r="O36" t="s">
        <v>4</v>
      </c>
      <c r="P36" s="81"/>
      <c r="Q36" s="81"/>
      <c r="R36" s="81"/>
      <c r="S36" s="81"/>
      <c r="AC36" t="s">
        <v>2</v>
      </c>
      <c r="AD36" s="80"/>
      <c r="AE36" s="81"/>
      <c r="AF36" s="81"/>
      <c r="AG36" s="81"/>
      <c r="AH36" s="81"/>
      <c r="AI36" s="81"/>
    </row>
    <row r="37" spans="4:35">
      <c r="D37" t="s">
        <v>79</v>
      </c>
      <c r="E37" t="s">
        <v>68</v>
      </c>
      <c r="F37" s="435" t="s">
        <v>274</v>
      </c>
      <c r="G37" s="435" t="s">
        <v>12</v>
      </c>
      <c r="H37" t="s">
        <v>166</v>
      </c>
      <c r="I37" t="s">
        <v>7</v>
      </c>
      <c r="J37" t="s">
        <v>1062</v>
      </c>
      <c r="N37" s="435" t="s">
        <v>117</v>
      </c>
      <c r="O37" t="s">
        <v>4</v>
      </c>
      <c r="P37" s="81"/>
      <c r="Q37" s="81"/>
      <c r="R37" s="81"/>
      <c r="S37" s="81"/>
      <c r="AC37" t="s">
        <v>2</v>
      </c>
      <c r="AD37" s="80"/>
      <c r="AE37" s="81"/>
      <c r="AF37" s="81"/>
      <c r="AG37" s="81"/>
      <c r="AH37" s="81"/>
      <c r="AI37" s="81"/>
    </row>
    <row r="38" spans="4:35">
      <c r="D38" t="s">
        <v>79</v>
      </c>
      <c r="E38" t="s">
        <v>68</v>
      </c>
      <c r="F38" s="435" t="s">
        <v>274</v>
      </c>
      <c r="G38" s="435" t="s">
        <v>12</v>
      </c>
      <c r="H38" t="s">
        <v>166</v>
      </c>
      <c r="I38" t="s">
        <v>7</v>
      </c>
      <c r="J38" t="s">
        <v>1062</v>
      </c>
      <c r="N38" s="435" t="s">
        <v>117</v>
      </c>
      <c r="O38" t="s">
        <v>4</v>
      </c>
      <c r="P38" s="81"/>
      <c r="Q38" s="81"/>
      <c r="R38" s="81"/>
      <c r="S38" s="81"/>
      <c r="AC38" t="s">
        <v>2</v>
      </c>
      <c r="AD38" s="80"/>
      <c r="AE38" s="81"/>
      <c r="AF38" s="81"/>
      <c r="AG38" s="81"/>
      <c r="AH38" s="81"/>
      <c r="AI38" s="81"/>
    </row>
    <row r="39" spans="4:35">
      <c r="D39" t="s">
        <v>79</v>
      </c>
      <c r="E39" t="s">
        <v>68</v>
      </c>
      <c r="F39" s="435" t="s">
        <v>274</v>
      </c>
      <c r="G39" s="435" t="s">
        <v>12</v>
      </c>
      <c r="H39" t="s">
        <v>166</v>
      </c>
      <c r="I39" t="s">
        <v>7</v>
      </c>
      <c r="J39" t="s">
        <v>1062</v>
      </c>
      <c r="N39" s="435" t="s">
        <v>117</v>
      </c>
      <c r="O39" t="s">
        <v>4</v>
      </c>
      <c r="P39" s="81"/>
      <c r="Q39" s="81"/>
      <c r="R39" s="81"/>
      <c r="S39" s="81"/>
      <c r="AC39" t="s">
        <v>2</v>
      </c>
      <c r="AD39" s="80"/>
      <c r="AE39" s="81"/>
      <c r="AF39" s="81"/>
      <c r="AG39" s="81"/>
      <c r="AH39" s="81"/>
      <c r="AI39" s="81"/>
    </row>
    <row r="40" spans="4:35">
      <c r="D40" t="s">
        <v>79</v>
      </c>
      <c r="E40" t="s">
        <v>68</v>
      </c>
      <c r="F40" s="435" t="s">
        <v>274</v>
      </c>
      <c r="G40" s="435" t="s">
        <v>12</v>
      </c>
      <c r="H40" t="s">
        <v>166</v>
      </c>
      <c r="I40" t="s">
        <v>7</v>
      </c>
      <c r="J40" t="s">
        <v>1062</v>
      </c>
      <c r="N40" s="435" t="s">
        <v>117</v>
      </c>
      <c r="O40" t="s">
        <v>4</v>
      </c>
      <c r="P40" s="81"/>
      <c r="Q40" s="81"/>
      <c r="R40" s="81"/>
      <c r="S40" s="81"/>
      <c r="AC40" t="s">
        <v>2</v>
      </c>
      <c r="AD40" s="80"/>
      <c r="AE40" s="81"/>
      <c r="AF40" s="81"/>
      <c r="AG40" s="81"/>
      <c r="AH40" s="81"/>
      <c r="AI40" s="81"/>
    </row>
    <row r="41" spans="4:35">
      <c r="D41" t="s">
        <v>79</v>
      </c>
      <c r="E41" t="s">
        <v>68</v>
      </c>
      <c r="F41" s="435" t="s">
        <v>274</v>
      </c>
      <c r="G41" s="435" t="s">
        <v>12</v>
      </c>
      <c r="H41" t="s">
        <v>166</v>
      </c>
      <c r="I41" t="s">
        <v>7</v>
      </c>
      <c r="J41" t="s">
        <v>1062</v>
      </c>
      <c r="N41" s="435" t="s">
        <v>117</v>
      </c>
      <c r="O41" t="s">
        <v>4</v>
      </c>
      <c r="P41" s="81"/>
      <c r="Q41" s="81"/>
      <c r="R41" s="81"/>
      <c r="S41" s="81"/>
      <c r="AC41" t="s">
        <v>2</v>
      </c>
      <c r="AD41" s="80"/>
      <c r="AE41" s="81"/>
      <c r="AF41" s="81"/>
      <c r="AG41" s="81"/>
      <c r="AH41" s="81"/>
      <c r="AI41" s="81"/>
    </row>
    <row r="42" spans="4:35">
      <c r="D42" t="s">
        <v>79</v>
      </c>
      <c r="E42" t="s">
        <v>68</v>
      </c>
      <c r="F42" s="435" t="s">
        <v>274</v>
      </c>
      <c r="G42" s="435" t="s">
        <v>12</v>
      </c>
      <c r="H42" t="s">
        <v>166</v>
      </c>
      <c r="I42" t="s">
        <v>7</v>
      </c>
      <c r="J42" t="s">
        <v>1062</v>
      </c>
      <c r="N42" s="435" t="s">
        <v>117</v>
      </c>
      <c r="O42" t="s">
        <v>4</v>
      </c>
      <c r="P42" s="81"/>
      <c r="Q42" s="81"/>
      <c r="R42" s="81"/>
      <c r="S42" s="81"/>
      <c r="AC42" t="s">
        <v>2</v>
      </c>
      <c r="AD42" s="80"/>
      <c r="AE42" s="81"/>
      <c r="AF42" s="81"/>
      <c r="AG42" s="81"/>
      <c r="AH42" s="81"/>
      <c r="AI42" s="81"/>
    </row>
    <row r="43" spans="4:35">
      <c r="D43" t="s">
        <v>79</v>
      </c>
      <c r="E43" t="s">
        <v>68</v>
      </c>
      <c r="F43" s="435" t="s">
        <v>274</v>
      </c>
      <c r="G43" s="435" t="s">
        <v>12</v>
      </c>
      <c r="H43" t="s">
        <v>166</v>
      </c>
      <c r="I43" t="s">
        <v>7</v>
      </c>
      <c r="J43" t="s">
        <v>1062</v>
      </c>
      <c r="N43" s="435" t="s">
        <v>117</v>
      </c>
      <c r="O43" t="s">
        <v>4</v>
      </c>
      <c r="P43" s="81"/>
      <c r="Q43" s="81"/>
      <c r="R43" s="81"/>
      <c r="S43" s="81"/>
      <c r="AC43" t="s">
        <v>2</v>
      </c>
      <c r="AD43" s="80"/>
      <c r="AE43" s="81"/>
      <c r="AF43" s="81"/>
      <c r="AG43" s="81"/>
      <c r="AH43" s="81"/>
      <c r="AI43" s="81"/>
    </row>
    <row r="44" spans="4:35">
      <c r="D44" t="s">
        <v>79</v>
      </c>
      <c r="E44" t="s">
        <v>68</v>
      </c>
      <c r="F44" s="435" t="s">
        <v>274</v>
      </c>
      <c r="G44" s="435" t="s">
        <v>12</v>
      </c>
      <c r="H44" t="s">
        <v>166</v>
      </c>
      <c r="I44" t="s">
        <v>7</v>
      </c>
      <c r="J44" t="s">
        <v>1062</v>
      </c>
      <c r="N44" s="435" t="s">
        <v>117</v>
      </c>
      <c r="O44" t="s">
        <v>4</v>
      </c>
      <c r="P44" s="81"/>
      <c r="Q44" s="81"/>
      <c r="R44" s="81"/>
      <c r="S44" s="81"/>
      <c r="AC44" t="s">
        <v>2</v>
      </c>
      <c r="AD44" s="80"/>
      <c r="AE44" s="81"/>
      <c r="AF44" s="81"/>
      <c r="AG44" s="81"/>
      <c r="AH44" s="81"/>
      <c r="AI44" s="81"/>
    </row>
    <row r="45" spans="4:35">
      <c r="D45" t="s">
        <v>79</v>
      </c>
      <c r="E45" t="s">
        <v>68</v>
      </c>
      <c r="F45" s="435" t="s">
        <v>274</v>
      </c>
      <c r="G45" s="435" t="s">
        <v>12</v>
      </c>
      <c r="H45" t="s">
        <v>166</v>
      </c>
      <c r="I45" t="s">
        <v>7</v>
      </c>
      <c r="J45" t="s">
        <v>1062</v>
      </c>
      <c r="N45" s="435" t="s">
        <v>117</v>
      </c>
      <c r="O45" t="s">
        <v>4</v>
      </c>
      <c r="P45" s="81"/>
      <c r="Q45" s="81"/>
      <c r="R45" s="81"/>
      <c r="S45" s="81"/>
      <c r="AC45" t="s">
        <v>2</v>
      </c>
      <c r="AD45" s="80"/>
      <c r="AE45" s="81"/>
      <c r="AF45" s="81"/>
      <c r="AG45" s="81"/>
      <c r="AH45" s="81"/>
      <c r="AI45" s="81"/>
    </row>
    <row r="46" spans="4:35">
      <c r="D46" t="s">
        <v>79</v>
      </c>
      <c r="E46" t="s">
        <v>68</v>
      </c>
      <c r="F46" s="435" t="s">
        <v>274</v>
      </c>
      <c r="G46" s="435" t="s">
        <v>12</v>
      </c>
      <c r="H46" t="s">
        <v>166</v>
      </c>
      <c r="I46" t="s">
        <v>7</v>
      </c>
      <c r="J46" t="s">
        <v>1062</v>
      </c>
      <c r="N46" s="435" t="s">
        <v>117</v>
      </c>
      <c r="O46" t="s">
        <v>4</v>
      </c>
      <c r="P46" s="81"/>
      <c r="Q46" s="81"/>
      <c r="R46" s="81"/>
      <c r="S46" s="81"/>
      <c r="AC46" t="s">
        <v>2</v>
      </c>
      <c r="AD46" s="80"/>
      <c r="AE46" s="81"/>
      <c r="AF46" s="81"/>
      <c r="AG46" s="81"/>
      <c r="AH46" s="81"/>
      <c r="AI46" s="81"/>
    </row>
    <row r="47" spans="4:35">
      <c r="D47" t="s">
        <v>79</v>
      </c>
      <c r="E47" t="s">
        <v>68</v>
      </c>
      <c r="F47" s="435" t="s">
        <v>274</v>
      </c>
      <c r="G47" s="435" t="s">
        <v>12</v>
      </c>
      <c r="H47" t="s">
        <v>166</v>
      </c>
      <c r="I47" t="s">
        <v>7</v>
      </c>
      <c r="J47" t="s">
        <v>1062</v>
      </c>
      <c r="N47" s="435" t="s">
        <v>117</v>
      </c>
      <c r="O47" t="s">
        <v>4</v>
      </c>
      <c r="P47" s="79"/>
      <c r="Q47" s="100"/>
      <c r="R47" s="79"/>
      <c r="S47" s="79"/>
      <c r="AC47" t="s">
        <v>2</v>
      </c>
      <c r="AD47" s="80"/>
      <c r="AE47" s="81"/>
      <c r="AF47" s="81"/>
      <c r="AG47" s="81"/>
      <c r="AH47" s="81"/>
      <c r="AI47" s="81"/>
    </row>
    <row r="48" spans="4:35">
      <c r="D48" t="s">
        <v>79</v>
      </c>
      <c r="E48" t="s">
        <v>68</v>
      </c>
      <c r="F48" s="435" t="s">
        <v>274</v>
      </c>
      <c r="G48" s="435" t="s">
        <v>12</v>
      </c>
      <c r="H48" t="s">
        <v>166</v>
      </c>
      <c r="I48" t="s">
        <v>7</v>
      </c>
      <c r="J48" t="s">
        <v>1062</v>
      </c>
      <c r="N48" s="435" t="s">
        <v>117</v>
      </c>
      <c r="O48" t="s">
        <v>4</v>
      </c>
      <c r="P48" s="79"/>
      <c r="Q48" s="79"/>
      <c r="R48" s="79"/>
      <c r="S48" s="79"/>
      <c r="AC48" t="s">
        <v>2</v>
      </c>
      <c r="AD48" s="80"/>
      <c r="AE48" s="79"/>
      <c r="AF48" s="79"/>
      <c r="AG48" s="79"/>
      <c r="AH48" s="79"/>
      <c r="AI48" s="79"/>
    </row>
    <row r="49" spans="1:35">
      <c r="D49" t="s">
        <v>79</v>
      </c>
      <c r="E49" t="s">
        <v>68</v>
      </c>
      <c r="F49" s="435" t="s">
        <v>274</v>
      </c>
      <c r="G49" s="435" t="s">
        <v>12</v>
      </c>
      <c r="H49" t="s">
        <v>166</v>
      </c>
      <c r="I49" t="s">
        <v>7</v>
      </c>
      <c r="J49" t="s">
        <v>1062</v>
      </c>
      <c r="N49" s="435" t="s">
        <v>117</v>
      </c>
      <c r="O49" t="s">
        <v>4</v>
      </c>
      <c r="P49" s="79"/>
      <c r="Q49" s="79"/>
      <c r="R49" s="79"/>
      <c r="S49" s="79"/>
      <c r="AC49" t="s">
        <v>2</v>
      </c>
      <c r="AD49" s="80"/>
      <c r="AE49" s="79"/>
      <c r="AF49" s="79"/>
      <c r="AG49" s="79"/>
      <c r="AH49" s="79"/>
      <c r="AI49" s="79"/>
    </row>
    <row r="50" spans="1:35" s="67" customFormat="1">
      <c r="D50" t="s">
        <v>79</v>
      </c>
      <c r="E50" t="s">
        <v>68</v>
      </c>
      <c r="F50" s="435" t="s">
        <v>274</v>
      </c>
      <c r="G50" s="435" t="s">
        <v>12</v>
      </c>
      <c r="H50" t="s">
        <v>166</v>
      </c>
      <c r="I50" t="s">
        <v>7</v>
      </c>
      <c r="J50" t="s">
        <v>1062</v>
      </c>
      <c r="K50"/>
      <c r="L50"/>
      <c r="M50"/>
      <c r="N50" s="435" t="s">
        <v>117</v>
      </c>
      <c r="O50" t="s">
        <v>4</v>
      </c>
      <c r="P50" s="79"/>
      <c r="Q50" s="79"/>
      <c r="R50" s="79"/>
      <c r="S50" s="79"/>
      <c r="T50"/>
      <c r="U50"/>
      <c r="V50"/>
      <c r="W50"/>
      <c r="X50"/>
      <c r="Y50"/>
      <c r="Z50"/>
      <c r="AA50"/>
      <c r="AB50"/>
      <c r="AC50" t="s">
        <v>2</v>
      </c>
      <c r="AD50" s="80"/>
      <c r="AE50" s="79"/>
      <c r="AF50" s="79"/>
      <c r="AG50" s="79"/>
      <c r="AH50" s="79"/>
      <c r="AI50" s="79"/>
    </row>
    <row r="52" spans="1:35" s="1" customFormat="1" ht="13.9">
      <c r="A52" s="66"/>
      <c r="B52" s="78" t="s">
        <v>296</v>
      </c>
    </row>
    <row r="54" spans="1:35">
      <c r="D54" t="s">
        <v>79</v>
      </c>
      <c r="E54" t="s">
        <v>68</v>
      </c>
      <c r="F54" s="435" t="s">
        <v>274</v>
      </c>
      <c r="G54" s="435" t="s">
        <v>12</v>
      </c>
      <c r="H54" t="s">
        <v>166</v>
      </c>
      <c r="I54" t="s">
        <v>7</v>
      </c>
      <c r="J54" t="s">
        <v>1062</v>
      </c>
      <c r="O54" t="s">
        <v>4</v>
      </c>
      <c r="P54" s="81"/>
      <c r="Q54" s="81"/>
      <c r="R54" s="81"/>
      <c r="S54" s="81"/>
      <c r="T54" s="100"/>
      <c r="U54" s="100"/>
      <c r="V54" s="100"/>
      <c r="AC54" t="s">
        <v>2</v>
      </c>
      <c r="AD54" s="80"/>
      <c r="AE54" s="81"/>
      <c r="AF54" s="81"/>
      <c r="AG54" s="81"/>
      <c r="AH54" s="81"/>
      <c r="AI54" s="81"/>
    </row>
    <row r="55" spans="1:35">
      <c r="D55" t="s">
        <v>79</v>
      </c>
      <c r="E55" t="s">
        <v>68</v>
      </c>
      <c r="F55" s="435" t="s">
        <v>274</v>
      </c>
      <c r="G55" s="435" t="s">
        <v>12</v>
      </c>
      <c r="H55" t="s">
        <v>166</v>
      </c>
      <c r="I55" t="s">
        <v>7</v>
      </c>
      <c r="J55" t="s">
        <v>1062</v>
      </c>
      <c r="O55" t="s">
        <v>4</v>
      </c>
      <c r="P55" s="81"/>
      <c r="Q55" s="81"/>
      <c r="R55" s="81"/>
      <c r="S55" s="81"/>
      <c r="T55" s="100"/>
      <c r="U55" s="100"/>
      <c r="V55" s="100"/>
      <c r="AC55" t="s">
        <v>2</v>
      </c>
      <c r="AD55" s="80"/>
      <c r="AE55" s="81"/>
      <c r="AF55" s="81"/>
      <c r="AG55" s="81"/>
      <c r="AH55" s="81"/>
      <c r="AI55" s="81"/>
    </row>
    <row r="56" spans="1:35">
      <c r="D56" t="s">
        <v>79</v>
      </c>
      <c r="E56" t="s">
        <v>68</v>
      </c>
      <c r="F56" s="435" t="s">
        <v>274</v>
      </c>
      <c r="G56" s="435" t="s">
        <v>12</v>
      </c>
      <c r="H56" t="s">
        <v>166</v>
      </c>
      <c r="I56" t="s">
        <v>7</v>
      </c>
      <c r="J56" t="s">
        <v>1062</v>
      </c>
      <c r="O56" t="s">
        <v>4</v>
      </c>
      <c r="P56" s="81"/>
      <c r="Q56" s="81"/>
      <c r="R56" s="81"/>
      <c r="S56" s="81"/>
      <c r="T56" s="100"/>
      <c r="U56" s="100"/>
      <c r="V56" s="100"/>
      <c r="AC56" t="s">
        <v>2</v>
      </c>
      <c r="AD56" s="80"/>
      <c r="AE56" s="81"/>
      <c r="AF56" s="81"/>
      <c r="AG56" s="81"/>
      <c r="AH56" s="81"/>
      <c r="AI56" s="81"/>
    </row>
    <row r="57" spans="1:35">
      <c r="D57" t="s">
        <v>79</v>
      </c>
      <c r="E57" t="s">
        <v>68</v>
      </c>
      <c r="F57" s="435" t="s">
        <v>274</v>
      </c>
      <c r="G57" s="435" t="s">
        <v>12</v>
      </c>
      <c r="H57" t="s">
        <v>166</v>
      </c>
      <c r="I57" t="s">
        <v>7</v>
      </c>
      <c r="J57" t="s">
        <v>1062</v>
      </c>
      <c r="O57" t="s">
        <v>4</v>
      </c>
      <c r="P57" s="81"/>
      <c r="Q57" s="81"/>
      <c r="R57" s="81"/>
      <c r="S57" s="81"/>
      <c r="T57" s="100"/>
      <c r="U57" s="100"/>
      <c r="V57" s="100"/>
      <c r="AC57" t="s">
        <v>2</v>
      </c>
      <c r="AD57" s="80"/>
      <c r="AE57" s="81"/>
      <c r="AF57" s="81"/>
      <c r="AG57" s="81"/>
      <c r="AH57" s="81"/>
      <c r="AI57" s="81"/>
    </row>
    <row r="58" spans="1:35">
      <c r="D58" t="s">
        <v>79</v>
      </c>
      <c r="E58" t="s">
        <v>68</v>
      </c>
      <c r="F58" s="435" t="s">
        <v>274</v>
      </c>
      <c r="G58" s="435" t="s">
        <v>12</v>
      </c>
      <c r="H58" t="s">
        <v>166</v>
      </c>
      <c r="I58" t="s">
        <v>7</v>
      </c>
      <c r="J58" t="s">
        <v>1062</v>
      </c>
      <c r="O58" t="s">
        <v>4</v>
      </c>
      <c r="P58" s="81"/>
      <c r="Q58" s="81"/>
      <c r="R58" s="81"/>
      <c r="S58" s="81"/>
      <c r="T58" s="100"/>
      <c r="U58" s="100"/>
      <c r="V58" s="100"/>
      <c r="AC58" t="s">
        <v>2</v>
      </c>
      <c r="AD58" s="80"/>
      <c r="AE58" s="81"/>
      <c r="AF58" s="81"/>
      <c r="AG58" s="81"/>
      <c r="AH58" s="81"/>
      <c r="AI58" s="81"/>
    </row>
    <row r="59" spans="1:35">
      <c r="D59" t="s">
        <v>79</v>
      </c>
      <c r="E59" t="s">
        <v>68</v>
      </c>
      <c r="F59" s="435" t="s">
        <v>274</v>
      </c>
      <c r="G59" s="435" t="s">
        <v>12</v>
      </c>
      <c r="H59" t="s">
        <v>166</v>
      </c>
      <c r="I59" t="s">
        <v>7</v>
      </c>
      <c r="J59" t="s">
        <v>1062</v>
      </c>
      <c r="O59" t="s">
        <v>4</v>
      </c>
      <c r="P59" s="81"/>
      <c r="Q59" s="81"/>
      <c r="R59" s="81"/>
      <c r="S59" s="81"/>
      <c r="T59" s="100"/>
      <c r="U59" s="100"/>
      <c r="V59" s="100"/>
      <c r="AC59" t="s">
        <v>2</v>
      </c>
      <c r="AD59" s="80"/>
      <c r="AE59" s="81"/>
      <c r="AF59" s="81"/>
      <c r="AG59" s="81"/>
      <c r="AH59" s="81"/>
      <c r="AI59" s="81"/>
    </row>
    <row r="60" spans="1:35">
      <c r="D60" t="s">
        <v>79</v>
      </c>
      <c r="E60" t="s">
        <v>68</v>
      </c>
      <c r="F60" s="435" t="s">
        <v>274</v>
      </c>
      <c r="G60" s="435" t="s">
        <v>12</v>
      </c>
      <c r="H60" t="s">
        <v>166</v>
      </c>
      <c r="I60" t="s">
        <v>7</v>
      </c>
      <c r="J60" t="s">
        <v>1062</v>
      </c>
      <c r="O60" t="s">
        <v>4</v>
      </c>
      <c r="P60" s="81"/>
      <c r="Q60" s="81"/>
      <c r="R60" s="81"/>
      <c r="S60" s="81"/>
      <c r="T60" s="100"/>
      <c r="U60" s="100"/>
      <c r="V60" s="100"/>
      <c r="AC60" t="s">
        <v>2</v>
      </c>
      <c r="AD60" s="80"/>
      <c r="AE60" s="81"/>
      <c r="AF60" s="81"/>
      <c r="AG60" s="81"/>
      <c r="AH60" s="81"/>
      <c r="AI60" s="81"/>
    </row>
    <row r="61" spans="1:35">
      <c r="D61" t="s">
        <v>79</v>
      </c>
      <c r="E61" t="s">
        <v>68</v>
      </c>
      <c r="F61" s="435" t="s">
        <v>274</v>
      </c>
      <c r="G61" s="435" t="s">
        <v>12</v>
      </c>
      <c r="H61" t="s">
        <v>166</v>
      </c>
      <c r="I61" t="s">
        <v>7</v>
      </c>
      <c r="J61" t="s">
        <v>1062</v>
      </c>
      <c r="O61" t="s">
        <v>4</v>
      </c>
      <c r="P61" s="81"/>
      <c r="Q61" s="81"/>
      <c r="R61" s="81"/>
      <c r="S61" s="81"/>
      <c r="T61" s="100"/>
      <c r="U61" s="100"/>
      <c r="V61" s="100"/>
      <c r="AC61" t="s">
        <v>2</v>
      </c>
      <c r="AD61" s="80"/>
      <c r="AE61" s="81"/>
      <c r="AF61" s="81"/>
      <c r="AG61" s="81"/>
      <c r="AH61" s="81"/>
      <c r="AI61" s="81"/>
    </row>
    <row r="62" spans="1:35">
      <c r="D62" t="s">
        <v>79</v>
      </c>
      <c r="E62" t="s">
        <v>68</v>
      </c>
      <c r="F62" s="435" t="s">
        <v>274</v>
      </c>
      <c r="G62" s="435" t="s">
        <v>12</v>
      </c>
      <c r="H62" t="s">
        <v>166</v>
      </c>
      <c r="I62" t="s">
        <v>7</v>
      </c>
      <c r="J62" t="s">
        <v>1062</v>
      </c>
      <c r="O62" t="s">
        <v>4</v>
      </c>
      <c r="P62" s="81"/>
      <c r="Q62" s="81"/>
      <c r="R62" s="81"/>
      <c r="S62" s="81"/>
      <c r="T62" s="100"/>
      <c r="U62" s="100"/>
      <c r="V62" s="100"/>
      <c r="AC62" t="s">
        <v>2</v>
      </c>
      <c r="AD62" s="80"/>
      <c r="AE62" s="81"/>
      <c r="AF62" s="81"/>
      <c r="AG62" s="81"/>
      <c r="AH62" s="81"/>
      <c r="AI62" s="81"/>
    </row>
    <row r="63" spans="1:35">
      <c r="D63" t="s">
        <v>79</v>
      </c>
      <c r="E63" t="s">
        <v>68</v>
      </c>
      <c r="F63" s="435" t="s">
        <v>274</v>
      </c>
      <c r="G63" s="435" t="s">
        <v>12</v>
      </c>
      <c r="H63" t="s">
        <v>166</v>
      </c>
      <c r="I63" t="s">
        <v>7</v>
      </c>
      <c r="J63" t="s">
        <v>1062</v>
      </c>
      <c r="O63" t="s">
        <v>4</v>
      </c>
      <c r="P63" s="81"/>
      <c r="Q63" s="81"/>
      <c r="R63" s="81"/>
      <c r="S63" s="81"/>
      <c r="T63" s="100"/>
      <c r="U63" s="100"/>
      <c r="V63" s="100"/>
      <c r="AC63" t="s">
        <v>2</v>
      </c>
      <c r="AD63" s="80"/>
      <c r="AE63" s="81"/>
      <c r="AF63" s="81"/>
      <c r="AG63" s="81"/>
      <c r="AH63" s="81"/>
      <c r="AI63" s="81"/>
    </row>
    <row r="64" spans="1:35">
      <c r="D64" t="s">
        <v>79</v>
      </c>
      <c r="E64" t="s">
        <v>68</v>
      </c>
      <c r="F64" s="435" t="s">
        <v>274</v>
      </c>
      <c r="G64" s="435" t="s">
        <v>12</v>
      </c>
      <c r="H64" t="s">
        <v>166</v>
      </c>
      <c r="I64" t="s">
        <v>7</v>
      </c>
      <c r="J64" t="s">
        <v>1062</v>
      </c>
      <c r="O64" t="s">
        <v>4</v>
      </c>
      <c r="P64" s="81"/>
      <c r="Q64" s="81"/>
      <c r="R64" s="81"/>
      <c r="S64" s="81"/>
      <c r="T64" s="100"/>
      <c r="U64" s="100"/>
      <c r="V64" s="100"/>
      <c r="AC64" t="s">
        <v>2</v>
      </c>
      <c r="AD64" s="80"/>
      <c r="AE64" s="81"/>
      <c r="AF64" s="81"/>
      <c r="AG64" s="81"/>
      <c r="AH64" s="81"/>
      <c r="AI64" s="81"/>
    </row>
    <row r="65" spans="1:35">
      <c r="D65" t="s">
        <v>79</v>
      </c>
      <c r="E65" t="s">
        <v>68</v>
      </c>
      <c r="F65" s="435" t="s">
        <v>274</v>
      </c>
      <c r="G65" s="435" t="s">
        <v>12</v>
      </c>
      <c r="H65" t="s">
        <v>166</v>
      </c>
      <c r="I65" t="s">
        <v>7</v>
      </c>
      <c r="J65" t="s">
        <v>1062</v>
      </c>
      <c r="O65" t="s">
        <v>4</v>
      </c>
      <c r="P65" s="81"/>
      <c r="Q65" s="81"/>
      <c r="R65" s="81"/>
      <c r="S65" s="81"/>
      <c r="T65" s="100"/>
      <c r="U65" s="100"/>
      <c r="V65" s="100"/>
      <c r="AC65" t="s">
        <v>2</v>
      </c>
      <c r="AD65" s="80"/>
      <c r="AE65" s="81"/>
      <c r="AF65" s="81"/>
      <c r="AG65" s="81"/>
      <c r="AH65" s="81"/>
      <c r="AI65" s="81"/>
    </row>
    <row r="66" spans="1:35">
      <c r="D66" t="s">
        <v>79</v>
      </c>
      <c r="E66" t="s">
        <v>68</v>
      </c>
      <c r="F66" s="435" t="s">
        <v>274</v>
      </c>
      <c r="G66" s="435" t="s">
        <v>12</v>
      </c>
      <c r="H66" t="s">
        <v>166</v>
      </c>
      <c r="I66" t="s">
        <v>7</v>
      </c>
      <c r="J66" t="s">
        <v>1062</v>
      </c>
      <c r="O66" t="s">
        <v>4</v>
      </c>
      <c r="P66" s="81"/>
      <c r="Q66" s="81"/>
      <c r="R66" s="81"/>
      <c r="S66" s="81"/>
      <c r="T66" s="100"/>
      <c r="U66" s="100"/>
      <c r="V66" s="100"/>
      <c r="AC66" t="s">
        <v>2</v>
      </c>
      <c r="AD66" s="80"/>
      <c r="AE66" s="81"/>
      <c r="AF66" s="81"/>
      <c r="AG66" s="81"/>
      <c r="AH66" s="81"/>
      <c r="AI66" s="81"/>
    </row>
    <row r="67" spans="1:35">
      <c r="D67" t="s">
        <v>79</v>
      </c>
      <c r="E67" t="s">
        <v>68</v>
      </c>
      <c r="F67" s="435" t="s">
        <v>274</v>
      </c>
      <c r="G67" s="435" t="s">
        <v>12</v>
      </c>
      <c r="H67" t="s">
        <v>166</v>
      </c>
      <c r="I67" t="s">
        <v>7</v>
      </c>
      <c r="J67" t="s">
        <v>1062</v>
      </c>
      <c r="O67" t="s">
        <v>4</v>
      </c>
      <c r="P67" s="79"/>
      <c r="Q67" s="100"/>
      <c r="R67" s="79"/>
      <c r="S67" s="79"/>
      <c r="T67" s="79"/>
      <c r="U67" s="79"/>
      <c r="V67" s="79"/>
      <c r="AC67" t="s">
        <v>2</v>
      </c>
      <c r="AD67" s="80"/>
      <c r="AE67" s="81"/>
      <c r="AF67" s="81"/>
      <c r="AG67" s="81"/>
      <c r="AH67" s="81"/>
      <c r="AI67" s="81"/>
    </row>
    <row r="68" spans="1:35">
      <c r="D68" t="s">
        <v>79</v>
      </c>
      <c r="E68" t="s">
        <v>68</v>
      </c>
      <c r="F68" s="435" t="s">
        <v>274</v>
      </c>
      <c r="G68" s="435" t="s">
        <v>12</v>
      </c>
      <c r="H68" t="s">
        <v>166</v>
      </c>
      <c r="I68" t="s">
        <v>7</v>
      </c>
      <c r="J68" t="s">
        <v>1062</v>
      </c>
      <c r="O68" t="s">
        <v>4</v>
      </c>
      <c r="P68" s="79"/>
      <c r="Q68" s="79"/>
      <c r="R68" s="79"/>
      <c r="S68" s="79"/>
      <c r="T68" s="79"/>
      <c r="U68" s="79"/>
      <c r="V68" s="79"/>
      <c r="AC68" t="s">
        <v>2</v>
      </c>
      <c r="AD68" s="80"/>
      <c r="AE68" s="79"/>
      <c r="AF68" s="79"/>
      <c r="AG68" s="79"/>
      <c r="AH68" s="79"/>
      <c r="AI68" s="79"/>
    </row>
    <row r="69" spans="1:35">
      <c r="D69" t="s">
        <v>79</v>
      </c>
      <c r="E69" t="s">
        <v>68</v>
      </c>
      <c r="F69" s="435" t="s">
        <v>274</v>
      </c>
      <c r="G69" s="435" t="s">
        <v>12</v>
      </c>
      <c r="H69" t="s">
        <v>166</v>
      </c>
      <c r="I69" t="s">
        <v>7</v>
      </c>
      <c r="J69" t="s">
        <v>1062</v>
      </c>
      <c r="O69" t="s">
        <v>4</v>
      </c>
      <c r="P69" s="79"/>
      <c r="Q69" s="79"/>
      <c r="R69" s="79"/>
      <c r="S69" s="79"/>
      <c r="T69" s="79"/>
      <c r="U69" s="79"/>
      <c r="V69" s="79"/>
      <c r="AC69" t="s">
        <v>2</v>
      </c>
      <c r="AD69" s="80"/>
      <c r="AE69" s="79"/>
      <c r="AF69" s="79"/>
      <c r="AG69" s="79"/>
      <c r="AH69" s="79"/>
      <c r="AI69" s="79"/>
    </row>
    <row r="70" spans="1:35" s="67" customFormat="1">
      <c r="D70" t="s">
        <v>79</v>
      </c>
      <c r="E70" t="s">
        <v>68</v>
      </c>
      <c r="F70" s="435" t="s">
        <v>274</v>
      </c>
      <c r="G70" s="435" t="s">
        <v>12</v>
      </c>
      <c r="H70" t="s">
        <v>166</v>
      </c>
      <c r="I70" t="s">
        <v>7</v>
      </c>
      <c r="J70" t="s">
        <v>1062</v>
      </c>
      <c r="K70"/>
      <c r="L70"/>
      <c r="M70"/>
      <c r="N70"/>
      <c r="O70" t="s">
        <v>4</v>
      </c>
      <c r="P70" s="79"/>
      <c r="Q70" s="79"/>
      <c r="R70" s="79"/>
      <c r="S70" s="79"/>
      <c r="T70" s="79"/>
      <c r="U70" s="79"/>
      <c r="V70" s="79"/>
      <c r="W70"/>
      <c r="X70"/>
      <c r="Y70"/>
      <c r="Z70"/>
      <c r="AA70"/>
      <c r="AB70"/>
      <c r="AC70" t="s">
        <v>2</v>
      </c>
      <c r="AD70" s="80"/>
      <c r="AE70" s="79"/>
      <c r="AF70" s="79"/>
      <c r="AG70" s="79"/>
      <c r="AH70" s="79"/>
      <c r="AI70" s="79"/>
    </row>
    <row r="72" spans="1:35" s="1" customFormat="1" ht="17.649999999999999">
      <c r="B72" s="2" t="s">
        <v>1415</v>
      </c>
    </row>
    <row r="73" spans="1:35" s="435" customFormat="1"/>
    <row r="74" spans="1:35" s="1" customFormat="1" ht="13.9">
      <c r="A74" s="66"/>
      <c r="B74" s="78" t="s">
        <v>274</v>
      </c>
    </row>
    <row r="76" spans="1:35" s="435" customFormat="1">
      <c r="D76" s="435" t="s">
        <v>79</v>
      </c>
      <c r="E76" s="435" t="s">
        <v>68</v>
      </c>
      <c r="F76" s="435" t="s">
        <v>274</v>
      </c>
      <c r="G76" s="435" t="s">
        <v>12</v>
      </c>
      <c r="H76" s="435" t="s">
        <v>166</v>
      </c>
      <c r="I76" s="435" t="s">
        <v>7</v>
      </c>
      <c r="J76" s="435" t="s">
        <v>1062</v>
      </c>
      <c r="O76" s="435" t="s">
        <v>4</v>
      </c>
      <c r="P76" s="81"/>
      <c r="Q76" s="81"/>
      <c r="R76" s="81"/>
      <c r="S76" s="81"/>
      <c r="T76" s="100"/>
      <c r="U76" s="100"/>
      <c r="V76" s="100"/>
      <c r="AC76" s="435" t="s">
        <v>2</v>
      </c>
      <c r="AD76" s="80"/>
      <c r="AE76" s="81"/>
      <c r="AF76" s="81"/>
      <c r="AG76" s="81"/>
      <c r="AH76" s="81"/>
      <c r="AI76" s="81"/>
    </row>
    <row r="77" spans="1:35" s="435" customFormat="1">
      <c r="D77" s="435" t="s">
        <v>79</v>
      </c>
      <c r="E77" s="435" t="s">
        <v>68</v>
      </c>
      <c r="F77" s="435" t="s">
        <v>274</v>
      </c>
      <c r="G77" s="435" t="s">
        <v>12</v>
      </c>
      <c r="H77" s="435" t="s">
        <v>166</v>
      </c>
      <c r="I77" s="435" t="s">
        <v>7</v>
      </c>
      <c r="J77" s="435" t="s">
        <v>1062</v>
      </c>
      <c r="O77" s="435" t="s">
        <v>4</v>
      </c>
      <c r="P77" s="81"/>
      <c r="Q77" s="81"/>
      <c r="R77" s="81"/>
      <c r="S77" s="81"/>
      <c r="T77" s="100"/>
      <c r="U77" s="100"/>
      <c r="V77" s="100"/>
      <c r="AC77" s="435" t="s">
        <v>2</v>
      </c>
      <c r="AD77" s="80"/>
      <c r="AE77" s="81"/>
      <c r="AF77" s="81"/>
      <c r="AG77" s="81"/>
      <c r="AH77" s="81"/>
      <c r="AI77" s="81"/>
    </row>
    <row r="78" spans="1:35" s="435" customFormat="1">
      <c r="D78" s="435" t="s">
        <v>79</v>
      </c>
      <c r="E78" s="435" t="s">
        <v>68</v>
      </c>
      <c r="F78" s="435" t="s">
        <v>274</v>
      </c>
      <c r="G78" s="435" t="s">
        <v>12</v>
      </c>
      <c r="H78" s="435" t="s">
        <v>166</v>
      </c>
      <c r="I78" s="435" t="s">
        <v>7</v>
      </c>
      <c r="J78" s="435" t="s">
        <v>1062</v>
      </c>
      <c r="O78" s="435" t="s">
        <v>4</v>
      </c>
      <c r="P78" s="81"/>
      <c r="Q78" s="81"/>
      <c r="R78" s="81"/>
      <c r="S78" s="81"/>
      <c r="T78" s="100"/>
      <c r="U78" s="100"/>
      <c r="V78" s="100"/>
      <c r="AC78" s="435" t="s">
        <v>2</v>
      </c>
      <c r="AD78" s="80"/>
      <c r="AE78" s="81"/>
      <c r="AF78" s="81"/>
      <c r="AG78" s="81"/>
      <c r="AH78" s="81"/>
      <c r="AI78" s="81"/>
    </row>
    <row r="79" spans="1:35" s="435" customFormat="1">
      <c r="D79" s="435" t="s">
        <v>79</v>
      </c>
      <c r="E79" s="435" t="s">
        <v>68</v>
      </c>
      <c r="F79" s="435" t="s">
        <v>274</v>
      </c>
      <c r="G79" s="435" t="s">
        <v>12</v>
      </c>
      <c r="H79" s="435" t="s">
        <v>166</v>
      </c>
      <c r="I79" s="435" t="s">
        <v>7</v>
      </c>
      <c r="J79" s="435" t="s">
        <v>1062</v>
      </c>
      <c r="O79" s="435" t="s">
        <v>4</v>
      </c>
      <c r="P79" s="79"/>
      <c r="Q79" s="79"/>
      <c r="R79" s="79"/>
      <c r="S79" s="79"/>
      <c r="AC79" s="435" t="s">
        <v>2</v>
      </c>
      <c r="AD79" s="80"/>
      <c r="AE79" s="79"/>
      <c r="AF79" s="79"/>
      <c r="AG79" s="79"/>
      <c r="AH79" s="79"/>
      <c r="AI79" s="79"/>
    </row>
    <row r="80" spans="1:35" s="435" customFormat="1">
      <c r="D80" s="435" t="s">
        <v>79</v>
      </c>
      <c r="E80" s="435" t="s">
        <v>68</v>
      </c>
      <c r="F80" s="435" t="s">
        <v>274</v>
      </c>
      <c r="G80" s="435" t="s">
        <v>12</v>
      </c>
      <c r="H80" s="435" t="s">
        <v>166</v>
      </c>
      <c r="I80" s="435" t="s">
        <v>7</v>
      </c>
      <c r="J80" s="435" t="s">
        <v>1062</v>
      </c>
      <c r="O80" s="435" t="s">
        <v>4</v>
      </c>
      <c r="P80" s="79"/>
      <c r="Q80" s="79"/>
      <c r="R80" s="79"/>
      <c r="S80" s="79"/>
      <c r="AC80" s="435" t="s">
        <v>2</v>
      </c>
      <c r="AD80" s="80"/>
      <c r="AE80" s="79"/>
      <c r="AF80" s="79"/>
      <c r="AG80" s="79"/>
      <c r="AH80" s="79"/>
      <c r="AI80" s="79"/>
    </row>
    <row r="81" spans="1:35" s="435" customFormat="1"/>
    <row r="82" spans="1:35" s="1" customFormat="1" ht="17.649999999999999">
      <c r="B82" s="2" t="s">
        <v>1416</v>
      </c>
    </row>
    <row r="83" spans="1:35" s="435" customFormat="1"/>
    <row r="84" spans="1:35" s="1" customFormat="1" ht="13.9">
      <c r="A84" s="66"/>
      <c r="B84" s="78" t="s">
        <v>87</v>
      </c>
    </row>
    <row r="85" spans="1:35" s="435" customFormat="1"/>
    <row r="86" spans="1:35" s="435" customFormat="1">
      <c r="D86" s="435" t="s">
        <v>79</v>
      </c>
      <c r="E86" s="435" t="s">
        <v>68</v>
      </c>
      <c r="F86" s="435" t="s">
        <v>274</v>
      </c>
      <c r="G86" s="435" t="s">
        <v>12</v>
      </c>
      <c r="H86" s="435" t="s">
        <v>166</v>
      </c>
      <c r="I86" s="435" t="s">
        <v>7</v>
      </c>
      <c r="J86" s="435" t="s">
        <v>1062</v>
      </c>
      <c r="K86" s="435" t="s">
        <v>2611</v>
      </c>
      <c r="O86" s="435" t="s">
        <v>4</v>
      </c>
      <c r="P86" s="81"/>
      <c r="Q86" s="81"/>
      <c r="R86" s="81"/>
      <c r="S86" s="81"/>
      <c r="T86" s="100"/>
      <c r="U86" s="100"/>
      <c r="V86" s="100"/>
      <c r="AC86" s="435" t="s">
        <v>2</v>
      </c>
      <c r="AD86" s="80"/>
      <c r="AE86" s="81"/>
      <c r="AF86" s="81"/>
      <c r="AG86" s="81"/>
      <c r="AH86" s="81"/>
      <c r="AI86" s="81"/>
    </row>
    <row r="87" spans="1:35" s="435" customFormat="1">
      <c r="D87" s="435" t="s">
        <v>79</v>
      </c>
      <c r="E87" s="435" t="s">
        <v>68</v>
      </c>
      <c r="F87" s="435" t="s">
        <v>274</v>
      </c>
      <c r="G87" s="435" t="s">
        <v>12</v>
      </c>
      <c r="H87" s="435" t="s">
        <v>166</v>
      </c>
      <c r="I87" s="435" t="s">
        <v>7</v>
      </c>
      <c r="J87" s="435" t="s">
        <v>1062</v>
      </c>
      <c r="K87" s="435" t="s">
        <v>2613</v>
      </c>
      <c r="O87" s="435" t="s">
        <v>4</v>
      </c>
      <c r="P87" s="81"/>
      <c r="Q87" s="81"/>
      <c r="R87" s="81"/>
      <c r="S87" s="81"/>
      <c r="T87" s="100"/>
      <c r="U87" s="100"/>
      <c r="V87" s="100"/>
      <c r="AC87" s="435" t="s">
        <v>2</v>
      </c>
      <c r="AD87" s="80"/>
      <c r="AE87" s="81"/>
      <c r="AF87" s="81"/>
      <c r="AG87" s="81"/>
      <c r="AH87" s="81"/>
      <c r="AI87" s="81"/>
    </row>
    <row r="88" spans="1:35" s="435" customFormat="1">
      <c r="D88" s="435" t="s">
        <v>79</v>
      </c>
      <c r="E88" s="435" t="s">
        <v>68</v>
      </c>
      <c r="F88" s="435" t="s">
        <v>274</v>
      </c>
      <c r="G88" s="435" t="s">
        <v>12</v>
      </c>
      <c r="H88" s="435" t="s">
        <v>166</v>
      </c>
      <c r="I88" s="435" t="s">
        <v>7</v>
      </c>
      <c r="J88" s="435" t="s">
        <v>1062</v>
      </c>
      <c r="K88" s="435" t="s">
        <v>2612</v>
      </c>
      <c r="O88" s="435" t="s">
        <v>4</v>
      </c>
      <c r="P88" s="81"/>
      <c r="Q88" s="81"/>
      <c r="R88" s="81"/>
      <c r="S88" s="81"/>
      <c r="T88" s="100"/>
      <c r="U88" s="100"/>
      <c r="V88" s="100"/>
      <c r="AC88" s="435" t="s">
        <v>2</v>
      </c>
      <c r="AD88" s="80"/>
      <c r="AE88" s="81"/>
      <c r="AF88" s="81"/>
      <c r="AG88" s="81"/>
      <c r="AH88" s="81"/>
      <c r="AI88" s="81"/>
    </row>
    <row r="89" spans="1:35" s="435" customFormat="1">
      <c r="D89" s="435" t="s">
        <v>79</v>
      </c>
      <c r="E89" s="435" t="s">
        <v>68</v>
      </c>
      <c r="F89" s="435" t="s">
        <v>274</v>
      </c>
      <c r="G89" s="435" t="s">
        <v>12</v>
      </c>
      <c r="H89" s="435" t="s">
        <v>166</v>
      </c>
      <c r="I89" s="435" t="s">
        <v>7</v>
      </c>
      <c r="J89" s="435" t="s">
        <v>1062</v>
      </c>
      <c r="K89" s="435" t="s">
        <v>1690</v>
      </c>
      <c r="O89" s="435" t="s">
        <v>4</v>
      </c>
      <c r="P89" s="81"/>
      <c r="Q89" s="81"/>
      <c r="R89" s="81"/>
      <c r="S89" s="81"/>
      <c r="T89" s="100"/>
      <c r="U89" s="100"/>
      <c r="V89" s="100"/>
      <c r="AC89" s="435" t="s">
        <v>2</v>
      </c>
      <c r="AD89" s="80"/>
      <c r="AE89" s="81"/>
      <c r="AF89" s="81"/>
      <c r="AG89" s="81"/>
      <c r="AH89" s="81"/>
      <c r="AI89" s="81"/>
    </row>
    <row r="90" spans="1:35" s="435" customFormat="1">
      <c r="D90" s="435" t="s">
        <v>79</v>
      </c>
      <c r="E90" s="435" t="s">
        <v>68</v>
      </c>
      <c r="F90" s="435" t="s">
        <v>274</v>
      </c>
      <c r="G90" s="435" t="s">
        <v>12</v>
      </c>
      <c r="H90" s="435" t="s">
        <v>166</v>
      </c>
      <c r="I90" s="435" t="s">
        <v>7</v>
      </c>
      <c r="J90" s="435" t="s">
        <v>1062</v>
      </c>
      <c r="AC90" s="435" t="s">
        <v>2</v>
      </c>
      <c r="AD90" s="80"/>
      <c r="AE90" s="79"/>
      <c r="AF90" s="79"/>
      <c r="AG90" s="79"/>
      <c r="AH90" s="79"/>
      <c r="AI90" s="79"/>
    </row>
    <row r="92" spans="1:35" s="1" customFormat="1" ht="13.9">
      <c r="A92" s="66"/>
      <c r="B92" s="78" t="s">
        <v>86</v>
      </c>
    </row>
    <row r="94" spans="1:35" s="435" customFormat="1">
      <c r="D94" s="435" t="s">
        <v>79</v>
      </c>
      <c r="E94" s="435" t="s">
        <v>68</v>
      </c>
      <c r="F94" s="435" t="s">
        <v>274</v>
      </c>
      <c r="G94" s="435" t="s">
        <v>86</v>
      </c>
      <c r="H94" s="435" t="s">
        <v>166</v>
      </c>
      <c r="I94" s="435" t="s">
        <v>7</v>
      </c>
      <c r="J94" s="435" t="s">
        <v>1062</v>
      </c>
      <c r="K94" s="435" t="s">
        <v>2611</v>
      </c>
      <c r="O94" s="435" t="s">
        <v>4</v>
      </c>
      <c r="P94" s="81"/>
      <c r="Q94" s="81"/>
      <c r="R94" s="81"/>
      <c r="S94" s="81"/>
      <c r="T94" s="100"/>
      <c r="U94" s="100"/>
      <c r="V94" s="100"/>
      <c r="AC94" s="435" t="s">
        <v>965</v>
      </c>
      <c r="AD94" s="80"/>
      <c r="AE94" s="81"/>
      <c r="AF94" s="81"/>
      <c r="AG94" s="81"/>
      <c r="AH94" s="81"/>
      <c r="AI94" s="81"/>
    </row>
    <row r="95" spans="1:35" s="435" customFormat="1">
      <c r="D95" s="435" t="s">
        <v>79</v>
      </c>
      <c r="E95" s="435" t="s">
        <v>68</v>
      </c>
      <c r="F95" s="435" t="s">
        <v>274</v>
      </c>
      <c r="G95" s="435" t="s">
        <v>86</v>
      </c>
      <c r="H95" s="435" t="s">
        <v>166</v>
      </c>
      <c r="I95" s="435" t="s">
        <v>7</v>
      </c>
      <c r="J95" s="435" t="s">
        <v>1062</v>
      </c>
      <c r="K95" s="435" t="s">
        <v>2613</v>
      </c>
      <c r="O95" s="435" t="s">
        <v>4</v>
      </c>
      <c r="P95" s="81"/>
      <c r="Q95" s="81"/>
      <c r="R95" s="81"/>
      <c r="S95" s="81"/>
      <c r="T95" s="100"/>
      <c r="U95" s="100"/>
      <c r="V95" s="100"/>
      <c r="AC95" s="435" t="s">
        <v>965</v>
      </c>
      <c r="AD95" s="80"/>
      <c r="AE95" s="81"/>
      <c r="AF95" s="81"/>
      <c r="AG95" s="81"/>
      <c r="AH95" s="81"/>
      <c r="AI95" s="81"/>
    </row>
    <row r="96" spans="1:35" s="435" customFormat="1">
      <c r="D96" s="435" t="s">
        <v>79</v>
      </c>
      <c r="E96" s="435" t="s">
        <v>68</v>
      </c>
      <c r="F96" s="435" t="s">
        <v>274</v>
      </c>
      <c r="G96" s="435" t="s">
        <v>86</v>
      </c>
      <c r="H96" s="435" t="s">
        <v>166</v>
      </c>
      <c r="I96" s="435" t="s">
        <v>7</v>
      </c>
      <c r="J96" s="435" t="s">
        <v>1062</v>
      </c>
      <c r="K96" s="435" t="s">
        <v>2612</v>
      </c>
      <c r="O96" s="435" t="s">
        <v>4</v>
      </c>
      <c r="P96" s="81"/>
      <c r="Q96" s="81"/>
      <c r="R96" s="81"/>
      <c r="S96" s="81"/>
      <c r="T96" s="100"/>
      <c r="U96" s="100"/>
      <c r="V96" s="100"/>
      <c r="AC96" s="435" t="s">
        <v>965</v>
      </c>
      <c r="AD96" s="80"/>
      <c r="AE96" s="81"/>
      <c r="AF96" s="81"/>
      <c r="AG96" s="81"/>
      <c r="AH96" s="81"/>
      <c r="AI96" s="81"/>
    </row>
    <row r="97" spans="1:35" s="435" customFormat="1">
      <c r="D97" s="435" t="s">
        <v>79</v>
      </c>
      <c r="E97" s="435" t="s">
        <v>68</v>
      </c>
      <c r="F97" s="435" t="s">
        <v>274</v>
      </c>
      <c r="G97" s="435" t="s">
        <v>86</v>
      </c>
      <c r="H97" s="435" t="s">
        <v>166</v>
      </c>
      <c r="I97" s="435" t="s">
        <v>7</v>
      </c>
      <c r="J97" s="435" t="s">
        <v>1062</v>
      </c>
      <c r="K97" s="435" t="s">
        <v>1690</v>
      </c>
      <c r="O97" s="435" t="s">
        <v>4</v>
      </c>
      <c r="P97" s="81"/>
      <c r="Q97" s="81"/>
      <c r="R97" s="81"/>
      <c r="S97" s="81"/>
      <c r="T97" s="100"/>
      <c r="U97" s="100"/>
      <c r="V97" s="100"/>
      <c r="AC97" s="435" t="s">
        <v>965</v>
      </c>
      <c r="AD97" s="80"/>
      <c r="AE97" s="81"/>
      <c r="AF97" s="81"/>
      <c r="AG97" s="81"/>
      <c r="AH97" s="81"/>
      <c r="AI97" s="81"/>
    </row>
    <row r="98" spans="1:35" s="435" customFormat="1">
      <c r="D98" s="435" t="s">
        <v>79</v>
      </c>
      <c r="E98" s="435" t="s">
        <v>68</v>
      </c>
      <c r="F98" s="435" t="s">
        <v>274</v>
      </c>
      <c r="G98" s="435" t="s">
        <v>86</v>
      </c>
      <c r="H98" s="435" t="s">
        <v>166</v>
      </c>
      <c r="I98" s="435" t="s">
        <v>7</v>
      </c>
      <c r="J98" s="435" t="s">
        <v>1062</v>
      </c>
      <c r="P98" s="79"/>
      <c r="Q98" s="79"/>
      <c r="R98" s="79"/>
      <c r="S98" s="79"/>
      <c r="AD98" s="80"/>
      <c r="AE98" s="79"/>
      <c r="AF98" s="79"/>
      <c r="AG98" s="79"/>
      <c r="AH98" s="79"/>
      <c r="AI98" s="79"/>
    </row>
    <row r="100" spans="1:35" s="1" customFormat="1" ht="17.649999999999999">
      <c r="B100" s="2" t="s">
        <v>1417</v>
      </c>
    </row>
    <row r="101" spans="1:35" s="435" customFormat="1"/>
    <row r="102" spans="1:35" s="1" customFormat="1" ht="13.9">
      <c r="A102" s="66"/>
      <c r="B102" s="78" t="s">
        <v>87</v>
      </c>
    </row>
    <row r="103" spans="1:35" s="435" customFormat="1"/>
    <row r="104" spans="1:35" s="435" customFormat="1">
      <c r="D104" s="435" t="s">
        <v>79</v>
      </c>
      <c r="E104" s="435" t="s">
        <v>68</v>
      </c>
      <c r="F104" s="435" t="s">
        <v>274</v>
      </c>
      <c r="G104" s="435" t="s">
        <v>12</v>
      </c>
      <c r="H104" s="435" t="s">
        <v>166</v>
      </c>
      <c r="I104" s="435" t="s">
        <v>7</v>
      </c>
      <c r="J104" s="435" t="s">
        <v>1062</v>
      </c>
      <c r="K104" s="435" t="s">
        <v>1056</v>
      </c>
      <c r="O104" s="435" t="s">
        <v>4</v>
      </c>
      <c r="P104" s="81"/>
      <c r="Q104" s="81"/>
      <c r="R104" s="81"/>
      <c r="S104" s="81"/>
      <c r="T104" s="100"/>
      <c r="U104" s="100"/>
      <c r="V104" s="100"/>
      <c r="AC104" s="435" t="s">
        <v>2</v>
      </c>
      <c r="AD104" s="80"/>
      <c r="AE104" s="81"/>
      <c r="AF104" s="81"/>
      <c r="AG104" s="81"/>
      <c r="AH104" s="81"/>
      <c r="AI104" s="81"/>
    </row>
    <row r="105" spans="1:35" s="435" customFormat="1">
      <c r="D105" s="435" t="s">
        <v>79</v>
      </c>
      <c r="E105" s="435" t="s">
        <v>68</v>
      </c>
      <c r="F105" s="435" t="s">
        <v>274</v>
      </c>
      <c r="G105" s="435" t="s">
        <v>12</v>
      </c>
      <c r="H105" s="435" t="s">
        <v>166</v>
      </c>
      <c r="I105" s="435" t="s">
        <v>7</v>
      </c>
      <c r="J105" s="435" t="s">
        <v>1062</v>
      </c>
      <c r="K105" s="435" t="s">
        <v>1057</v>
      </c>
      <c r="O105" s="435" t="s">
        <v>4</v>
      </c>
      <c r="P105" s="81"/>
      <c r="Q105" s="81"/>
      <c r="R105" s="81"/>
      <c r="S105" s="81"/>
      <c r="T105" s="100"/>
      <c r="U105" s="100"/>
      <c r="V105" s="100"/>
      <c r="AC105" s="435" t="s">
        <v>2</v>
      </c>
      <c r="AD105" s="80"/>
      <c r="AE105" s="81"/>
      <c r="AF105" s="81"/>
      <c r="AG105" s="81"/>
      <c r="AH105" s="81"/>
      <c r="AI105" s="81"/>
    </row>
    <row r="106" spans="1:35" s="435" customFormat="1">
      <c r="D106" s="435" t="s">
        <v>79</v>
      </c>
      <c r="E106" s="435" t="s">
        <v>68</v>
      </c>
      <c r="F106" s="435" t="s">
        <v>274</v>
      </c>
      <c r="G106" s="435" t="s">
        <v>12</v>
      </c>
      <c r="H106" s="435" t="s">
        <v>166</v>
      </c>
      <c r="I106" s="435" t="s">
        <v>7</v>
      </c>
      <c r="J106" s="435" t="s">
        <v>1062</v>
      </c>
      <c r="K106" s="435" t="s">
        <v>1058</v>
      </c>
      <c r="O106" s="435" t="s">
        <v>4</v>
      </c>
      <c r="P106" s="81"/>
      <c r="Q106" s="81"/>
      <c r="R106" s="81"/>
      <c r="S106" s="81"/>
      <c r="T106" s="100"/>
      <c r="U106" s="100"/>
      <c r="V106" s="100"/>
      <c r="AC106" s="435" t="s">
        <v>2</v>
      </c>
      <c r="AD106" s="80"/>
      <c r="AE106" s="81"/>
      <c r="AF106" s="81"/>
      <c r="AG106" s="81"/>
      <c r="AH106" s="81"/>
      <c r="AI106" s="81"/>
    </row>
    <row r="107" spans="1:35" s="435" customFormat="1">
      <c r="D107" s="435" t="s">
        <v>79</v>
      </c>
      <c r="E107" s="435" t="s">
        <v>68</v>
      </c>
      <c r="F107" s="435" t="s">
        <v>274</v>
      </c>
      <c r="G107" s="435" t="s">
        <v>12</v>
      </c>
      <c r="H107" s="435" t="s">
        <v>166</v>
      </c>
      <c r="I107" s="435" t="s">
        <v>7</v>
      </c>
      <c r="J107" s="435" t="s">
        <v>1062</v>
      </c>
      <c r="K107" s="435" t="s">
        <v>1059</v>
      </c>
      <c r="O107" s="435" t="s">
        <v>4</v>
      </c>
      <c r="P107" s="81"/>
      <c r="Q107" s="81"/>
      <c r="R107" s="81"/>
      <c r="S107" s="81"/>
      <c r="T107" s="100"/>
      <c r="U107" s="100"/>
      <c r="V107" s="100"/>
      <c r="AC107" s="435" t="s">
        <v>2</v>
      </c>
      <c r="AD107" s="80"/>
      <c r="AE107" s="81"/>
      <c r="AF107" s="81"/>
      <c r="AG107" s="81"/>
      <c r="AH107" s="81"/>
      <c r="AI107" s="81"/>
    </row>
    <row r="108" spans="1:35" s="435" customFormat="1">
      <c r="D108" s="435" t="s">
        <v>79</v>
      </c>
      <c r="E108" s="435" t="s">
        <v>68</v>
      </c>
      <c r="F108" s="435" t="s">
        <v>274</v>
      </c>
      <c r="G108" s="435" t="s">
        <v>12</v>
      </c>
      <c r="H108" s="435" t="s">
        <v>166</v>
      </c>
      <c r="I108" s="435" t="s">
        <v>7</v>
      </c>
      <c r="J108" s="435" t="s">
        <v>1062</v>
      </c>
      <c r="K108" s="435" t="s">
        <v>1690</v>
      </c>
      <c r="O108" s="435" t="s">
        <v>4</v>
      </c>
      <c r="P108" s="81"/>
      <c r="Q108" s="81"/>
      <c r="R108" s="81"/>
      <c r="S108" s="81"/>
      <c r="T108" s="100"/>
      <c r="U108" s="100"/>
      <c r="V108" s="100"/>
      <c r="AC108" s="435" t="s">
        <v>2</v>
      </c>
      <c r="AD108" s="80"/>
      <c r="AE108" s="81"/>
      <c r="AF108" s="81"/>
      <c r="AG108" s="81"/>
      <c r="AH108" s="81"/>
      <c r="AI108" s="81"/>
    </row>
    <row r="109" spans="1:35" s="435" customFormat="1">
      <c r="D109" s="435" t="s">
        <v>79</v>
      </c>
      <c r="E109" s="435" t="s">
        <v>68</v>
      </c>
      <c r="F109" s="435" t="s">
        <v>274</v>
      </c>
      <c r="G109" s="435" t="s">
        <v>12</v>
      </c>
      <c r="H109" s="435" t="s">
        <v>166</v>
      </c>
      <c r="I109" s="435" t="s">
        <v>7</v>
      </c>
      <c r="J109" s="435" t="s">
        <v>1062</v>
      </c>
      <c r="P109" s="79"/>
      <c r="Q109" s="79"/>
      <c r="R109" s="79"/>
      <c r="S109" s="79"/>
      <c r="AD109" s="80"/>
      <c r="AE109" s="79"/>
      <c r="AF109" s="79"/>
      <c r="AG109" s="79"/>
      <c r="AH109" s="79"/>
      <c r="AI109" s="79"/>
    </row>
    <row r="110" spans="1:35" s="435" customFormat="1"/>
    <row r="111" spans="1:35" s="1" customFormat="1" ht="13.9">
      <c r="A111" s="66"/>
      <c r="B111" s="78" t="s">
        <v>86</v>
      </c>
    </row>
    <row r="112" spans="1:35" s="435" customFormat="1"/>
    <row r="113" spans="1:35" s="435" customFormat="1">
      <c r="D113" s="435" t="s">
        <v>79</v>
      </c>
      <c r="E113" s="435" t="s">
        <v>68</v>
      </c>
      <c r="F113" s="435" t="s">
        <v>274</v>
      </c>
      <c r="G113" s="435" t="s">
        <v>86</v>
      </c>
      <c r="H113" s="435" t="s">
        <v>166</v>
      </c>
      <c r="I113" s="435" t="s">
        <v>7</v>
      </c>
      <c r="J113" s="435" t="s">
        <v>1062</v>
      </c>
      <c r="K113" s="435" t="s">
        <v>1056</v>
      </c>
      <c r="O113" s="435" t="s">
        <v>4</v>
      </c>
      <c r="P113" s="81"/>
      <c r="Q113" s="81"/>
      <c r="R113" s="81"/>
      <c r="S113" s="81"/>
      <c r="T113" s="100"/>
      <c r="U113" s="100"/>
      <c r="V113" s="100"/>
      <c r="AC113" s="435" t="s">
        <v>965</v>
      </c>
      <c r="AD113" s="80"/>
      <c r="AE113" s="81"/>
      <c r="AF113" s="81"/>
      <c r="AG113" s="81"/>
      <c r="AH113" s="81"/>
      <c r="AI113" s="81"/>
    </row>
    <row r="114" spans="1:35" s="435" customFormat="1">
      <c r="D114" s="435" t="s">
        <v>79</v>
      </c>
      <c r="E114" s="435" t="s">
        <v>68</v>
      </c>
      <c r="F114" s="435" t="s">
        <v>274</v>
      </c>
      <c r="G114" s="435" t="s">
        <v>86</v>
      </c>
      <c r="H114" s="435" t="s">
        <v>166</v>
      </c>
      <c r="I114" s="435" t="s">
        <v>7</v>
      </c>
      <c r="J114" s="435" t="s">
        <v>1062</v>
      </c>
      <c r="K114" s="435" t="s">
        <v>1057</v>
      </c>
      <c r="O114" s="435" t="s">
        <v>4</v>
      </c>
      <c r="P114" s="81"/>
      <c r="Q114" s="81"/>
      <c r="R114" s="81"/>
      <c r="S114" s="81"/>
      <c r="T114" s="100"/>
      <c r="U114" s="100"/>
      <c r="V114" s="100"/>
      <c r="AC114" s="435" t="s">
        <v>965</v>
      </c>
      <c r="AD114" s="80"/>
      <c r="AE114" s="81"/>
      <c r="AF114" s="81"/>
      <c r="AG114" s="81"/>
      <c r="AH114" s="81"/>
      <c r="AI114" s="81"/>
    </row>
    <row r="115" spans="1:35" s="435" customFormat="1">
      <c r="D115" s="435" t="s">
        <v>79</v>
      </c>
      <c r="E115" s="435" t="s">
        <v>68</v>
      </c>
      <c r="F115" s="435" t="s">
        <v>274</v>
      </c>
      <c r="G115" s="435" t="s">
        <v>86</v>
      </c>
      <c r="H115" s="435" t="s">
        <v>166</v>
      </c>
      <c r="I115" s="435" t="s">
        <v>7</v>
      </c>
      <c r="J115" s="435" t="s">
        <v>1062</v>
      </c>
      <c r="K115" s="435" t="s">
        <v>1058</v>
      </c>
      <c r="O115" s="435" t="s">
        <v>4</v>
      </c>
      <c r="P115" s="81"/>
      <c r="Q115" s="81"/>
      <c r="R115" s="81"/>
      <c r="S115" s="81"/>
      <c r="T115" s="100"/>
      <c r="U115" s="100"/>
      <c r="V115" s="100"/>
      <c r="AC115" s="435" t="s">
        <v>965</v>
      </c>
      <c r="AD115" s="80"/>
      <c r="AE115" s="81"/>
      <c r="AF115" s="81"/>
      <c r="AG115" s="81"/>
      <c r="AH115" s="81"/>
      <c r="AI115" s="81"/>
    </row>
    <row r="116" spans="1:35" s="435" customFormat="1">
      <c r="D116" s="435" t="s">
        <v>79</v>
      </c>
      <c r="E116" s="435" t="s">
        <v>68</v>
      </c>
      <c r="F116" s="435" t="s">
        <v>274</v>
      </c>
      <c r="G116" s="435" t="s">
        <v>86</v>
      </c>
      <c r="H116" s="435" t="s">
        <v>166</v>
      </c>
      <c r="I116" s="435" t="s">
        <v>7</v>
      </c>
      <c r="J116" s="435" t="s">
        <v>1062</v>
      </c>
      <c r="K116" s="435" t="s">
        <v>1059</v>
      </c>
      <c r="O116" s="435" t="s">
        <v>4</v>
      </c>
      <c r="P116" s="81"/>
      <c r="Q116" s="81"/>
      <c r="R116" s="81"/>
      <c r="S116" s="81"/>
      <c r="T116" s="100"/>
      <c r="U116" s="100"/>
      <c r="V116" s="100"/>
      <c r="AC116" s="435" t="s">
        <v>965</v>
      </c>
      <c r="AD116" s="80"/>
      <c r="AE116" s="81"/>
      <c r="AF116" s="81"/>
      <c r="AG116" s="81"/>
      <c r="AH116" s="81"/>
      <c r="AI116" s="81"/>
    </row>
    <row r="117" spans="1:35" s="435" customFormat="1">
      <c r="D117" s="435" t="s">
        <v>79</v>
      </c>
      <c r="E117" s="435" t="s">
        <v>68</v>
      </c>
      <c r="F117" s="435" t="s">
        <v>274</v>
      </c>
      <c r="G117" s="435" t="s">
        <v>86</v>
      </c>
      <c r="H117" s="435" t="s">
        <v>166</v>
      </c>
      <c r="I117" s="435" t="s">
        <v>7</v>
      </c>
      <c r="J117" s="435" t="s">
        <v>1062</v>
      </c>
      <c r="K117" s="435" t="s">
        <v>1690</v>
      </c>
      <c r="O117" s="435" t="s">
        <v>4</v>
      </c>
      <c r="P117" s="81"/>
      <c r="Q117" s="81"/>
      <c r="R117" s="81"/>
      <c r="S117" s="81"/>
      <c r="T117" s="100"/>
      <c r="U117" s="100"/>
      <c r="V117" s="100"/>
      <c r="AC117" s="435" t="s">
        <v>965</v>
      </c>
      <c r="AD117" s="80"/>
      <c r="AE117" s="81"/>
      <c r="AF117" s="81"/>
      <c r="AG117" s="81"/>
      <c r="AH117" s="81"/>
      <c r="AI117" s="81"/>
    </row>
    <row r="118" spans="1:35" s="435" customFormat="1">
      <c r="D118" s="435" t="s">
        <v>79</v>
      </c>
      <c r="E118" s="435" t="s">
        <v>68</v>
      </c>
      <c r="F118" s="435" t="s">
        <v>274</v>
      </c>
      <c r="G118" s="435" t="s">
        <v>86</v>
      </c>
      <c r="H118" s="435" t="s">
        <v>166</v>
      </c>
      <c r="I118" s="435" t="s">
        <v>7</v>
      </c>
      <c r="J118" s="435" t="s">
        <v>1062</v>
      </c>
      <c r="O118" s="435" t="s">
        <v>4</v>
      </c>
      <c r="P118" s="79"/>
      <c r="Q118" s="79"/>
      <c r="R118" s="79"/>
      <c r="S118" s="79"/>
      <c r="AD118" s="80"/>
      <c r="AE118" s="79"/>
      <c r="AF118" s="79"/>
      <c r="AG118" s="79"/>
      <c r="AH118" s="79"/>
      <c r="AI118" s="79"/>
    </row>
    <row r="119" spans="1:35" s="435" customFormat="1"/>
    <row r="120" spans="1:35" s="73" customFormat="1" ht="18">
      <c r="A120" s="74" t="s">
        <v>76</v>
      </c>
    </row>
  </sheetData>
  <mergeCells count="1">
    <mergeCell ref="AE6:AI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12"/>
  <sheetViews>
    <sheetView zoomScale="80" zoomScaleNormal="80" workbookViewId="0">
      <pane ySplit="8" topLeftCell="A9" activePane="bottomLeft" state="frozen"/>
      <selection activeCell="J37" sqref="J37"/>
      <selection pane="bottomLeft" activeCell="B1" sqref="B1"/>
    </sheetView>
  </sheetViews>
  <sheetFormatPr defaultRowHeight="14.25"/>
  <cols>
    <col min="1" max="3" width="1.73046875" customWidth="1"/>
    <col min="4" max="4" width="8.1328125" bestFit="1" customWidth="1"/>
    <col min="5" max="5" width="5" bestFit="1" customWidth="1"/>
    <col min="6" max="7" width="5" style="435" customWidth="1"/>
    <col min="8" max="8" width="13.73046875" bestFit="1" customWidth="1"/>
    <col min="9" max="9" width="9.3984375" bestFit="1" customWidth="1"/>
    <col min="10" max="10" width="23.3984375" bestFit="1" customWidth="1"/>
    <col min="11" max="14" width="1.73046875" customWidth="1"/>
    <col min="15" max="15" width="14.86328125" bestFit="1" customWidth="1"/>
    <col min="16" max="16" width="15.3984375" customWidth="1"/>
    <col min="17" max="17" width="58.59765625" customWidth="1"/>
    <col min="18" max="18" width="10.86328125" bestFit="1" customWidth="1"/>
    <col min="19" max="19" width="10" bestFit="1" customWidth="1"/>
    <col min="20" max="20" width="26.3984375" bestFit="1" customWidth="1"/>
    <col min="21" max="21" width="17.1328125" customWidth="1"/>
    <col min="22" max="22" width="12.59765625" customWidth="1"/>
    <col min="23"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162</v>
      </c>
    </row>
    <row r="6" spans="1:35">
      <c r="AD6" s="435"/>
      <c r="AE6" s="1362" t="s">
        <v>112</v>
      </c>
      <c r="AF6" s="1363"/>
      <c r="AG6" s="1363"/>
      <c r="AH6" s="1363"/>
      <c r="AI6" s="1364"/>
    </row>
    <row r="7" spans="1:35" s="67" customFormat="1">
      <c r="D7" s="87" t="s">
        <v>111</v>
      </c>
      <c r="E7" s="87" t="s">
        <v>68</v>
      </c>
      <c r="F7" s="87"/>
      <c r="G7" s="87"/>
      <c r="H7" s="87" t="s">
        <v>110</v>
      </c>
      <c r="I7" s="87" t="s">
        <v>109</v>
      </c>
      <c r="J7" s="87" t="s">
        <v>108</v>
      </c>
      <c r="K7" s="87" t="s">
        <v>107</v>
      </c>
      <c r="L7" s="87" t="s">
        <v>106</v>
      </c>
      <c r="M7" s="87" t="s">
        <v>105</v>
      </c>
      <c r="N7" s="87"/>
      <c r="O7" s="87" t="s">
        <v>103</v>
      </c>
      <c r="P7" s="87" t="s">
        <v>102</v>
      </c>
      <c r="Q7" s="87" t="s">
        <v>71</v>
      </c>
      <c r="R7" s="86" t="s">
        <v>101</v>
      </c>
      <c r="S7" s="86" t="s">
        <v>100</v>
      </c>
      <c r="T7" s="86" t="s">
        <v>99</v>
      </c>
      <c r="U7" s="86" t="s">
        <v>98</v>
      </c>
      <c r="V7" s="86" t="s">
        <v>97</v>
      </c>
      <c r="W7" s="86" t="s">
        <v>96</v>
      </c>
      <c r="X7" s="86" t="s">
        <v>95</v>
      </c>
      <c r="Y7" s="86" t="s">
        <v>94</v>
      </c>
      <c r="Z7" s="86" t="s">
        <v>93</v>
      </c>
      <c r="AA7" s="86" t="s">
        <v>92</v>
      </c>
      <c r="AB7" s="86" t="s">
        <v>91</v>
      </c>
      <c r="AC7" s="67" t="s">
        <v>5</v>
      </c>
      <c r="AE7" s="90">
        <v>2022</v>
      </c>
      <c r="AF7" s="91">
        <v>2023</v>
      </c>
      <c r="AG7" s="91">
        <v>2024</v>
      </c>
      <c r="AH7" s="91">
        <v>2025</v>
      </c>
      <c r="AI7" s="92">
        <v>2026</v>
      </c>
    </row>
    <row r="8" spans="1:35">
      <c r="R8" s="67" t="s">
        <v>163</v>
      </c>
      <c r="S8" s="67" t="s">
        <v>164</v>
      </c>
      <c r="T8" s="67" t="s">
        <v>2815</v>
      </c>
      <c r="U8" s="67" t="s">
        <v>42</v>
      </c>
      <c r="V8" s="67" t="s">
        <v>1024</v>
      </c>
    </row>
    <row r="9" spans="1:35" s="1" customFormat="1" ht="17.649999999999999">
      <c r="B9" s="2" t="s">
        <v>2739</v>
      </c>
    </row>
    <row r="11" spans="1:35" s="1" customFormat="1" ht="13.9">
      <c r="A11" s="66"/>
      <c r="B11" s="78" t="s">
        <v>165</v>
      </c>
    </row>
    <row r="13" spans="1:35">
      <c r="D13" t="s">
        <v>79</v>
      </c>
      <c r="E13" t="s">
        <v>68</v>
      </c>
      <c r="F13" s="435" t="s">
        <v>274</v>
      </c>
      <c r="G13" s="435" t="s">
        <v>12</v>
      </c>
      <c r="H13" t="s">
        <v>166</v>
      </c>
      <c r="I13" t="s">
        <v>7</v>
      </c>
      <c r="J13" t="s">
        <v>167</v>
      </c>
      <c r="O13" t="s">
        <v>166</v>
      </c>
      <c r="P13" s="81"/>
      <c r="Q13" s="81"/>
      <c r="R13" s="81"/>
      <c r="S13" s="81"/>
      <c r="T13" s="81"/>
      <c r="U13" s="81"/>
      <c r="V13" s="81"/>
      <c r="AC13" t="s">
        <v>2</v>
      </c>
      <c r="AD13" s="80"/>
      <c r="AE13" s="81"/>
      <c r="AF13" s="81"/>
      <c r="AG13" s="81"/>
      <c r="AH13" s="81"/>
      <c r="AI13" s="81"/>
    </row>
    <row r="14" spans="1:35">
      <c r="D14" t="s">
        <v>79</v>
      </c>
      <c r="E14" t="s">
        <v>68</v>
      </c>
      <c r="F14" s="435" t="s">
        <v>274</v>
      </c>
      <c r="G14" s="435" t="s">
        <v>12</v>
      </c>
      <c r="H14" t="s">
        <v>166</v>
      </c>
      <c r="I14" t="s">
        <v>7</v>
      </c>
      <c r="J14" t="s">
        <v>167</v>
      </c>
      <c r="O14" t="s">
        <v>166</v>
      </c>
      <c r="P14" s="81"/>
      <c r="Q14" s="81"/>
      <c r="R14" s="81"/>
      <c r="S14" s="81"/>
      <c r="T14" s="81"/>
      <c r="U14" s="81"/>
      <c r="V14" s="81"/>
      <c r="AC14" t="s">
        <v>2</v>
      </c>
      <c r="AD14" s="80"/>
      <c r="AE14" s="81"/>
      <c r="AF14" s="81"/>
      <c r="AG14" s="81"/>
      <c r="AH14" s="81"/>
      <c r="AI14" s="81"/>
    </row>
    <row r="15" spans="1:35">
      <c r="D15" t="s">
        <v>79</v>
      </c>
      <c r="E15" t="s">
        <v>68</v>
      </c>
      <c r="F15" s="435" t="s">
        <v>274</v>
      </c>
      <c r="G15" s="435" t="s">
        <v>12</v>
      </c>
      <c r="H15" t="s">
        <v>166</v>
      </c>
      <c r="I15" t="s">
        <v>7</v>
      </c>
      <c r="J15" t="s">
        <v>167</v>
      </c>
      <c r="O15" t="s">
        <v>166</v>
      </c>
      <c r="P15" s="81"/>
      <c r="Q15" s="81"/>
      <c r="R15" s="81"/>
      <c r="S15" s="81"/>
      <c r="T15" s="81"/>
      <c r="U15" s="81"/>
      <c r="V15" s="81"/>
      <c r="AC15" t="s">
        <v>2</v>
      </c>
      <c r="AD15" s="80"/>
      <c r="AE15" s="81"/>
      <c r="AF15" s="81"/>
      <c r="AG15" s="81"/>
      <c r="AH15" s="81"/>
      <c r="AI15" s="81"/>
    </row>
    <row r="16" spans="1:35">
      <c r="D16" t="s">
        <v>79</v>
      </c>
      <c r="E16" t="s">
        <v>68</v>
      </c>
      <c r="F16" s="435" t="s">
        <v>274</v>
      </c>
      <c r="G16" s="435" t="s">
        <v>12</v>
      </c>
      <c r="H16" t="s">
        <v>166</v>
      </c>
      <c r="I16" t="s">
        <v>7</v>
      </c>
      <c r="J16" t="s">
        <v>167</v>
      </c>
      <c r="O16" t="s">
        <v>166</v>
      </c>
      <c r="P16" s="81"/>
      <c r="Q16" s="81"/>
      <c r="R16" s="81"/>
      <c r="S16" s="81"/>
      <c r="T16" s="81"/>
      <c r="U16" s="81"/>
      <c r="V16" s="81"/>
      <c r="AC16" t="s">
        <v>2</v>
      </c>
      <c r="AD16" s="80"/>
      <c r="AE16" s="81"/>
      <c r="AF16" s="81"/>
      <c r="AG16" s="81"/>
      <c r="AH16" s="81"/>
      <c r="AI16" s="81"/>
    </row>
    <row r="17" spans="4:35">
      <c r="D17" t="s">
        <v>79</v>
      </c>
      <c r="E17" t="s">
        <v>68</v>
      </c>
      <c r="F17" s="435" t="s">
        <v>274</v>
      </c>
      <c r="G17" s="435" t="s">
        <v>12</v>
      </c>
      <c r="H17" t="s">
        <v>166</v>
      </c>
      <c r="I17" t="s">
        <v>7</v>
      </c>
      <c r="J17" t="s">
        <v>167</v>
      </c>
      <c r="O17" t="s">
        <v>166</v>
      </c>
      <c r="P17" s="81"/>
      <c r="Q17" s="81"/>
      <c r="R17" s="81"/>
      <c r="S17" s="81"/>
      <c r="T17" s="81"/>
      <c r="U17" s="81"/>
      <c r="V17" s="81"/>
      <c r="AC17" t="s">
        <v>2</v>
      </c>
      <c r="AD17" s="80"/>
      <c r="AE17" s="81"/>
      <c r="AF17" s="81"/>
      <c r="AG17" s="81"/>
      <c r="AH17" s="81"/>
      <c r="AI17" s="81"/>
    </row>
    <row r="18" spans="4:35">
      <c r="D18" t="s">
        <v>79</v>
      </c>
      <c r="E18" t="s">
        <v>68</v>
      </c>
      <c r="F18" s="435" t="s">
        <v>274</v>
      </c>
      <c r="G18" s="435" t="s">
        <v>12</v>
      </c>
      <c r="H18" t="s">
        <v>166</v>
      </c>
      <c r="I18" t="s">
        <v>7</v>
      </c>
      <c r="J18" t="s">
        <v>167</v>
      </c>
      <c r="O18" t="s">
        <v>166</v>
      </c>
      <c r="P18" s="81"/>
      <c r="Q18" s="81"/>
      <c r="R18" s="81"/>
      <c r="S18" s="81"/>
      <c r="T18" s="81"/>
      <c r="U18" s="81"/>
      <c r="V18" s="81"/>
      <c r="AC18" t="s">
        <v>2</v>
      </c>
      <c r="AD18" s="80"/>
      <c r="AE18" s="81"/>
      <c r="AF18" s="81"/>
      <c r="AG18" s="81"/>
      <c r="AH18" s="81"/>
      <c r="AI18" s="81"/>
    </row>
    <row r="19" spans="4:35">
      <c r="D19" t="s">
        <v>79</v>
      </c>
      <c r="E19" t="s">
        <v>68</v>
      </c>
      <c r="F19" s="435" t="s">
        <v>274</v>
      </c>
      <c r="G19" s="435" t="s">
        <v>12</v>
      </c>
      <c r="H19" t="s">
        <v>166</v>
      </c>
      <c r="I19" t="s">
        <v>7</v>
      </c>
      <c r="J19" t="s">
        <v>167</v>
      </c>
      <c r="O19" t="s">
        <v>166</v>
      </c>
      <c r="P19" s="81"/>
      <c r="Q19" s="81"/>
      <c r="R19" s="81"/>
      <c r="S19" s="81"/>
      <c r="T19" s="81"/>
      <c r="U19" s="81"/>
      <c r="V19" s="81"/>
      <c r="AC19" t="s">
        <v>2</v>
      </c>
      <c r="AD19" s="80"/>
      <c r="AE19" s="81"/>
      <c r="AF19" s="81"/>
      <c r="AG19" s="81"/>
      <c r="AH19" s="81"/>
      <c r="AI19" s="81"/>
    </row>
    <row r="20" spans="4:35">
      <c r="D20" t="s">
        <v>79</v>
      </c>
      <c r="E20" t="s">
        <v>68</v>
      </c>
      <c r="F20" s="435" t="s">
        <v>274</v>
      </c>
      <c r="G20" s="435" t="s">
        <v>12</v>
      </c>
      <c r="H20" t="s">
        <v>166</v>
      </c>
      <c r="I20" t="s">
        <v>7</v>
      </c>
      <c r="J20" t="s">
        <v>167</v>
      </c>
      <c r="O20" t="s">
        <v>166</v>
      </c>
      <c r="P20" s="81"/>
      <c r="Q20" s="81"/>
      <c r="R20" s="81"/>
      <c r="S20" s="81"/>
      <c r="T20" s="81"/>
      <c r="U20" s="81"/>
      <c r="V20" s="81"/>
      <c r="AC20" t="s">
        <v>2</v>
      </c>
      <c r="AD20" s="80"/>
      <c r="AE20" s="81"/>
      <c r="AF20" s="81"/>
      <c r="AG20" s="81"/>
      <c r="AH20" s="81"/>
      <c r="AI20" s="81"/>
    </row>
    <row r="21" spans="4:35">
      <c r="D21" t="s">
        <v>79</v>
      </c>
      <c r="E21" t="s">
        <v>68</v>
      </c>
      <c r="F21" s="435" t="s">
        <v>274</v>
      </c>
      <c r="G21" s="435" t="s">
        <v>12</v>
      </c>
      <c r="H21" t="s">
        <v>166</v>
      </c>
      <c r="I21" t="s">
        <v>7</v>
      </c>
      <c r="J21" t="s">
        <v>167</v>
      </c>
      <c r="O21" t="s">
        <v>166</v>
      </c>
      <c r="P21" s="81"/>
      <c r="Q21" s="81"/>
      <c r="R21" s="81"/>
      <c r="S21" s="81"/>
      <c r="T21" s="81"/>
      <c r="U21" s="81"/>
      <c r="V21" s="81"/>
      <c r="AC21" t="s">
        <v>2</v>
      </c>
      <c r="AD21" s="80"/>
      <c r="AE21" s="81"/>
      <c r="AF21" s="81"/>
      <c r="AG21" s="81"/>
      <c r="AH21" s="81"/>
      <c r="AI21" s="81"/>
    </row>
    <row r="22" spans="4:35">
      <c r="D22" t="s">
        <v>79</v>
      </c>
      <c r="E22" t="s">
        <v>68</v>
      </c>
      <c r="F22" s="435" t="s">
        <v>274</v>
      </c>
      <c r="G22" s="435" t="s">
        <v>12</v>
      </c>
      <c r="H22" t="s">
        <v>166</v>
      </c>
      <c r="I22" t="s">
        <v>7</v>
      </c>
      <c r="J22" t="s">
        <v>167</v>
      </c>
      <c r="O22" t="s">
        <v>166</v>
      </c>
      <c r="P22" s="81"/>
      <c r="Q22" s="81"/>
      <c r="R22" s="81"/>
      <c r="S22" s="81"/>
      <c r="T22" s="81"/>
      <c r="U22" s="81"/>
      <c r="V22" s="81"/>
      <c r="AC22" t="s">
        <v>2</v>
      </c>
      <c r="AD22" s="80"/>
      <c r="AE22" s="81"/>
      <c r="AF22" s="81"/>
      <c r="AG22" s="81"/>
      <c r="AH22" s="81"/>
      <c r="AI22" s="81"/>
    </row>
    <row r="23" spans="4:35">
      <c r="D23" t="s">
        <v>79</v>
      </c>
      <c r="E23" t="s">
        <v>68</v>
      </c>
      <c r="F23" s="435" t="s">
        <v>274</v>
      </c>
      <c r="G23" s="435" t="s">
        <v>12</v>
      </c>
      <c r="H23" t="s">
        <v>166</v>
      </c>
      <c r="I23" t="s">
        <v>7</v>
      </c>
      <c r="J23" t="s">
        <v>167</v>
      </c>
      <c r="O23" t="s">
        <v>166</v>
      </c>
      <c r="P23" s="81"/>
      <c r="Q23" s="81"/>
      <c r="R23" s="81"/>
      <c r="S23" s="81"/>
      <c r="T23" s="81"/>
      <c r="U23" s="81"/>
      <c r="V23" s="81"/>
      <c r="AC23" t="s">
        <v>2</v>
      </c>
      <c r="AD23" s="80"/>
      <c r="AE23" s="81"/>
      <c r="AF23" s="81"/>
      <c r="AG23" s="81"/>
      <c r="AH23" s="81"/>
      <c r="AI23" s="81"/>
    </row>
    <row r="24" spans="4:35">
      <c r="D24" t="s">
        <v>79</v>
      </c>
      <c r="E24" t="s">
        <v>68</v>
      </c>
      <c r="F24" s="435" t="s">
        <v>274</v>
      </c>
      <c r="G24" s="435" t="s">
        <v>12</v>
      </c>
      <c r="H24" t="s">
        <v>166</v>
      </c>
      <c r="I24" t="s">
        <v>7</v>
      </c>
      <c r="J24" t="s">
        <v>167</v>
      </c>
      <c r="O24" t="s">
        <v>166</v>
      </c>
      <c r="P24" s="81"/>
      <c r="Q24" s="81"/>
      <c r="R24" s="81"/>
      <c r="S24" s="81"/>
      <c r="T24" s="81"/>
      <c r="U24" s="81"/>
      <c r="V24" s="81"/>
      <c r="AC24" t="s">
        <v>2</v>
      </c>
      <c r="AD24" s="80"/>
      <c r="AE24" s="81"/>
      <c r="AF24" s="81"/>
      <c r="AG24" s="81"/>
      <c r="AH24" s="81"/>
      <c r="AI24" s="81"/>
    </row>
    <row r="25" spans="4:35">
      <c r="D25" t="s">
        <v>79</v>
      </c>
      <c r="E25" t="s">
        <v>68</v>
      </c>
      <c r="F25" s="435" t="s">
        <v>274</v>
      </c>
      <c r="G25" s="435" t="s">
        <v>12</v>
      </c>
      <c r="H25" t="s">
        <v>166</v>
      </c>
      <c r="I25" t="s">
        <v>7</v>
      </c>
      <c r="J25" t="s">
        <v>167</v>
      </c>
      <c r="O25" t="s">
        <v>166</v>
      </c>
      <c r="P25" s="81"/>
      <c r="Q25" s="81"/>
      <c r="R25" s="81"/>
      <c r="S25" s="81"/>
      <c r="T25" s="81"/>
      <c r="U25" s="81"/>
      <c r="V25" s="81"/>
      <c r="AC25" t="s">
        <v>2</v>
      </c>
      <c r="AD25" s="80"/>
      <c r="AE25" s="81"/>
      <c r="AF25" s="81"/>
      <c r="AG25" s="81"/>
      <c r="AH25" s="81"/>
      <c r="AI25" s="81"/>
    </row>
    <row r="26" spans="4:35">
      <c r="D26" t="s">
        <v>79</v>
      </c>
      <c r="E26" t="s">
        <v>68</v>
      </c>
      <c r="F26" s="435" t="s">
        <v>274</v>
      </c>
      <c r="G26" s="435" t="s">
        <v>12</v>
      </c>
      <c r="H26" t="s">
        <v>166</v>
      </c>
      <c r="I26" t="s">
        <v>7</v>
      </c>
      <c r="J26" t="s">
        <v>167</v>
      </c>
      <c r="O26" t="s">
        <v>166</v>
      </c>
      <c r="P26" s="81"/>
      <c r="Q26" s="81"/>
      <c r="R26" s="81"/>
      <c r="S26" s="81"/>
      <c r="T26" s="81"/>
      <c r="U26" s="81"/>
      <c r="V26" s="81"/>
      <c r="AC26" t="s">
        <v>2</v>
      </c>
      <c r="AD26" s="80"/>
      <c r="AE26" s="81"/>
      <c r="AF26" s="81"/>
      <c r="AG26" s="81"/>
      <c r="AH26" s="81"/>
      <c r="AI26" s="81"/>
    </row>
    <row r="27" spans="4:35">
      <c r="D27" t="s">
        <v>79</v>
      </c>
      <c r="E27" t="s">
        <v>68</v>
      </c>
      <c r="F27" s="435" t="s">
        <v>274</v>
      </c>
      <c r="G27" s="435" t="s">
        <v>12</v>
      </c>
      <c r="H27" t="s">
        <v>166</v>
      </c>
      <c r="I27" t="s">
        <v>7</v>
      </c>
      <c r="J27" t="s">
        <v>167</v>
      </c>
      <c r="O27" t="s">
        <v>166</v>
      </c>
      <c r="P27" s="81"/>
      <c r="Q27" s="81"/>
      <c r="R27" s="81"/>
      <c r="S27" s="81"/>
      <c r="T27" s="81"/>
      <c r="U27" s="81"/>
      <c r="V27" s="81"/>
      <c r="AC27" t="s">
        <v>2</v>
      </c>
      <c r="AD27" s="80"/>
      <c r="AE27" s="81"/>
      <c r="AF27" s="81"/>
      <c r="AG27" s="81"/>
      <c r="AH27" s="81"/>
      <c r="AI27" s="81"/>
    </row>
    <row r="28" spans="4:35">
      <c r="D28" t="s">
        <v>79</v>
      </c>
      <c r="E28" t="s">
        <v>68</v>
      </c>
      <c r="F28" s="435" t="s">
        <v>274</v>
      </c>
      <c r="G28" s="435" t="s">
        <v>12</v>
      </c>
      <c r="H28" t="s">
        <v>166</v>
      </c>
      <c r="I28" t="s">
        <v>7</v>
      </c>
      <c r="J28" t="s">
        <v>167</v>
      </c>
      <c r="O28" t="s">
        <v>166</v>
      </c>
      <c r="P28" s="81"/>
      <c r="Q28" s="81"/>
      <c r="R28" s="81"/>
      <c r="S28" s="81"/>
      <c r="T28" s="81"/>
      <c r="U28" s="81"/>
      <c r="V28" s="81"/>
      <c r="AC28" t="s">
        <v>2</v>
      </c>
      <c r="AD28" s="80"/>
      <c r="AE28" s="81"/>
      <c r="AF28" s="81"/>
      <c r="AG28" s="81"/>
      <c r="AH28" s="81"/>
      <c r="AI28" s="81"/>
    </row>
    <row r="29" spans="4:35">
      <c r="D29" t="s">
        <v>79</v>
      </c>
      <c r="E29" t="s">
        <v>68</v>
      </c>
      <c r="F29" s="435" t="s">
        <v>274</v>
      </c>
      <c r="G29" s="435" t="s">
        <v>12</v>
      </c>
      <c r="H29" t="s">
        <v>166</v>
      </c>
      <c r="I29" t="s">
        <v>7</v>
      </c>
      <c r="J29" t="s">
        <v>167</v>
      </c>
      <c r="O29" t="s">
        <v>166</v>
      </c>
      <c r="P29" s="81"/>
      <c r="Q29" s="81"/>
      <c r="R29" s="81"/>
      <c r="S29" s="81"/>
      <c r="T29" s="81"/>
      <c r="U29" s="81"/>
      <c r="V29" s="81"/>
      <c r="AC29" t="s">
        <v>2</v>
      </c>
      <c r="AD29" s="80"/>
      <c r="AE29" s="81"/>
      <c r="AF29" s="81"/>
      <c r="AG29" s="81"/>
      <c r="AH29" s="81"/>
      <c r="AI29" s="81"/>
    </row>
    <row r="30" spans="4:35">
      <c r="D30" t="s">
        <v>79</v>
      </c>
      <c r="E30" t="s">
        <v>68</v>
      </c>
      <c r="F30" s="435" t="s">
        <v>274</v>
      </c>
      <c r="G30" s="435" t="s">
        <v>12</v>
      </c>
      <c r="H30" t="s">
        <v>166</v>
      </c>
      <c r="I30" t="s">
        <v>7</v>
      </c>
      <c r="J30" t="s">
        <v>167</v>
      </c>
      <c r="O30" t="s">
        <v>166</v>
      </c>
      <c r="P30" s="81"/>
      <c r="Q30" s="81"/>
      <c r="R30" s="81"/>
      <c r="S30" s="81"/>
      <c r="T30" s="81"/>
      <c r="U30" s="81"/>
      <c r="V30" s="81"/>
      <c r="AC30" t="s">
        <v>2</v>
      </c>
      <c r="AD30" s="80"/>
      <c r="AE30" s="81"/>
      <c r="AF30" s="81"/>
      <c r="AG30" s="81"/>
      <c r="AH30" s="81"/>
      <c r="AI30" s="81"/>
    </row>
    <row r="31" spans="4:35">
      <c r="D31" t="s">
        <v>79</v>
      </c>
      <c r="E31" t="s">
        <v>68</v>
      </c>
      <c r="F31" s="435" t="s">
        <v>274</v>
      </c>
      <c r="G31" s="435" t="s">
        <v>12</v>
      </c>
      <c r="H31" t="s">
        <v>166</v>
      </c>
      <c r="I31" t="s">
        <v>7</v>
      </c>
      <c r="J31" t="s">
        <v>167</v>
      </c>
      <c r="O31" t="s">
        <v>166</v>
      </c>
      <c r="P31" s="81"/>
      <c r="Q31" s="81"/>
      <c r="R31" s="81"/>
      <c r="S31" s="81"/>
      <c r="T31" s="81"/>
      <c r="U31" s="81"/>
      <c r="V31" s="81"/>
      <c r="AC31" t="s">
        <v>2</v>
      </c>
      <c r="AD31" s="80"/>
      <c r="AE31" s="81"/>
      <c r="AF31" s="81"/>
      <c r="AG31" s="81"/>
      <c r="AH31" s="81"/>
      <c r="AI31" s="81"/>
    </row>
    <row r="32" spans="4:35">
      <c r="D32" t="s">
        <v>79</v>
      </c>
      <c r="E32" t="s">
        <v>68</v>
      </c>
      <c r="F32" s="435" t="s">
        <v>274</v>
      </c>
      <c r="G32" s="435" t="s">
        <v>12</v>
      </c>
      <c r="H32" t="s">
        <v>166</v>
      </c>
      <c r="I32" t="s">
        <v>7</v>
      </c>
      <c r="J32" t="s">
        <v>167</v>
      </c>
      <c r="O32" t="s">
        <v>166</v>
      </c>
      <c r="P32" s="81"/>
      <c r="Q32" s="81"/>
      <c r="R32" s="81"/>
      <c r="S32" s="81"/>
      <c r="T32" s="81"/>
      <c r="U32" s="81"/>
      <c r="V32" s="81"/>
      <c r="AC32" t="s">
        <v>2</v>
      </c>
      <c r="AD32" s="80"/>
      <c r="AE32" s="81"/>
      <c r="AF32" s="81"/>
      <c r="AG32" s="81"/>
      <c r="AH32" s="81"/>
      <c r="AI32" s="81"/>
    </row>
    <row r="33" spans="4:35">
      <c r="D33" t="s">
        <v>79</v>
      </c>
      <c r="E33" t="s">
        <v>68</v>
      </c>
      <c r="F33" s="435" t="s">
        <v>274</v>
      </c>
      <c r="G33" s="435" t="s">
        <v>12</v>
      </c>
      <c r="H33" t="s">
        <v>166</v>
      </c>
      <c r="I33" t="s">
        <v>7</v>
      </c>
      <c r="J33" t="s">
        <v>167</v>
      </c>
      <c r="O33" t="s">
        <v>166</v>
      </c>
      <c r="P33" s="81"/>
      <c r="Q33" s="81"/>
      <c r="R33" s="81"/>
      <c r="S33" s="81"/>
      <c r="T33" s="81"/>
      <c r="U33" s="81"/>
      <c r="V33" s="81"/>
      <c r="AC33" t="s">
        <v>2</v>
      </c>
      <c r="AD33" s="80"/>
      <c r="AE33" s="81"/>
      <c r="AF33" s="81"/>
      <c r="AG33" s="81"/>
      <c r="AH33" s="81"/>
      <c r="AI33" s="81"/>
    </row>
    <row r="34" spans="4:35">
      <c r="D34" t="s">
        <v>79</v>
      </c>
      <c r="E34" t="s">
        <v>68</v>
      </c>
      <c r="F34" s="435" t="s">
        <v>274</v>
      </c>
      <c r="G34" s="435" t="s">
        <v>12</v>
      </c>
      <c r="H34" t="s">
        <v>166</v>
      </c>
      <c r="I34" t="s">
        <v>7</v>
      </c>
      <c r="J34" t="s">
        <v>167</v>
      </c>
      <c r="O34" t="s">
        <v>166</v>
      </c>
      <c r="P34" s="81"/>
      <c r="Q34" s="81"/>
      <c r="R34" s="81"/>
      <c r="S34" s="81"/>
      <c r="T34" s="81"/>
      <c r="U34" s="81"/>
      <c r="V34" s="81"/>
      <c r="AC34" t="s">
        <v>2</v>
      </c>
      <c r="AD34" s="80"/>
      <c r="AE34" s="81"/>
      <c r="AF34" s="81"/>
      <c r="AG34" s="81"/>
      <c r="AH34" s="81"/>
      <c r="AI34" s="81"/>
    </row>
    <row r="35" spans="4:35">
      <c r="D35" t="s">
        <v>79</v>
      </c>
      <c r="E35" t="s">
        <v>68</v>
      </c>
      <c r="F35" s="435" t="s">
        <v>274</v>
      </c>
      <c r="G35" s="435" t="s">
        <v>12</v>
      </c>
      <c r="H35" t="s">
        <v>166</v>
      </c>
      <c r="I35" t="s">
        <v>7</v>
      </c>
      <c r="J35" t="s">
        <v>167</v>
      </c>
      <c r="O35" t="s">
        <v>166</v>
      </c>
      <c r="P35" s="81"/>
      <c r="Q35" s="81"/>
      <c r="R35" s="81"/>
      <c r="S35" s="81"/>
      <c r="T35" s="81"/>
      <c r="U35" s="81"/>
      <c r="V35" s="81"/>
      <c r="AC35" t="s">
        <v>2</v>
      </c>
      <c r="AD35" s="80"/>
      <c r="AE35" s="81"/>
      <c r="AF35" s="81"/>
      <c r="AG35" s="81"/>
      <c r="AH35" s="81"/>
      <c r="AI35" s="81"/>
    </row>
    <row r="36" spans="4:35">
      <c r="D36" t="s">
        <v>79</v>
      </c>
      <c r="E36" t="s">
        <v>68</v>
      </c>
      <c r="F36" s="435" t="s">
        <v>274</v>
      </c>
      <c r="G36" s="435" t="s">
        <v>12</v>
      </c>
      <c r="H36" t="s">
        <v>166</v>
      </c>
      <c r="I36" t="s">
        <v>7</v>
      </c>
      <c r="J36" t="s">
        <v>167</v>
      </c>
      <c r="O36" t="s">
        <v>166</v>
      </c>
      <c r="P36" s="81"/>
      <c r="Q36" s="81"/>
      <c r="R36" s="81"/>
      <c r="S36" s="81"/>
      <c r="T36" s="81"/>
      <c r="U36" s="81"/>
      <c r="V36" s="81"/>
      <c r="AC36" t="s">
        <v>2</v>
      </c>
      <c r="AD36" s="80"/>
      <c r="AE36" s="81"/>
      <c r="AF36" s="81"/>
      <c r="AG36" s="81"/>
      <c r="AH36" s="81"/>
      <c r="AI36" s="81"/>
    </row>
    <row r="37" spans="4:35">
      <c r="D37" t="s">
        <v>79</v>
      </c>
      <c r="E37" t="s">
        <v>68</v>
      </c>
      <c r="F37" s="435" t="s">
        <v>274</v>
      </c>
      <c r="G37" s="435" t="s">
        <v>12</v>
      </c>
      <c r="H37" t="s">
        <v>166</v>
      </c>
      <c r="I37" t="s">
        <v>7</v>
      </c>
      <c r="J37" t="s">
        <v>167</v>
      </c>
      <c r="O37" t="s">
        <v>166</v>
      </c>
      <c r="P37" s="81"/>
      <c r="Q37" s="81"/>
      <c r="R37" s="81"/>
      <c r="S37" s="81"/>
      <c r="T37" s="81"/>
      <c r="U37" s="81"/>
      <c r="V37" s="81"/>
      <c r="AC37" t="s">
        <v>2</v>
      </c>
      <c r="AD37" s="80"/>
      <c r="AE37" s="81"/>
      <c r="AF37" s="81"/>
      <c r="AG37" s="81"/>
      <c r="AH37" s="81"/>
      <c r="AI37" s="81"/>
    </row>
    <row r="38" spans="4:35">
      <c r="D38" t="s">
        <v>79</v>
      </c>
      <c r="E38" t="s">
        <v>68</v>
      </c>
      <c r="F38" s="435" t="s">
        <v>274</v>
      </c>
      <c r="G38" s="435" t="s">
        <v>12</v>
      </c>
      <c r="H38" t="s">
        <v>166</v>
      </c>
      <c r="I38" t="s">
        <v>7</v>
      </c>
      <c r="J38" t="s">
        <v>167</v>
      </c>
      <c r="O38" t="s">
        <v>166</v>
      </c>
      <c r="P38" s="81"/>
      <c r="Q38" s="81"/>
      <c r="R38" s="81"/>
      <c r="S38" s="81"/>
      <c r="T38" s="81"/>
      <c r="U38" s="81"/>
      <c r="V38" s="81"/>
      <c r="AC38" t="s">
        <v>2</v>
      </c>
      <c r="AD38" s="80"/>
      <c r="AE38" s="81"/>
      <c r="AF38" s="81"/>
      <c r="AG38" s="81"/>
      <c r="AH38" s="81"/>
      <c r="AI38" s="81"/>
    </row>
    <row r="39" spans="4:35">
      <c r="D39" t="s">
        <v>79</v>
      </c>
      <c r="E39" t="s">
        <v>68</v>
      </c>
      <c r="F39" s="435" t="s">
        <v>274</v>
      </c>
      <c r="G39" s="435" t="s">
        <v>12</v>
      </c>
      <c r="H39" t="s">
        <v>166</v>
      </c>
      <c r="I39" t="s">
        <v>7</v>
      </c>
      <c r="J39" t="s">
        <v>167</v>
      </c>
      <c r="O39" t="s">
        <v>166</v>
      </c>
      <c r="P39" s="81"/>
      <c r="Q39" s="81"/>
      <c r="R39" s="81"/>
      <c r="S39" s="81"/>
      <c r="T39" s="81"/>
      <c r="U39" s="81"/>
      <c r="V39" s="81"/>
      <c r="AC39" t="s">
        <v>2</v>
      </c>
      <c r="AD39" s="80"/>
      <c r="AE39" s="81"/>
      <c r="AF39" s="81"/>
      <c r="AG39" s="81"/>
      <c r="AH39" s="81"/>
      <c r="AI39" s="81"/>
    </row>
    <row r="40" spans="4:35">
      <c r="D40" t="s">
        <v>79</v>
      </c>
      <c r="E40" t="s">
        <v>68</v>
      </c>
      <c r="F40" s="435" t="s">
        <v>274</v>
      </c>
      <c r="G40" s="435" t="s">
        <v>12</v>
      </c>
      <c r="H40" t="s">
        <v>166</v>
      </c>
      <c r="I40" t="s">
        <v>7</v>
      </c>
      <c r="J40" t="s">
        <v>167</v>
      </c>
      <c r="O40" t="s">
        <v>166</v>
      </c>
      <c r="P40" s="81"/>
      <c r="Q40" s="81"/>
      <c r="R40" s="81"/>
      <c r="S40" s="81"/>
      <c r="T40" s="81"/>
      <c r="U40" s="81"/>
      <c r="V40" s="81"/>
      <c r="AC40" t="s">
        <v>2</v>
      </c>
      <c r="AD40" s="80"/>
      <c r="AE40" s="81"/>
      <c r="AF40" s="81"/>
      <c r="AG40" s="81"/>
      <c r="AH40" s="81"/>
      <c r="AI40" s="81"/>
    </row>
    <row r="41" spans="4:35">
      <c r="D41" t="s">
        <v>79</v>
      </c>
      <c r="E41" t="s">
        <v>68</v>
      </c>
      <c r="F41" s="435" t="s">
        <v>274</v>
      </c>
      <c r="G41" s="435" t="s">
        <v>12</v>
      </c>
      <c r="H41" t="s">
        <v>166</v>
      </c>
      <c r="I41" t="s">
        <v>7</v>
      </c>
      <c r="J41" t="s">
        <v>167</v>
      </c>
      <c r="O41" t="s">
        <v>166</v>
      </c>
      <c r="P41" s="81"/>
      <c r="Q41" s="81"/>
      <c r="R41" s="81"/>
      <c r="S41" s="81"/>
      <c r="T41" s="81"/>
      <c r="U41" s="81"/>
      <c r="V41" s="81"/>
      <c r="AC41" t="s">
        <v>2</v>
      </c>
      <c r="AD41" s="80"/>
      <c r="AE41" s="81"/>
      <c r="AF41" s="81"/>
      <c r="AG41" s="81"/>
      <c r="AH41" s="81"/>
      <c r="AI41" s="81"/>
    </row>
    <row r="42" spans="4:35">
      <c r="D42" t="s">
        <v>79</v>
      </c>
      <c r="E42" t="s">
        <v>68</v>
      </c>
      <c r="F42" s="435" t="s">
        <v>274</v>
      </c>
      <c r="G42" s="435" t="s">
        <v>12</v>
      </c>
      <c r="H42" t="s">
        <v>166</v>
      </c>
      <c r="I42" t="s">
        <v>7</v>
      </c>
      <c r="J42" t="s">
        <v>167</v>
      </c>
      <c r="O42" t="s">
        <v>166</v>
      </c>
      <c r="P42" s="81"/>
      <c r="Q42" s="81"/>
      <c r="R42" s="81"/>
      <c r="S42" s="81"/>
      <c r="T42" s="81"/>
      <c r="U42" s="81"/>
      <c r="V42" s="81"/>
      <c r="AC42" t="s">
        <v>2</v>
      </c>
      <c r="AD42" s="80"/>
      <c r="AE42" s="81"/>
      <c r="AF42" s="81"/>
      <c r="AG42" s="81"/>
      <c r="AH42" s="81"/>
      <c r="AI42" s="81"/>
    </row>
    <row r="43" spans="4:35">
      <c r="D43" t="s">
        <v>79</v>
      </c>
      <c r="E43" t="s">
        <v>68</v>
      </c>
      <c r="F43" s="435" t="s">
        <v>274</v>
      </c>
      <c r="G43" s="435" t="s">
        <v>12</v>
      </c>
      <c r="H43" t="s">
        <v>166</v>
      </c>
      <c r="I43" t="s">
        <v>7</v>
      </c>
      <c r="J43" t="s">
        <v>167</v>
      </c>
      <c r="O43" t="s">
        <v>166</v>
      </c>
      <c r="P43" s="81"/>
      <c r="Q43" s="81"/>
      <c r="R43" s="81"/>
      <c r="S43" s="81"/>
      <c r="T43" s="81"/>
      <c r="U43" s="81"/>
      <c r="V43" s="81"/>
      <c r="AC43" t="s">
        <v>2</v>
      </c>
      <c r="AD43" s="80"/>
      <c r="AE43" s="81"/>
      <c r="AF43" s="81"/>
      <c r="AG43" s="81"/>
      <c r="AH43" s="81"/>
      <c r="AI43" s="81"/>
    </row>
    <row r="44" spans="4:35">
      <c r="D44" t="s">
        <v>79</v>
      </c>
      <c r="E44" t="s">
        <v>68</v>
      </c>
      <c r="F44" s="435" t="s">
        <v>274</v>
      </c>
      <c r="G44" s="435" t="s">
        <v>12</v>
      </c>
      <c r="H44" t="s">
        <v>166</v>
      </c>
      <c r="I44" t="s">
        <v>7</v>
      </c>
      <c r="J44" t="s">
        <v>167</v>
      </c>
      <c r="O44" t="s">
        <v>166</v>
      </c>
      <c r="P44" s="81"/>
      <c r="Q44" s="81"/>
      <c r="R44" s="81"/>
      <c r="S44" s="81"/>
      <c r="T44" s="81"/>
      <c r="U44" s="81"/>
      <c r="V44" s="81"/>
      <c r="AC44" t="s">
        <v>2</v>
      </c>
      <c r="AD44" s="80"/>
      <c r="AE44" s="81"/>
      <c r="AF44" s="81"/>
      <c r="AG44" s="81"/>
      <c r="AH44" s="81"/>
      <c r="AI44" s="81"/>
    </row>
    <row r="45" spans="4:35">
      <c r="D45" t="s">
        <v>79</v>
      </c>
      <c r="E45" t="s">
        <v>68</v>
      </c>
      <c r="F45" s="435" t="s">
        <v>274</v>
      </c>
      <c r="G45" s="435" t="s">
        <v>12</v>
      </c>
      <c r="H45" t="s">
        <v>166</v>
      </c>
      <c r="I45" t="s">
        <v>7</v>
      </c>
      <c r="J45" t="s">
        <v>167</v>
      </c>
      <c r="O45" t="s">
        <v>166</v>
      </c>
      <c r="P45" s="81"/>
      <c r="Q45" s="81"/>
      <c r="R45" s="81"/>
      <c r="S45" s="81"/>
      <c r="T45" s="81"/>
      <c r="U45" s="81"/>
      <c r="V45" s="81"/>
      <c r="AC45" t="s">
        <v>2</v>
      </c>
      <c r="AD45" s="80"/>
      <c r="AE45" s="81"/>
      <c r="AF45" s="81"/>
      <c r="AG45" s="81"/>
      <c r="AH45" s="81"/>
      <c r="AI45" s="81"/>
    </row>
    <row r="46" spans="4:35">
      <c r="D46" t="s">
        <v>79</v>
      </c>
      <c r="E46" t="s">
        <v>68</v>
      </c>
      <c r="F46" s="435" t="s">
        <v>274</v>
      </c>
      <c r="G46" s="435" t="s">
        <v>12</v>
      </c>
      <c r="H46" t="s">
        <v>166</v>
      </c>
      <c r="I46" t="s">
        <v>7</v>
      </c>
      <c r="J46" t="s">
        <v>167</v>
      </c>
      <c r="O46" t="s">
        <v>166</v>
      </c>
      <c r="P46" s="81"/>
      <c r="Q46" s="81"/>
      <c r="R46" s="81"/>
      <c r="S46" s="81"/>
      <c r="T46" s="81"/>
      <c r="U46" s="81"/>
      <c r="V46" s="81"/>
      <c r="AC46" t="s">
        <v>2</v>
      </c>
      <c r="AD46" s="80"/>
      <c r="AE46" s="81"/>
      <c r="AF46" s="81"/>
      <c r="AG46" s="81"/>
      <c r="AH46" s="81"/>
      <c r="AI46" s="81"/>
    </row>
    <row r="47" spans="4:35">
      <c r="D47" t="s">
        <v>79</v>
      </c>
      <c r="E47" t="s">
        <v>68</v>
      </c>
      <c r="F47" s="435" t="s">
        <v>274</v>
      </c>
      <c r="G47" s="435" t="s">
        <v>12</v>
      </c>
      <c r="H47" t="s">
        <v>166</v>
      </c>
      <c r="I47" t="s">
        <v>7</v>
      </c>
      <c r="J47" t="s">
        <v>167</v>
      </c>
      <c r="O47" t="s">
        <v>166</v>
      </c>
      <c r="P47" s="79"/>
      <c r="Q47" s="79" t="s">
        <v>168</v>
      </c>
      <c r="R47" s="79"/>
      <c r="S47" s="79"/>
      <c r="T47" s="79"/>
      <c r="U47" s="79"/>
      <c r="V47" s="79"/>
      <c r="AC47" t="s">
        <v>2</v>
      </c>
      <c r="AD47" s="80"/>
      <c r="AE47" s="81"/>
      <c r="AF47" s="81"/>
      <c r="AG47" s="81"/>
      <c r="AH47" s="81"/>
      <c r="AI47" s="81"/>
    </row>
    <row r="48" spans="4:35">
      <c r="D48" t="s">
        <v>79</v>
      </c>
      <c r="E48" t="s">
        <v>68</v>
      </c>
      <c r="F48" s="435" t="s">
        <v>274</v>
      </c>
      <c r="G48" s="435" t="s">
        <v>12</v>
      </c>
      <c r="H48" t="s">
        <v>166</v>
      </c>
      <c r="I48" t="s">
        <v>7</v>
      </c>
      <c r="J48" t="s">
        <v>167</v>
      </c>
      <c r="O48" t="s">
        <v>166</v>
      </c>
      <c r="P48" s="79"/>
      <c r="Q48" s="79"/>
      <c r="R48" s="79"/>
      <c r="S48" s="79"/>
      <c r="T48" s="79"/>
      <c r="U48" s="79"/>
      <c r="V48" s="79"/>
      <c r="AC48" t="s">
        <v>2</v>
      </c>
      <c r="AD48" s="80"/>
      <c r="AE48" s="79"/>
      <c r="AF48" s="79"/>
      <c r="AG48" s="79"/>
      <c r="AH48" s="79"/>
      <c r="AI48" s="79"/>
    </row>
    <row r="49" spans="1:35">
      <c r="D49" t="s">
        <v>79</v>
      </c>
      <c r="E49" t="s">
        <v>68</v>
      </c>
      <c r="F49" s="435" t="s">
        <v>274</v>
      </c>
      <c r="G49" s="435" t="s">
        <v>12</v>
      </c>
      <c r="H49" t="s">
        <v>166</v>
      </c>
      <c r="I49" t="s">
        <v>7</v>
      </c>
      <c r="J49" t="s">
        <v>167</v>
      </c>
      <c r="O49" t="s">
        <v>166</v>
      </c>
      <c r="P49" s="79"/>
      <c r="Q49" s="79"/>
      <c r="R49" s="79"/>
      <c r="S49" s="79"/>
      <c r="T49" s="79"/>
      <c r="U49" s="79"/>
      <c r="V49" s="79"/>
      <c r="AC49" t="s">
        <v>2</v>
      </c>
      <c r="AD49" s="80"/>
      <c r="AE49" s="79"/>
      <c r="AF49" s="79"/>
      <c r="AG49" s="79"/>
      <c r="AH49" s="79"/>
      <c r="AI49" s="79"/>
    </row>
    <row r="50" spans="1:35" s="67" customFormat="1">
      <c r="D50" t="s">
        <v>79</v>
      </c>
      <c r="E50" t="s">
        <v>68</v>
      </c>
      <c r="F50" s="435" t="s">
        <v>274</v>
      </c>
      <c r="G50" s="435" t="s">
        <v>12</v>
      </c>
      <c r="H50" t="s">
        <v>166</v>
      </c>
      <c r="I50" t="s">
        <v>7</v>
      </c>
      <c r="J50" t="s">
        <v>167</v>
      </c>
      <c r="K50"/>
      <c r="L50"/>
      <c r="M50"/>
      <c r="N50"/>
      <c r="O50" t="s">
        <v>166</v>
      </c>
      <c r="P50" s="79"/>
      <c r="Q50" s="79"/>
      <c r="R50" s="79"/>
      <c r="S50" s="79"/>
      <c r="T50" s="79"/>
      <c r="U50" s="79"/>
      <c r="V50" s="79"/>
      <c r="W50"/>
      <c r="X50"/>
      <c r="Y50"/>
      <c r="Z50"/>
      <c r="AA50"/>
      <c r="AB50"/>
      <c r="AC50" t="s">
        <v>2</v>
      </c>
      <c r="AD50" s="80"/>
      <c r="AE50" s="79"/>
      <c r="AF50" s="79"/>
      <c r="AG50" s="79"/>
      <c r="AH50" s="79"/>
      <c r="AI50" s="79"/>
    </row>
    <row r="52" spans="1:35" s="1" customFormat="1" ht="13.9">
      <c r="A52" s="66"/>
      <c r="B52" s="78" t="s">
        <v>169</v>
      </c>
    </row>
    <row r="54" spans="1:35">
      <c r="D54" t="s">
        <v>79</v>
      </c>
      <c r="E54" t="s">
        <v>68</v>
      </c>
      <c r="F54" s="435" t="s">
        <v>274</v>
      </c>
      <c r="G54" s="435" t="s">
        <v>12</v>
      </c>
      <c r="H54" t="s">
        <v>166</v>
      </c>
      <c r="I54" t="s">
        <v>7</v>
      </c>
      <c r="J54" t="s">
        <v>169</v>
      </c>
      <c r="K54" t="s">
        <v>170</v>
      </c>
      <c r="O54" t="s">
        <v>166</v>
      </c>
      <c r="AC54" t="s">
        <v>2</v>
      </c>
      <c r="AD54" s="80"/>
      <c r="AE54" s="81"/>
      <c r="AF54" s="81"/>
      <c r="AG54" s="81"/>
      <c r="AH54" s="81"/>
      <c r="AI54" s="81"/>
    </row>
    <row r="55" spans="1:35">
      <c r="D55" t="s">
        <v>79</v>
      </c>
      <c r="E55" t="s">
        <v>68</v>
      </c>
      <c r="F55" s="435" t="s">
        <v>274</v>
      </c>
      <c r="G55" s="435" t="s">
        <v>12</v>
      </c>
      <c r="H55" t="s">
        <v>166</v>
      </c>
      <c r="I55" t="s">
        <v>7</v>
      </c>
      <c r="J55" t="s">
        <v>169</v>
      </c>
      <c r="K55" t="s">
        <v>171</v>
      </c>
      <c r="O55" t="s">
        <v>166</v>
      </c>
      <c r="AC55" t="s">
        <v>2</v>
      </c>
      <c r="AD55" s="80"/>
      <c r="AE55" s="81"/>
      <c r="AF55" s="81"/>
      <c r="AG55" s="81"/>
      <c r="AH55" s="81"/>
      <c r="AI55" s="81"/>
    </row>
    <row r="56" spans="1:35">
      <c r="D56" t="s">
        <v>79</v>
      </c>
      <c r="E56" t="s">
        <v>68</v>
      </c>
      <c r="F56" s="435" t="s">
        <v>274</v>
      </c>
      <c r="G56" s="435" t="s">
        <v>12</v>
      </c>
      <c r="H56" t="s">
        <v>166</v>
      </c>
      <c r="I56" t="s">
        <v>7</v>
      </c>
      <c r="O56" t="s">
        <v>166</v>
      </c>
      <c r="AC56" t="s">
        <v>2</v>
      </c>
      <c r="AD56" s="80"/>
      <c r="AE56" s="79"/>
      <c r="AF56" s="79"/>
      <c r="AG56" s="79"/>
      <c r="AH56" s="79"/>
      <c r="AI56" s="79"/>
    </row>
    <row r="58" spans="1:35" s="1" customFormat="1" ht="13.9">
      <c r="A58" s="66"/>
      <c r="B58" s="78" t="s">
        <v>172</v>
      </c>
    </row>
    <row r="60" spans="1:35">
      <c r="D60" t="s">
        <v>79</v>
      </c>
      <c r="E60" t="s">
        <v>68</v>
      </c>
      <c r="F60" s="435" t="s">
        <v>274</v>
      </c>
      <c r="G60" s="435" t="s">
        <v>12</v>
      </c>
      <c r="H60" t="s">
        <v>166</v>
      </c>
      <c r="I60" t="s">
        <v>7</v>
      </c>
      <c r="J60" t="s">
        <v>172</v>
      </c>
      <c r="K60" t="s">
        <v>173</v>
      </c>
      <c r="O60" t="s">
        <v>166</v>
      </c>
      <c r="AC60" t="s">
        <v>2</v>
      </c>
      <c r="AD60" s="80"/>
      <c r="AE60" s="81"/>
      <c r="AF60" s="81"/>
      <c r="AG60" s="81"/>
      <c r="AH60" s="81"/>
      <c r="AI60" s="81"/>
    </row>
    <row r="61" spans="1:35">
      <c r="D61" t="s">
        <v>79</v>
      </c>
      <c r="E61" t="s">
        <v>68</v>
      </c>
      <c r="F61" s="435" t="s">
        <v>274</v>
      </c>
      <c r="G61" s="435" t="s">
        <v>12</v>
      </c>
      <c r="H61" t="s">
        <v>166</v>
      </c>
      <c r="I61" t="s">
        <v>7</v>
      </c>
      <c r="J61" t="s">
        <v>172</v>
      </c>
      <c r="K61" t="s">
        <v>174</v>
      </c>
      <c r="O61" t="s">
        <v>166</v>
      </c>
      <c r="AC61" t="s">
        <v>2</v>
      </c>
      <c r="AD61" s="80"/>
      <c r="AE61" s="81"/>
      <c r="AF61" s="81"/>
      <c r="AG61" s="81"/>
      <c r="AH61" s="81"/>
      <c r="AI61" s="81"/>
    </row>
    <row r="62" spans="1:35">
      <c r="D62" t="s">
        <v>79</v>
      </c>
      <c r="E62" t="s">
        <v>68</v>
      </c>
      <c r="F62" s="435" t="s">
        <v>274</v>
      </c>
      <c r="G62" s="435" t="s">
        <v>12</v>
      </c>
      <c r="H62" t="s">
        <v>166</v>
      </c>
      <c r="I62" t="s">
        <v>7</v>
      </c>
      <c r="O62" t="s">
        <v>166</v>
      </c>
      <c r="AC62" t="s">
        <v>2</v>
      </c>
      <c r="AD62" s="80"/>
      <c r="AE62" s="79"/>
      <c r="AF62" s="79"/>
      <c r="AG62" s="79"/>
      <c r="AH62" s="79"/>
      <c r="AI62" s="79"/>
    </row>
    <row r="64" spans="1:35" s="1" customFormat="1" ht="13.9">
      <c r="A64" s="66"/>
      <c r="B64" s="78" t="s">
        <v>175</v>
      </c>
    </row>
    <row r="66" spans="1:35">
      <c r="D66" t="s">
        <v>79</v>
      </c>
      <c r="E66" t="s">
        <v>68</v>
      </c>
      <c r="F66" s="435" t="s">
        <v>274</v>
      </c>
      <c r="G66" s="435" t="s">
        <v>12</v>
      </c>
      <c r="H66" t="s">
        <v>166</v>
      </c>
      <c r="I66" t="s">
        <v>7</v>
      </c>
      <c r="J66" t="s">
        <v>1025</v>
      </c>
      <c r="K66" t="s">
        <v>176</v>
      </c>
      <c r="O66" t="s">
        <v>166</v>
      </c>
      <c r="AC66" t="s">
        <v>2</v>
      </c>
      <c r="AD66" s="80"/>
      <c r="AE66" s="81"/>
      <c r="AF66" s="81"/>
      <c r="AG66" s="81"/>
      <c r="AH66" s="81"/>
      <c r="AI66" s="81"/>
    </row>
    <row r="67" spans="1:35">
      <c r="D67" t="s">
        <v>79</v>
      </c>
      <c r="E67" t="s">
        <v>68</v>
      </c>
      <c r="F67" s="435" t="s">
        <v>274</v>
      </c>
      <c r="G67" s="435" t="s">
        <v>12</v>
      </c>
      <c r="H67" t="s">
        <v>166</v>
      </c>
      <c r="I67" t="s">
        <v>7</v>
      </c>
      <c r="J67" t="s">
        <v>1025</v>
      </c>
      <c r="K67" t="s">
        <v>177</v>
      </c>
      <c r="O67" t="s">
        <v>166</v>
      </c>
      <c r="AC67" t="s">
        <v>2</v>
      </c>
      <c r="AD67" s="80"/>
      <c r="AE67" s="81"/>
      <c r="AF67" s="81"/>
      <c r="AG67" s="81"/>
      <c r="AH67" s="81"/>
      <c r="AI67" s="81"/>
    </row>
    <row r="68" spans="1:35">
      <c r="D68" t="s">
        <v>79</v>
      </c>
      <c r="E68" t="s">
        <v>68</v>
      </c>
      <c r="F68" s="435" t="s">
        <v>274</v>
      </c>
      <c r="G68" s="435" t="s">
        <v>12</v>
      </c>
      <c r="H68" t="s">
        <v>166</v>
      </c>
      <c r="I68" t="s">
        <v>7</v>
      </c>
      <c r="O68" t="s">
        <v>166</v>
      </c>
      <c r="AC68" t="s">
        <v>2</v>
      </c>
      <c r="AD68" s="80"/>
      <c r="AE68" s="79"/>
      <c r="AF68" s="79"/>
      <c r="AG68" s="79"/>
      <c r="AH68" s="79"/>
      <c r="AI68" s="79"/>
    </row>
    <row r="70" spans="1:35" s="1" customFormat="1" ht="17.649999999999999">
      <c r="B70" s="2" t="s">
        <v>86</v>
      </c>
    </row>
    <row r="72" spans="1:35" s="1" customFormat="1" ht="13.9">
      <c r="A72" s="66"/>
      <c r="B72" s="78" t="s">
        <v>165</v>
      </c>
    </row>
    <row r="74" spans="1:35">
      <c r="AE74" s="79"/>
      <c r="AF74" s="79"/>
      <c r="AG74" s="79"/>
      <c r="AH74" s="79"/>
      <c r="AI74" s="79"/>
    </row>
    <row r="75" spans="1:35">
      <c r="AE75" s="79"/>
      <c r="AF75" s="79"/>
      <c r="AG75" s="79"/>
      <c r="AH75" s="79"/>
      <c r="AI75" s="79"/>
    </row>
    <row r="76" spans="1:35">
      <c r="AE76" s="79"/>
      <c r="AF76" s="79"/>
      <c r="AG76" s="79"/>
      <c r="AH76" s="79"/>
      <c r="AI76" s="79"/>
    </row>
    <row r="78" spans="1:35" s="1" customFormat="1" ht="13.9">
      <c r="A78" s="66"/>
      <c r="B78" s="78" t="s">
        <v>169</v>
      </c>
    </row>
    <row r="80" spans="1:35">
      <c r="D80" t="s">
        <v>79</v>
      </c>
      <c r="E80" t="s">
        <v>68</v>
      </c>
      <c r="F80" s="435" t="s">
        <v>274</v>
      </c>
      <c r="G80" s="435" t="s">
        <v>86</v>
      </c>
      <c r="H80" t="s">
        <v>166</v>
      </c>
      <c r="I80" t="s">
        <v>7</v>
      </c>
      <c r="J80" t="s">
        <v>169</v>
      </c>
      <c r="K80" t="s">
        <v>173</v>
      </c>
      <c r="AC80" t="s">
        <v>3</v>
      </c>
      <c r="AE80" s="81"/>
      <c r="AF80" s="81"/>
      <c r="AG80" s="81"/>
      <c r="AH80" s="81"/>
      <c r="AI80" s="81"/>
    </row>
    <row r="81" spans="1:35">
      <c r="D81" t="s">
        <v>79</v>
      </c>
      <c r="E81" t="s">
        <v>68</v>
      </c>
      <c r="F81" s="435" t="s">
        <v>274</v>
      </c>
      <c r="G81" s="435" t="s">
        <v>86</v>
      </c>
      <c r="H81" t="s">
        <v>166</v>
      </c>
      <c r="I81" t="s">
        <v>7</v>
      </c>
      <c r="J81" t="s">
        <v>169</v>
      </c>
      <c r="K81" t="s">
        <v>174</v>
      </c>
      <c r="AC81" t="s">
        <v>3</v>
      </c>
      <c r="AE81" s="81"/>
      <c r="AF81" s="81"/>
      <c r="AG81" s="81"/>
      <c r="AH81" s="81"/>
      <c r="AI81" s="81"/>
    </row>
    <row r="82" spans="1:35">
      <c r="AC82" t="s">
        <v>3</v>
      </c>
      <c r="AE82" s="79"/>
      <c r="AF82" s="79"/>
      <c r="AG82" s="79"/>
      <c r="AH82" s="79"/>
      <c r="AI82" s="79"/>
    </row>
    <row r="84" spans="1:35" s="1" customFormat="1" ht="13.9">
      <c r="A84" s="66"/>
      <c r="B84" s="78" t="s">
        <v>172</v>
      </c>
    </row>
    <row r="86" spans="1:35">
      <c r="D86" t="s">
        <v>79</v>
      </c>
      <c r="E86" t="s">
        <v>68</v>
      </c>
      <c r="F86" s="435" t="s">
        <v>274</v>
      </c>
      <c r="G86" s="435" t="s">
        <v>86</v>
      </c>
      <c r="H86" t="s">
        <v>166</v>
      </c>
      <c r="I86" t="s">
        <v>7</v>
      </c>
      <c r="J86" t="s">
        <v>172</v>
      </c>
      <c r="K86" t="s">
        <v>176</v>
      </c>
      <c r="AC86" t="s">
        <v>3</v>
      </c>
      <c r="AE86" s="81"/>
      <c r="AF86" s="81"/>
      <c r="AG86" s="81"/>
      <c r="AH86" s="81"/>
      <c r="AI86" s="81"/>
    </row>
    <row r="87" spans="1:35">
      <c r="D87" t="s">
        <v>79</v>
      </c>
      <c r="E87" t="s">
        <v>68</v>
      </c>
      <c r="F87" s="435" t="s">
        <v>274</v>
      </c>
      <c r="G87" s="435" t="s">
        <v>86</v>
      </c>
      <c r="H87" t="s">
        <v>166</v>
      </c>
      <c r="I87" t="s">
        <v>7</v>
      </c>
      <c r="J87" t="s">
        <v>172</v>
      </c>
      <c r="K87" t="s">
        <v>177</v>
      </c>
      <c r="AC87" t="s">
        <v>3</v>
      </c>
      <c r="AE87" s="81"/>
      <c r="AF87" s="81"/>
      <c r="AG87" s="81"/>
      <c r="AH87" s="81"/>
      <c r="AI87" s="81"/>
    </row>
    <row r="88" spans="1:35">
      <c r="AC88" t="s">
        <v>3</v>
      </c>
      <c r="AE88" s="79"/>
      <c r="AF88" s="79"/>
      <c r="AG88" s="79"/>
      <c r="AH88" s="79"/>
      <c r="AI88" s="79"/>
    </row>
    <row r="90" spans="1:35" s="1" customFormat="1" ht="13.9">
      <c r="A90" s="66"/>
      <c r="B90" s="78" t="s">
        <v>175</v>
      </c>
    </row>
    <row r="92" spans="1:35">
      <c r="AE92" s="79"/>
      <c r="AF92" s="79"/>
      <c r="AG92" s="79"/>
      <c r="AH92" s="79"/>
      <c r="AI92" s="79"/>
    </row>
    <row r="93" spans="1:35">
      <c r="AE93" s="79"/>
      <c r="AF93" s="79"/>
      <c r="AG93" s="79"/>
      <c r="AH93" s="79"/>
      <c r="AI93" s="79"/>
    </row>
    <row r="94" spans="1:35">
      <c r="AE94" s="79"/>
      <c r="AF94" s="79"/>
      <c r="AG94" s="79"/>
      <c r="AH94" s="79"/>
      <c r="AI94" s="79"/>
    </row>
    <row r="96" spans="1:35" s="1" customFormat="1" ht="17.649999999999999">
      <c r="B96" s="2" t="s">
        <v>2740</v>
      </c>
    </row>
    <row r="97" spans="1:35" s="435" customFormat="1"/>
    <row r="98" spans="1:35" s="1" customFormat="1" ht="13.9">
      <c r="A98" s="66"/>
      <c r="B98" s="78" t="s">
        <v>165</v>
      </c>
    </row>
    <row r="99" spans="1:35" s="435" customFormat="1"/>
    <row r="100" spans="1:35" s="435" customFormat="1">
      <c r="D100" s="435" t="s">
        <v>79</v>
      </c>
      <c r="E100" s="435" t="s">
        <v>68</v>
      </c>
      <c r="F100" s="435" t="s">
        <v>2714</v>
      </c>
      <c r="G100" s="435" t="s">
        <v>12</v>
      </c>
      <c r="H100" s="435" t="s">
        <v>166</v>
      </c>
      <c r="I100" s="435" t="s">
        <v>7</v>
      </c>
      <c r="J100" s="435" t="s">
        <v>167</v>
      </c>
      <c r="O100" s="435" t="s">
        <v>166</v>
      </c>
      <c r="P100" s="81"/>
      <c r="Q100" s="81"/>
      <c r="R100" s="81"/>
      <c r="S100" s="81"/>
      <c r="T100" s="81"/>
      <c r="U100" s="81"/>
      <c r="V100" s="81"/>
      <c r="AC100" s="435" t="s">
        <v>2</v>
      </c>
      <c r="AD100" s="80"/>
      <c r="AE100" s="81"/>
      <c r="AF100" s="81"/>
      <c r="AG100" s="81"/>
      <c r="AH100" s="81"/>
      <c r="AI100" s="81"/>
    </row>
    <row r="101" spans="1:35" s="435" customFormat="1">
      <c r="D101" s="435" t="s">
        <v>79</v>
      </c>
      <c r="E101" s="435" t="s">
        <v>68</v>
      </c>
      <c r="F101" s="435" t="s">
        <v>2714</v>
      </c>
      <c r="G101" s="435" t="s">
        <v>12</v>
      </c>
      <c r="H101" s="435" t="s">
        <v>166</v>
      </c>
      <c r="I101" s="435" t="s">
        <v>7</v>
      </c>
      <c r="J101" s="435" t="s">
        <v>167</v>
      </c>
      <c r="O101" s="435" t="s">
        <v>166</v>
      </c>
      <c r="P101" s="81"/>
      <c r="Q101" s="81"/>
      <c r="R101" s="81"/>
      <c r="S101" s="81"/>
      <c r="T101" s="81"/>
      <c r="U101" s="81"/>
      <c r="V101" s="81"/>
      <c r="AC101" s="435" t="s">
        <v>2</v>
      </c>
      <c r="AD101" s="80"/>
      <c r="AE101" s="81"/>
      <c r="AF101" s="81"/>
      <c r="AG101" s="81"/>
      <c r="AH101" s="81"/>
      <c r="AI101" s="81"/>
    </row>
    <row r="102" spans="1:35" s="435" customFormat="1">
      <c r="D102" s="435" t="s">
        <v>79</v>
      </c>
      <c r="E102" s="435" t="s">
        <v>68</v>
      </c>
      <c r="F102" s="435" t="s">
        <v>2714</v>
      </c>
      <c r="G102" s="435" t="s">
        <v>12</v>
      </c>
      <c r="H102" s="435" t="s">
        <v>166</v>
      </c>
      <c r="I102" s="435" t="s">
        <v>7</v>
      </c>
      <c r="J102" s="435" t="s">
        <v>167</v>
      </c>
      <c r="O102" s="435" t="s">
        <v>166</v>
      </c>
      <c r="P102" s="81"/>
      <c r="Q102" s="81"/>
      <c r="R102" s="81"/>
      <c r="S102" s="81"/>
      <c r="T102" s="81"/>
      <c r="U102" s="81"/>
      <c r="V102" s="81"/>
      <c r="AC102" s="435" t="s">
        <v>2</v>
      </c>
      <c r="AD102" s="80"/>
      <c r="AE102" s="81"/>
      <c r="AF102" s="81"/>
      <c r="AG102" s="81"/>
      <c r="AH102" s="81"/>
      <c r="AI102" s="81"/>
    </row>
    <row r="103" spans="1:35" s="435" customFormat="1">
      <c r="D103" s="435" t="s">
        <v>79</v>
      </c>
      <c r="E103" s="435" t="s">
        <v>68</v>
      </c>
      <c r="F103" s="435" t="s">
        <v>2714</v>
      </c>
      <c r="G103" s="435" t="s">
        <v>12</v>
      </c>
      <c r="H103" s="435" t="s">
        <v>166</v>
      </c>
      <c r="I103" s="435" t="s">
        <v>7</v>
      </c>
      <c r="J103" s="435" t="s">
        <v>167</v>
      </c>
      <c r="O103" s="435" t="s">
        <v>166</v>
      </c>
      <c r="P103" s="81"/>
      <c r="Q103" s="81"/>
      <c r="R103" s="81"/>
      <c r="S103" s="81"/>
      <c r="T103" s="81"/>
      <c r="U103" s="81"/>
      <c r="V103" s="81"/>
      <c r="AC103" s="435" t="s">
        <v>2</v>
      </c>
      <c r="AD103" s="80"/>
      <c r="AE103" s="81"/>
      <c r="AF103" s="81"/>
      <c r="AG103" s="81"/>
      <c r="AH103" s="81"/>
      <c r="AI103" s="81"/>
    </row>
    <row r="104" spans="1:35" s="435" customFormat="1">
      <c r="D104" s="435" t="s">
        <v>79</v>
      </c>
      <c r="E104" s="435" t="s">
        <v>68</v>
      </c>
      <c r="F104" s="435" t="s">
        <v>2714</v>
      </c>
      <c r="G104" s="435" t="s">
        <v>12</v>
      </c>
      <c r="H104" s="435" t="s">
        <v>166</v>
      </c>
      <c r="I104" s="435" t="s">
        <v>7</v>
      </c>
      <c r="J104" s="435" t="s">
        <v>167</v>
      </c>
      <c r="O104" s="435" t="s">
        <v>166</v>
      </c>
      <c r="P104" s="81"/>
      <c r="Q104" s="81"/>
      <c r="R104" s="81"/>
      <c r="S104" s="81"/>
      <c r="T104" s="81"/>
      <c r="U104" s="81"/>
      <c r="V104" s="81"/>
      <c r="AC104" s="435" t="s">
        <v>2</v>
      </c>
      <c r="AD104" s="80"/>
      <c r="AE104" s="81"/>
      <c r="AF104" s="81"/>
      <c r="AG104" s="81"/>
      <c r="AH104" s="81"/>
      <c r="AI104" s="81"/>
    </row>
    <row r="105" spans="1:35" s="435" customFormat="1">
      <c r="D105" s="435" t="s">
        <v>79</v>
      </c>
      <c r="E105" s="435" t="s">
        <v>68</v>
      </c>
      <c r="F105" s="435" t="s">
        <v>2714</v>
      </c>
      <c r="G105" s="435" t="s">
        <v>12</v>
      </c>
      <c r="H105" s="435" t="s">
        <v>166</v>
      </c>
      <c r="I105" s="435" t="s">
        <v>7</v>
      </c>
      <c r="J105" s="435" t="s">
        <v>167</v>
      </c>
      <c r="O105" s="435" t="s">
        <v>166</v>
      </c>
      <c r="P105" s="81"/>
      <c r="Q105" s="81"/>
      <c r="R105" s="81"/>
      <c r="S105" s="81"/>
      <c r="T105" s="81"/>
      <c r="U105" s="81"/>
      <c r="V105" s="81"/>
      <c r="AC105" s="435" t="s">
        <v>2</v>
      </c>
      <c r="AD105" s="80"/>
      <c r="AE105" s="81"/>
      <c r="AF105" s="81"/>
      <c r="AG105" s="81"/>
      <c r="AH105" s="81"/>
      <c r="AI105" s="81"/>
    </row>
    <row r="106" spans="1:35" s="435" customFormat="1">
      <c r="D106" s="435" t="s">
        <v>79</v>
      </c>
      <c r="E106" s="435" t="s">
        <v>68</v>
      </c>
      <c r="F106" s="435" t="s">
        <v>2714</v>
      </c>
      <c r="G106" s="435" t="s">
        <v>12</v>
      </c>
      <c r="H106" s="435" t="s">
        <v>166</v>
      </c>
      <c r="I106" s="435" t="s">
        <v>7</v>
      </c>
      <c r="J106" s="435" t="s">
        <v>167</v>
      </c>
      <c r="O106" s="435" t="s">
        <v>166</v>
      </c>
      <c r="P106" s="81"/>
      <c r="Q106" s="81"/>
      <c r="R106" s="81"/>
      <c r="S106" s="81"/>
      <c r="T106" s="81"/>
      <c r="U106" s="81"/>
      <c r="V106" s="81"/>
      <c r="AC106" s="435" t="s">
        <v>2</v>
      </c>
      <c r="AD106" s="80"/>
      <c r="AE106" s="81"/>
      <c r="AF106" s="81"/>
      <c r="AG106" s="81"/>
      <c r="AH106" s="81"/>
      <c r="AI106" s="81"/>
    </row>
    <row r="107" spans="1:35" s="435" customFormat="1">
      <c r="D107" s="435" t="s">
        <v>79</v>
      </c>
      <c r="E107" s="435" t="s">
        <v>68</v>
      </c>
      <c r="F107" s="435" t="s">
        <v>2714</v>
      </c>
      <c r="G107" s="435" t="s">
        <v>12</v>
      </c>
      <c r="H107" s="435" t="s">
        <v>166</v>
      </c>
      <c r="I107" s="435" t="s">
        <v>7</v>
      </c>
      <c r="J107" s="435" t="s">
        <v>167</v>
      </c>
      <c r="O107" s="435" t="s">
        <v>166</v>
      </c>
      <c r="P107" s="81"/>
      <c r="Q107" s="81"/>
      <c r="R107" s="81"/>
      <c r="S107" s="81"/>
      <c r="T107" s="81"/>
      <c r="U107" s="81"/>
      <c r="V107" s="81"/>
      <c r="AC107" s="435" t="s">
        <v>2</v>
      </c>
      <c r="AD107" s="80"/>
      <c r="AE107" s="81"/>
      <c r="AF107" s="81"/>
      <c r="AG107" s="81"/>
      <c r="AH107" s="81"/>
      <c r="AI107" s="81"/>
    </row>
    <row r="108" spans="1:35" s="435" customFormat="1">
      <c r="D108" s="435" t="s">
        <v>79</v>
      </c>
      <c r="E108" s="435" t="s">
        <v>68</v>
      </c>
      <c r="F108" s="435" t="s">
        <v>2714</v>
      </c>
      <c r="G108" s="435" t="s">
        <v>12</v>
      </c>
      <c r="H108" s="435" t="s">
        <v>166</v>
      </c>
      <c r="I108" s="435" t="s">
        <v>7</v>
      </c>
      <c r="J108" s="435" t="s">
        <v>167</v>
      </c>
      <c r="O108" s="435" t="s">
        <v>166</v>
      </c>
      <c r="P108" s="81"/>
      <c r="Q108" s="81"/>
      <c r="R108" s="81"/>
      <c r="S108" s="81"/>
      <c r="T108" s="81"/>
      <c r="U108" s="81"/>
      <c r="V108" s="81"/>
      <c r="AC108" s="435" t="s">
        <v>2</v>
      </c>
      <c r="AD108" s="80"/>
      <c r="AE108" s="81"/>
      <c r="AF108" s="81"/>
      <c r="AG108" s="81"/>
      <c r="AH108" s="81"/>
      <c r="AI108" s="81"/>
    </row>
    <row r="109" spans="1:35" s="435" customFormat="1">
      <c r="D109" s="435" t="s">
        <v>79</v>
      </c>
      <c r="E109" s="435" t="s">
        <v>68</v>
      </c>
      <c r="F109" s="435" t="s">
        <v>2714</v>
      </c>
      <c r="G109" s="435" t="s">
        <v>12</v>
      </c>
      <c r="H109" s="435" t="s">
        <v>166</v>
      </c>
      <c r="I109" s="435" t="s">
        <v>7</v>
      </c>
      <c r="J109" s="435" t="s">
        <v>167</v>
      </c>
      <c r="O109" s="435" t="s">
        <v>166</v>
      </c>
      <c r="P109" s="81"/>
      <c r="Q109" s="81"/>
      <c r="R109" s="81"/>
      <c r="S109" s="81"/>
      <c r="T109" s="81"/>
      <c r="U109" s="81"/>
      <c r="V109" s="81"/>
      <c r="AC109" s="435" t="s">
        <v>2</v>
      </c>
      <c r="AD109" s="80"/>
      <c r="AE109" s="81"/>
      <c r="AF109" s="81"/>
      <c r="AG109" s="81"/>
      <c r="AH109" s="81"/>
      <c r="AI109" s="81"/>
    </row>
    <row r="110" spans="1:35" s="435" customFormat="1">
      <c r="D110" s="435" t="s">
        <v>79</v>
      </c>
      <c r="E110" s="435" t="s">
        <v>68</v>
      </c>
      <c r="F110" s="435" t="s">
        <v>2714</v>
      </c>
      <c r="G110" s="435" t="s">
        <v>12</v>
      </c>
      <c r="H110" s="435" t="s">
        <v>166</v>
      </c>
      <c r="I110" s="435" t="s">
        <v>7</v>
      </c>
      <c r="J110" s="435" t="s">
        <v>167</v>
      </c>
      <c r="O110" s="435" t="s">
        <v>166</v>
      </c>
      <c r="P110" s="81"/>
      <c r="Q110" s="81"/>
      <c r="R110" s="81"/>
      <c r="S110" s="81"/>
      <c r="T110" s="81"/>
      <c r="U110" s="81"/>
      <c r="V110" s="81"/>
      <c r="AC110" s="435" t="s">
        <v>2</v>
      </c>
      <c r="AD110" s="80"/>
      <c r="AE110" s="81"/>
      <c r="AF110" s="81"/>
      <c r="AG110" s="81"/>
      <c r="AH110" s="81"/>
      <c r="AI110" s="81"/>
    </row>
    <row r="111" spans="1:35" s="58" customFormat="1">
      <c r="P111" s="118"/>
      <c r="Q111" s="118"/>
      <c r="R111" s="118"/>
      <c r="S111" s="118"/>
      <c r="T111" s="118"/>
      <c r="U111" s="118"/>
      <c r="V111" s="118"/>
      <c r="AD111" s="122"/>
      <c r="AE111" s="118"/>
      <c r="AF111" s="118"/>
      <c r="AG111" s="118"/>
      <c r="AH111" s="118"/>
      <c r="AI111" s="118"/>
    </row>
    <row r="112" spans="1:35" s="73" customFormat="1" ht="18">
      <c r="A112" s="74" t="s">
        <v>76</v>
      </c>
    </row>
  </sheetData>
  <mergeCells count="1">
    <mergeCell ref="AE6:AI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12"/>
  <sheetViews>
    <sheetView zoomScale="80" zoomScaleNormal="80" workbookViewId="0">
      <pane ySplit="8" topLeftCell="A9" activePane="bottomLeft" state="frozen"/>
      <selection activeCell="J37" sqref="J37"/>
      <selection pane="bottomLeft"/>
    </sheetView>
  </sheetViews>
  <sheetFormatPr defaultRowHeight="14.25"/>
  <cols>
    <col min="1" max="3" width="1.73046875" customWidth="1"/>
    <col min="4" max="4" width="8.1328125" bestFit="1" customWidth="1"/>
    <col min="5" max="5" width="5" bestFit="1" customWidth="1"/>
    <col min="6" max="7" width="5" style="435" customWidth="1"/>
    <col min="8" max="8" width="13.73046875" bestFit="1" customWidth="1"/>
    <col min="9" max="9" width="9.3984375" bestFit="1" customWidth="1"/>
    <col min="10" max="10" width="23.3984375" bestFit="1" customWidth="1"/>
    <col min="11" max="13" width="1.73046875" customWidth="1"/>
    <col min="14" max="14" width="6" customWidth="1"/>
    <col min="15" max="15" width="14.86328125" bestFit="1" customWidth="1"/>
    <col min="16" max="16" width="15.3984375" customWidth="1"/>
    <col min="17" max="17" width="58.59765625" customWidth="1"/>
    <col min="18" max="18" width="10.86328125" bestFit="1" customWidth="1"/>
    <col min="19" max="19" width="10" bestFit="1" customWidth="1"/>
    <col min="20" max="20" width="15.1328125" customWidth="1"/>
    <col min="21" max="21" width="17.1328125" customWidth="1"/>
    <col min="22" max="22" width="24.59765625" bestFit="1" customWidth="1"/>
    <col min="23" max="28" width="1.73046875" hidden="1" customWidth="1"/>
    <col min="29" max="29" width="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212</v>
      </c>
    </row>
    <row r="6" spans="1:35">
      <c r="AD6" s="80"/>
      <c r="AE6" s="1362" t="s">
        <v>112</v>
      </c>
      <c r="AF6" s="1363"/>
      <c r="AG6" s="1363"/>
      <c r="AH6" s="1363"/>
      <c r="AI6" s="1364"/>
    </row>
    <row r="7" spans="1:35" s="67" customFormat="1">
      <c r="D7" s="87" t="s">
        <v>111</v>
      </c>
      <c r="E7" s="87" t="s">
        <v>68</v>
      </c>
      <c r="F7" s="87"/>
      <c r="G7" s="87"/>
      <c r="H7" s="87" t="s">
        <v>110</v>
      </c>
      <c r="I7" s="87" t="s">
        <v>109</v>
      </c>
      <c r="J7" s="87" t="s">
        <v>108</v>
      </c>
      <c r="K7" s="87" t="s">
        <v>107</v>
      </c>
      <c r="L7" s="87" t="s">
        <v>106</v>
      </c>
      <c r="M7" s="87" t="s">
        <v>105</v>
      </c>
      <c r="N7" s="87"/>
      <c r="O7" s="87" t="s">
        <v>103</v>
      </c>
      <c r="P7" s="87" t="s">
        <v>102</v>
      </c>
      <c r="Q7" s="87" t="s">
        <v>71</v>
      </c>
      <c r="R7" s="86" t="s">
        <v>101</v>
      </c>
      <c r="S7" s="86" t="s">
        <v>100</v>
      </c>
      <c r="T7" s="86" t="s">
        <v>99</v>
      </c>
      <c r="U7" s="86" t="s">
        <v>98</v>
      </c>
      <c r="V7" s="86" t="s">
        <v>97</v>
      </c>
      <c r="W7" s="86" t="s">
        <v>96</v>
      </c>
      <c r="X7" s="86" t="s">
        <v>95</v>
      </c>
      <c r="Y7" s="86" t="s">
        <v>94</v>
      </c>
      <c r="Z7" s="86" t="s">
        <v>93</v>
      </c>
      <c r="AA7" s="86" t="s">
        <v>92</v>
      </c>
      <c r="AB7" s="86" t="s">
        <v>91</v>
      </c>
      <c r="AC7" s="67" t="s">
        <v>5</v>
      </c>
      <c r="AD7" s="80"/>
      <c r="AE7" s="90">
        <v>2022</v>
      </c>
      <c r="AF7" s="91">
        <v>2023</v>
      </c>
      <c r="AG7" s="91">
        <v>2024</v>
      </c>
      <c r="AH7" s="91">
        <v>2025</v>
      </c>
      <c r="AI7" s="92">
        <v>2026</v>
      </c>
    </row>
    <row r="8" spans="1:35">
      <c r="R8" s="67" t="s">
        <v>163</v>
      </c>
      <c r="S8" s="67" t="s">
        <v>164</v>
      </c>
      <c r="T8" s="67" t="s">
        <v>2815</v>
      </c>
      <c r="U8" s="67" t="s">
        <v>42</v>
      </c>
      <c r="V8" s="67" t="s">
        <v>1024</v>
      </c>
    </row>
    <row r="9" spans="1:35" s="1" customFormat="1" ht="17.649999999999999">
      <c r="B9" s="2" t="s">
        <v>2739</v>
      </c>
    </row>
    <row r="11" spans="1:35" s="1" customFormat="1" ht="13.9">
      <c r="A11" s="66"/>
      <c r="B11" s="78" t="s">
        <v>165</v>
      </c>
    </row>
    <row r="13" spans="1:35">
      <c r="D13" t="s">
        <v>185</v>
      </c>
      <c r="E13" t="s">
        <v>68</v>
      </c>
      <c r="F13" s="435" t="s">
        <v>274</v>
      </c>
      <c r="G13" s="435" t="s">
        <v>12</v>
      </c>
      <c r="H13" t="s">
        <v>166</v>
      </c>
      <c r="I13" t="s">
        <v>7</v>
      </c>
      <c r="J13" t="s">
        <v>167</v>
      </c>
      <c r="O13" t="s">
        <v>166</v>
      </c>
      <c r="P13" s="81"/>
      <c r="Q13" s="81"/>
      <c r="R13" s="81"/>
      <c r="S13" s="81"/>
      <c r="T13" s="81"/>
      <c r="U13" s="81"/>
      <c r="V13" s="81"/>
      <c r="AC13" t="s">
        <v>2</v>
      </c>
      <c r="AD13" s="80"/>
      <c r="AE13" s="81"/>
      <c r="AF13" s="81"/>
      <c r="AG13" s="81"/>
      <c r="AH13" s="81"/>
      <c r="AI13" s="81"/>
    </row>
    <row r="14" spans="1:35">
      <c r="D14" t="s">
        <v>185</v>
      </c>
      <c r="E14" t="s">
        <v>68</v>
      </c>
      <c r="F14" s="435" t="s">
        <v>274</v>
      </c>
      <c r="G14" s="435" t="s">
        <v>12</v>
      </c>
      <c r="H14" t="s">
        <v>166</v>
      </c>
      <c r="I14" t="s">
        <v>7</v>
      </c>
      <c r="J14" t="s">
        <v>167</v>
      </c>
      <c r="O14" t="s">
        <v>166</v>
      </c>
      <c r="P14" s="81"/>
      <c r="Q14" s="81"/>
      <c r="R14" s="81"/>
      <c r="S14" s="81"/>
      <c r="T14" s="81"/>
      <c r="U14" s="81"/>
      <c r="V14" s="81"/>
      <c r="AC14" t="s">
        <v>2</v>
      </c>
      <c r="AD14" s="80"/>
      <c r="AE14" s="81"/>
      <c r="AF14" s="81"/>
      <c r="AG14" s="81"/>
      <c r="AH14" s="81"/>
      <c r="AI14" s="81"/>
    </row>
    <row r="15" spans="1:35">
      <c r="D15" t="s">
        <v>185</v>
      </c>
      <c r="E15" t="s">
        <v>68</v>
      </c>
      <c r="F15" s="435" t="s">
        <v>274</v>
      </c>
      <c r="G15" s="435" t="s">
        <v>12</v>
      </c>
      <c r="H15" t="s">
        <v>166</v>
      </c>
      <c r="I15" t="s">
        <v>7</v>
      </c>
      <c r="J15" t="s">
        <v>167</v>
      </c>
      <c r="O15" t="s">
        <v>166</v>
      </c>
      <c r="P15" s="81"/>
      <c r="Q15" s="81"/>
      <c r="R15" s="81"/>
      <c r="S15" s="81"/>
      <c r="T15" s="81"/>
      <c r="U15" s="81"/>
      <c r="V15" s="81"/>
      <c r="AC15" t="s">
        <v>2</v>
      </c>
      <c r="AD15" s="80"/>
      <c r="AE15" s="81"/>
      <c r="AF15" s="81"/>
      <c r="AG15" s="81"/>
      <c r="AH15" s="81"/>
      <c r="AI15" s="81"/>
    </row>
    <row r="16" spans="1:35">
      <c r="D16" t="s">
        <v>185</v>
      </c>
      <c r="E16" t="s">
        <v>68</v>
      </c>
      <c r="F16" s="435" t="s">
        <v>274</v>
      </c>
      <c r="G16" s="435" t="s">
        <v>12</v>
      </c>
      <c r="H16" t="s">
        <v>166</v>
      </c>
      <c r="I16" t="s">
        <v>7</v>
      </c>
      <c r="J16" t="s">
        <v>167</v>
      </c>
      <c r="O16" t="s">
        <v>166</v>
      </c>
      <c r="P16" s="81"/>
      <c r="Q16" s="81"/>
      <c r="R16" s="81"/>
      <c r="S16" s="81"/>
      <c r="T16" s="81"/>
      <c r="U16" s="81"/>
      <c r="V16" s="81"/>
      <c r="AC16" t="s">
        <v>2</v>
      </c>
      <c r="AD16" s="80"/>
      <c r="AE16" s="81"/>
      <c r="AF16" s="81"/>
      <c r="AG16" s="81"/>
      <c r="AH16" s="81"/>
      <c r="AI16" s="81"/>
    </row>
    <row r="17" spans="4:35">
      <c r="D17" t="s">
        <v>185</v>
      </c>
      <c r="E17" t="s">
        <v>68</v>
      </c>
      <c r="F17" s="435" t="s">
        <v>274</v>
      </c>
      <c r="G17" s="435" t="s">
        <v>12</v>
      </c>
      <c r="H17" t="s">
        <v>166</v>
      </c>
      <c r="I17" t="s">
        <v>7</v>
      </c>
      <c r="J17" t="s">
        <v>167</v>
      </c>
      <c r="O17" t="s">
        <v>166</v>
      </c>
      <c r="P17" s="81"/>
      <c r="Q17" s="81"/>
      <c r="R17" s="81"/>
      <c r="S17" s="81"/>
      <c r="T17" s="81"/>
      <c r="U17" s="81"/>
      <c r="V17" s="81"/>
      <c r="AC17" t="s">
        <v>2</v>
      </c>
      <c r="AD17" s="80"/>
      <c r="AE17" s="81"/>
      <c r="AF17" s="81"/>
      <c r="AG17" s="81"/>
      <c r="AH17" s="81"/>
      <c r="AI17" s="81"/>
    </row>
    <row r="18" spans="4:35">
      <c r="D18" t="s">
        <v>185</v>
      </c>
      <c r="E18" t="s">
        <v>68</v>
      </c>
      <c r="F18" s="435" t="s">
        <v>274</v>
      </c>
      <c r="G18" s="435" t="s">
        <v>12</v>
      </c>
      <c r="H18" t="s">
        <v>166</v>
      </c>
      <c r="I18" t="s">
        <v>7</v>
      </c>
      <c r="J18" t="s">
        <v>167</v>
      </c>
      <c r="O18" t="s">
        <v>166</v>
      </c>
      <c r="P18" s="81"/>
      <c r="Q18" s="81"/>
      <c r="R18" s="81"/>
      <c r="S18" s="81"/>
      <c r="T18" s="81"/>
      <c r="U18" s="81"/>
      <c r="V18" s="81"/>
      <c r="AC18" t="s">
        <v>2</v>
      </c>
      <c r="AD18" s="80"/>
      <c r="AE18" s="81"/>
      <c r="AF18" s="81"/>
      <c r="AG18" s="81"/>
      <c r="AH18" s="81"/>
      <c r="AI18" s="81"/>
    </row>
    <row r="19" spans="4:35">
      <c r="D19" t="s">
        <v>185</v>
      </c>
      <c r="E19" t="s">
        <v>68</v>
      </c>
      <c r="F19" s="435" t="s">
        <v>274</v>
      </c>
      <c r="G19" s="435" t="s">
        <v>12</v>
      </c>
      <c r="H19" t="s">
        <v>166</v>
      </c>
      <c r="I19" t="s">
        <v>7</v>
      </c>
      <c r="J19" t="s">
        <v>167</v>
      </c>
      <c r="O19" t="s">
        <v>166</v>
      </c>
      <c r="P19" s="81"/>
      <c r="Q19" s="81"/>
      <c r="R19" s="81"/>
      <c r="S19" s="81"/>
      <c r="T19" s="81"/>
      <c r="U19" s="81"/>
      <c r="V19" s="81"/>
      <c r="AC19" t="s">
        <v>2</v>
      </c>
      <c r="AD19" s="80"/>
      <c r="AE19" s="81"/>
      <c r="AF19" s="81"/>
      <c r="AG19" s="81"/>
      <c r="AH19" s="81"/>
      <c r="AI19" s="81"/>
    </row>
    <row r="20" spans="4:35">
      <c r="D20" t="s">
        <v>185</v>
      </c>
      <c r="E20" t="s">
        <v>68</v>
      </c>
      <c r="F20" s="435" t="s">
        <v>274</v>
      </c>
      <c r="G20" s="435" t="s">
        <v>12</v>
      </c>
      <c r="H20" t="s">
        <v>166</v>
      </c>
      <c r="I20" t="s">
        <v>7</v>
      </c>
      <c r="J20" t="s">
        <v>167</v>
      </c>
      <c r="O20" t="s">
        <v>166</v>
      </c>
      <c r="P20" s="81"/>
      <c r="Q20" s="81"/>
      <c r="R20" s="81"/>
      <c r="S20" s="81"/>
      <c r="T20" s="81"/>
      <c r="U20" s="81"/>
      <c r="V20" s="81"/>
      <c r="AC20" t="s">
        <v>2</v>
      </c>
      <c r="AD20" s="80"/>
      <c r="AE20" s="81"/>
      <c r="AF20" s="81"/>
      <c r="AG20" s="81"/>
      <c r="AH20" s="81"/>
      <c r="AI20" s="81"/>
    </row>
    <row r="21" spans="4:35">
      <c r="D21" t="s">
        <v>185</v>
      </c>
      <c r="E21" t="s">
        <v>68</v>
      </c>
      <c r="F21" s="435" t="s">
        <v>274</v>
      </c>
      <c r="G21" s="435" t="s">
        <v>12</v>
      </c>
      <c r="H21" t="s">
        <v>166</v>
      </c>
      <c r="I21" t="s">
        <v>7</v>
      </c>
      <c r="J21" t="s">
        <v>167</v>
      </c>
      <c r="O21" t="s">
        <v>166</v>
      </c>
      <c r="P21" s="81"/>
      <c r="Q21" s="81"/>
      <c r="R21" s="81"/>
      <c r="S21" s="81"/>
      <c r="T21" s="81"/>
      <c r="U21" s="81"/>
      <c r="V21" s="81"/>
      <c r="AC21" t="s">
        <v>2</v>
      </c>
      <c r="AD21" s="80"/>
      <c r="AE21" s="81"/>
      <c r="AF21" s="81"/>
      <c r="AG21" s="81"/>
      <c r="AH21" s="81"/>
      <c r="AI21" s="81"/>
    </row>
    <row r="22" spans="4:35">
      <c r="D22" t="s">
        <v>185</v>
      </c>
      <c r="E22" t="s">
        <v>68</v>
      </c>
      <c r="F22" s="435" t="s">
        <v>274</v>
      </c>
      <c r="G22" s="435" t="s">
        <v>12</v>
      </c>
      <c r="H22" t="s">
        <v>166</v>
      </c>
      <c r="I22" t="s">
        <v>7</v>
      </c>
      <c r="J22" t="s">
        <v>167</v>
      </c>
      <c r="O22" t="s">
        <v>166</v>
      </c>
      <c r="P22" s="81"/>
      <c r="Q22" s="81"/>
      <c r="R22" s="81"/>
      <c r="S22" s="81"/>
      <c r="T22" s="81"/>
      <c r="U22" s="81"/>
      <c r="V22" s="81"/>
      <c r="AC22" t="s">
        <v>2</v>
      </c>
      <c r="AD22" s="80"/>
      <c r="AE22" s="81"/>
      <c r="AF22" s="81"/>
      <c r="AG22" s="81"/>
      <c r="AH22" s="81"/>
      <c r="AI22" s="81"/>
    </row>
    <row r="23" spans="4:35">
      <c r="D23" t="s">
        <v>185</v>
      </c>
      <c r="E23" t="s">
        <v>68</v>
      </c>
      <c r="F23" s="435" t="s">
        <v>274</v>
      </c>
      <c r="G23" s="435" t="s">
        <v>12</v>
      </c>
      <c r="H23" t="s">
        <v>166</v>
      </c>
      <c r="I23" t="s">
        <v>7</v>
      </c>
      <c r="J23" t="s">
        <v>167</v>
      </c>
      <c r="O23" t="s">
        <v>166</v>
      </c>
      <c r="P23" s="81"/>
      <c r="Q23" s="81"/>
      <c r="R23" s="81"/>
      <c r="S23" s="81"/>
      <c r="T23" s="81"/>
      <c r="U23" s="81"/>
      <c r="V23" s="81"/>
      <c r="AC23" t="s">
        <v>2</v>
      </c>
      <c r="AD23" s="80"/>
      <c r="AE23" s="81"/>
      <c r="AF23" s="81"/>
      <c r="AG23" s="81"/>
      <c r="AH23" s="81"/>
      <c r="AI23" s="81"/>
    </row>
    <row r="24" spans="4:35">
      <c r="D24" t="s">
        <v>185</v>
      </c>
      <c r="E24" t="s">
        <v>68</v>
      </c>
      <c r="F24" s="435" t="s">
        <v>274</v>
      </c>
      <c r="G24" s="435" t="s">
        <v>12</v>
      </c>
      <c r="H24" t="s">
        <v>166</v>
      </c>
      <c r="I24" t="s">
        <v>7</v>
      </c>
      <c r="J24" t="s">
        <v>167</v>
      </c>
      <c r="O24" t="s">
        <v>166</v>
      </c>
      <c r="P24" s="81"/>
      <c r="Q24" s="81"/>
      <c r="R24" s="81"/>
      <c r="S24" s="81"/>
      <c r="T24" s="81"/>
      <c r="U24" s="81"/>
      <c r="V24" s="81"/>
      <c r="AC24" t="s">
        <v>2</v>
      </c>
      <c r="AD24" s="80"/>
      <c r="AE24" s="81"/>
      <c r="AF24" s="81"/>
      <c r="AG24" s="81"/>
      <c r="AH24" s="81"/>
      <c r="AI24" s="81"/>
    </row>
    <row r="25" spans="4:35">
      <c r="D25" t="s">
        <v>185</v>
      </c>
      <c r="E25" t="s">
        <v>68</v>
      </c>
      <c r="F25" s="435" t="s">
        <v>274</v>
      </c>
      <c r="G25" s="435" t="s">
        <v>12</v>
      </c>
      <c r="H25" t="s">
        <v>166</v>
      </c>
      <c r="I25" t="s">
        <v>7</v>
      </c>
      <c r="J25" t="s">
        <v>167</v>
      </c>
      <c r="O25" t="s">
        <v>166</v>
      </c>
      <c r="P25" s="81"/>
      <c r="Q25" s="81"/>
      <c r="R25" s="81"/>
      <c r="S25" s="81"/>
      <c r="T25" s="81"/>
      <c r="U25" s="81"/>
      <c r="V25" s="81"/>
      <c r="AC25" t="s">
        <v>2</v>
      </c>
      <c r="AD25" s="80"/>
      <c r="AE25" s="81"/>
      <c r="AF25" s="81"/>
      <c r="AG25" s="81"/>
      <c r="AH25" s="81"/>
      <c r="AI25" s="81"/>
    </row>
    <row r="26" spans="4:35">
      <c r="D26" t="s">
        <v>185</v>
      </c>
      <c r="E26" t="s">
        <v>68</v>
      </c>
      <c r="F26" s="435" t="s">
        <v>274</v>
      </c>
      <c r="G26" s="435" t="s">
        <v>12</v>
      </c>
      <c r="H26" t="s">
        <v>166</v>
      </c>
      <c r="I26" t="s">
        <v>7</v>
      </c>
      <c r="J26" t="s">
        <v>167</v>
      </c>
      <c r="O26" t="s">
        <v>166</v>
      </c>
      <c r="P26" s="81"/>
      <c r="Q26" s="81"/>
      <c r="R26" s="81"/>
      <c r="S26" s="81"/>
      <c r="T26" s="81"/>
      <c r="U26" s="81"/>
      <c r="V26" s="81"/>
      <c r="AC26" t="s">
        <v>2</v>
      </c>
      <c r="AD26" s="80"/>
      <c r="AE26" s="81"/>
      <c r="AF26" s="81"/>
      <c r="AG26" s="81"/>
      <c r="AH26" s="81"/>
      <c r="AI26" s="81"/>
    </row>
    <row r="27" spans="4:35">
      <c r="D27" t="s">
        <v>185</v>
      </c>
      <c r="E27" t="s">
        <v>68</v>
      </c>
      <c r="F27" s="435" t="s">
        <v>274</v>
      </c>
      <c r="G27" s="435" t="s">
        <v>12</v>
      </c>
      <c r="H27" t="s">
        <v>166</v>
      </c>
      <c r="I27" t="s">
        <v>7</v>
      </c>
      <c r="J27" t="s">
        <v>167</v>
      </c>
      <c r="O27" t="s">
        <v>166</v>
      </c>
      <c r="P27" s="81"/>
      <c r="Q27" s="81"/>
      <c r="R27" s="81"/>
      <c r="S27" s="81"/>
      <c r="T27" s="81"/>
      <c r="U27" s="81"/>
      <c r="V27" s="81"/>
      <c r="AC27" t="s">
        <v>2</v>
      </c>
      <c r="AD27" s="80"/>
      <c r="AE27" s="81"/>
      <c r="AF27" s="81"/>
      <c r="AG27" s="81"/>
      <c r="AH27" s="81"/>
      <c r="AI27" s="81"/>
    </row>
    <row r="28" spans="4:35">
      <c r="D28" t="s">
        <v>185</v>
      </c>
      <c r="E28" t="s">
        <v>68</v>
      </c>
      <c r="F28" s="435" t="s">
        <v>274</v>
      </c>
      <c r="G28" s="435" t="s">
        <v>12</v>
      </c>
      <c r="H28" t="s">
        <v>166</v>
      </c>
      <c r="I28" t="s">
        <v>7</v>
      </c>
      <c r="J28" t="s">
        <v>167</v>
      </c>
      <c r="O28" t="s">
        <v>166</v>
      </c>
      <c r="P28" s="81"/>
      <c r="Q28" s="81"/>
      <c r="R28" s="81"/>
      <c r="S28" s="81"/>
      <c r="T28" s="81"/>
      <c r="U28" s="81"/>
      <c r="V28" s="81"/>
      <c r="AC28" t="s">
        <v>2</v>
      </c>
      <c r="AD28" s="80"/>
      <c r="AE28" s="81"/>
      <c r="AF28" s="81"/>
      <c r="AG28" s="81"/>
      <c r="AH28" s="81"/>
      <c r="AI28" s="81"/>
    </row>
    <row r="29" spans="4:35">
      <c r="D29" t="s">
        <v>185</v>
      </c>
      <c r="E29" t="s">
        <v>68</v>
      </c>
      <c r="F29" s="435" t="s">
        <v>274</v>
      </c>
      <c r="G29" s="435" t="s">
        <v>12</v>
      </c>
      <c r="H29" t="s">
        <v>166</v>
      </c>
      <c r="I29" t="s">
        <v>7</v>
      </c>
      <c r="J29" t="s">
        <v>167</v>
      </c>
      <c r="O29" t="s">
        <v>166</v>
      </c>
      <c r="P29" s="81"/>
      <c r="Q29" s="81"/>
      <c r="R29" s="81"/>
      <c r="S29" s="81"/>
      <c r="T29" s="81"/>
      <c r="U29" s="81"/>
      <c r="V29" s="81"/>
      <c r="AC29" t="s">
        <v>2</v>
      </c>
      <c r="AD29" s="80"/>
      <c r="AE29" s="81"/>
      <c r="AF29" s="81"/>
      <c r="AG29" s="81"/>
      <c r="AH29" s="81"/>
      <c r="AI29" s="81"/>
    </row>
    <row r="30" spans="4:35">
      <c r="D30" t="s">
        <v>185</v>
      </c>
      <c r="E30" t="s">
        <v>68</v>
      </c>
      <c r="F30" s="435" t="s">
        <v>274</v>
      </c>
      <c r="G30" s="435" t="s">
        <v>12</v>
      </c>
      <c r="H30" t="s">
        <v>166</v>
      </c>
      <c r="I30" t="s">
        <v>7</v>
      </c>
      <c r="J30" t="s">
        <v>167</v>
      </c>
      <c r="O30" t="s">
        <v>166</v>
      </c>
      <c r="P30" s="81"/>
      <c r="Q30" s="81"/>
      <c r="R30" s="81"/>
      <c r="S30" s="81"/>
      <c r="T30" s="81"/>
      <c r="U30" s="81"/>
      <c r="V30" s="81"/>
      <c r="AC30" t="s">
        <v>2</v>
      </c>
      <c r="AD30" s="80"/>
      <c r="AE30" s="81"/>
      <c r="AF30" s="81"/>
      <c r="AG30" s="81"/>
      <c r="AH30" s="81"/>
      <c r="AI30" s="81"/>
    </row>
    <row r="31" spans="4:35">
      <c r="D31" t="s">
        <v>185</v>
      </c>
      <c r="E31" t="s">
        <v>68</v>
      </c>
      <c r="F31" s="435" t="s">
        <v>274</v>
      </c>
      <c r="G31" s="435" t="s">
        <v>12</v>
      </c>
      <c r="H31" t="s">
        <v>166</v>
      </c>
      <c r="I31" t="s">
        <v>7</v>
      </c>
      <c r="J31" t="s">
        <v>167</v>
      </c>
      <c r="O31" t="s">
        <v>166</v>
      </c>
      <c r="P31" s="81"/>
      <c r="Q31" s="81"/>
      <c r="R31" s="81"/>
      <c r="S31" s="81"/>
      <c r="T31" s="81"/>
      <c r="U31" s="81"/>
      <c r="V31" s="81"/>
      <c r="AC31" t="s">
        <v>2</v>
      </c>
      <c r="AD31" s="80"/>
      <c r="AE31" s="81"/>
      <c r="AF31" s="81"/>
      <c r="AG31" s="81"/>
      <c r="AH31" s="81"/>
      <c r="AI31" s="81"/>
    </row>
    <row r="32" spans="4:35">
      <c r="D32" t="s">
        <v>185</v>
      </c>
      <c r="E32" t="s">
        <v>68</v>
      </c>
      <c r="F32" s="435" t="s">
        <v>274</v>
      </c>
      <c r="G32" s="435" t="s">
        <v>12</v>
      </c>
      <c r="H32" t="s">
        <v>166</v>
      </c>
      <c r="I32" t="s">
        <v>7</v>
      </c>
      <c r="J32" t="s">
        <v>167</v>
      </c>
      <c r="O32" t="s">
        <v>166</v>
      </c>
      <c r="P32" s="81"/>
      <c r="Q32" s="81"/>
      <c r="R32" s="81"/>
      <c r="S32" s="81"/>
      <c r="T32" s="81"/>
      <c r="U32" s="81"/>
      <c r="V32" s="81"/>
      <c r="AC32" t="s">
        <v>2</v>
      </c>
      <c r="AD32" s="80"/>
      <c r="AE32" s="81"/>
      <c r="AF32" s="81"/>
      <c r="AG32" s="81"/>
      <c r="AH32" s="81"/>
      <c r="AI32" s="81"/>
    </row>
    <row r="33" spans="4:35">
      <c r="D33" t="s">
        <v>185</v>
      </c>
      <c r="E33" t="s">
        <v>68</v>
      </c>
      <c r="F33" s="435" t="s">
        <v>274</v>
      </c>
      <c r="G33" s="435" t="s">
        <v>12</v>
      </c>
      <c r="H33" t="s">
        <v>166</v>
      </c>
      <c r="I33" t="s">
        <v>7</v>
      </c>
      <c r="J33" t="s">
        <v>167</v>
      </c>
      <c r="O33" t="s">
        <v>166</v>
      </c>
      <c r="P33" s="81"/>
      <c r="Q33" s="81"/>
      <c r="R33" s="81"/>
      <c r="S33" s="81"/>
      <c r="T33" s="81"/>
      <c r="U33" s="81"/>
      <c r="V33" s="81"/>
      <c r="AC33" t="s">
        <v>2</v>
      </c>
      <c r="AD33" s="80"/>
      <c r="AE33" s="81"/>
      <c r="AF33" s="81"/>
      <c r="AG33" s="81"/>
      <c r="AH33" s="81"/>
      <c r="AI33" s="81"/>
    </row>
    <row r="34" spans="4:35">
      <c r="D34" t="s">
        <v>185</v>
      </c>
      <c r="E34" t="s">
        <v>68</v>
      </c>
      <c r="F34" s="435" t="s">
        <v>274</v>
      </c>
      <c r="G34" s="435" t="s">
        <v>12</v>
      </c>
      <c r="H34" t="s">
        <v>166</v>
      </c>
      <c r="I34" t="s">
        <v>7</v>
      </c>
      <c r="J34" t="s">
        <v>167</v>
      </c>
      <c r="O34" t="s">
        <v>166</v>
      </c>
      <c r="P34" s="81"/>
      <c r="Q34" s="81"/>
      <c r="R34" s="81"/>
      <c r="S34" s="81"/>
      <c r="T34" s="81"/>
      <c r="U34" s="81"/>
      <c r="V34" s="81"/>
      <c r="AC34" t="s">
        <v>2</v>
      </c>
      <c r="AD34" s="80"/>
      <c r="AE34" s="81"/>
      <c r="AF34" s="81"/>
      <c r="AG34" s="81"/>
      <c r="AH34" s="81"/>
      <c r="AI34" s="81"/>
    </row>
    <row r="35" spans="4:35">
      <c r="D35" t="s">
        <v>185</v>
      </c>
      <c r="E35" t="s">
        <v>68</v>
      </c>
      <c r="F35" s="435" t="s">
        <v>274</v>
      </c>
      <c r="G35" s="435" t="s">
        <v>12</v>
      </c>
      <c r="H35" t="s">
        <v>166</v>
      </c>
      <c r="I35" t="s">
        <v>7</v>
      </c>
      <c r="J35" t="s">
        <v>167</v>
      </c>
      <c r="O35" t="s">
        <v>166</v>
      </c>
      <c r="P35" s="81"/>
      <c r="Q35" s="81"/>
      <c r="R35" s="81"/>
      <c r="S35" s="81"/>
      <c r="T35" s="81"/>
      <c r="U35" s="81"/>
      <c r="V35" s="81"/>
      <c r="AC35" t="s">
        <v>2</v>
      </c>
      <c r="AD35" s="80"/>
      <c r="AE35" s="81"/>
      <c r="AF35" s="81"/>
      <c r="AG35" s="81"/>
      <c r="AH35" s="81"/>
      <c r="AI35" s="81"/>
    </row>
    <row r="36" spans="4:35">
      <c r="D36" t="s">
        <v>185</v>
      </c>
      <c r="E36" t="s">
        <v>68</v>
      </c>
      <c r="F36" s="435" t="s">
        <v>274</v>
      </c>
      <c r="G36" s="435" t="s">
        <v>12</v>
      </c>
      <c r="H36" t="s">
        <v>166</v>
      </c>
      <c r="I36" t="s">
        <v>7</v>
      </c>
      <c r="J36" t="s">
        <v>167</v>
      </c>
      <c r="O36" t="s">
        <v>166</v>
      </c>
      <c r="P36" s="81"/>
      <c r="Q36" s="81"/>
      <c r="R36" s="81"/>
      <c r="S36" s="81"/>
      <c r="T36" s="81"/>
      <c r="U36" s="81"/>
      <c r="V36" s="81"/>
      <c r="AC36" t="s">
        <v>2</v>
      </c>
      <c r="AD36" s="80"/>
      <c r="AE36" s="81"/>
      <c r="AF36" s="81"/>
      <c r="AG36" s="81"/>
      <c r="AH36" s="81"/>
      <c r="AI36" s="81"/>
    </row>
    <row r="37" spans="4:35">
      <c r="D37" t="s">
        <v>185</v>
      </c>
      <c r="E37" t="s">
        <v>68</v>
      </c>
      <c r="F37" s="435" t="s">
        <v>274</v>
      </c>
      <c r="G37" s="435" t="s">
        <v>12</v>
      </c>
      <c r="H37" t="s">
        <v>166</v>
      </c>
      <c r="I37" t="s">
        <v>7</v>
      </c>
      <c r="J37" t="s">
        <v>167</v>
      </c>
      <c r="O37" t="s">
        <v>166</v>
      </c>
      <c r="P37" s="81"/>
      <c r="Q37" s="81"/>
      <c r="R37" s="81"/>
      <c r="S37" s="81"/>
      <c r="T37" s="81"/>
      <c r="U37" s="81"/>
      <c r="V37" s="81"/>
      <c r="AC37" t="s">
        <v>2</v>
      </c>
      <c r="AD37" s="80"/>
      <c r="AE37" s="81"/>
      <c r="AF37" s="81"/>
      <c r="AG37" s="81"/>
      <c r="AH37" s="81"/>
      <c r="AI37" s="81"/>
    </row>
    <row r="38" spans="4:35">
      <c r="D38" t="s">
        <v>185</v>
      </c>
      <c r="E38" t="s">
        <v>68</v>
      </c>
      <c r="F38" s="435" t="s">
        <v>274</v>
      </c>
      <c r="G38" s="435" t="s">
        <v>12</v>
      </c>
      <c r="H38" t="s">
        <v>166</v>
      </c>
      <c r="I38" t="s">
        <v>7</v>
      </c>
      <c r="J38" t="s">
        <v>167</v>
      </c>
      <c r="O38" t="s">
        <v>166</v>
      </c>
      <c r="P38" s="81"/>
      <c r="Q38" s="81"/>
      <c r="R38" s="81"/>
      <c r="S38" s="81"/>
      <c r="T38" s="81"/>
      <c r="U38" s="81"/>
      <c r="V38" s="81"/>
      <c r="AC38" t="s">
        <v>2</v>
      </c>
      <c r="AD38" s="80"/>
      <c r="AE38" s="81"/>
      <c r="AF38" s="81"/>
      <c r="AG38" s="81"/>
      <c r="AH38" s="81"/>
      <c r="AI38" s="81"/>
    </row>
    <row r="39" spans="4:35">
      <c r="D39" t="s">
        <v>185</v>
      </c>
      <c r="E39" t="s">
        <v>68</v>
      </c>
      <c r="F39" s="435" t="s">
        <v>274</v>
      </c>
      <c r="G39" s="435" t="s">
        <v>12</v>
      </c>
      <c r="H39" t="s">
        <v>166</v>
      </c>
      <c r="I39" t="s">
        <v>7</v>
      </c>
      <c r="J39" t="s">
        <v>167</v>
      </c>
      <c r="O39" t="s">
        <v>166</v>
      </c>
      <c r="P39" s="81"/>
      <c r="Q39" s="81"/>
      <c r="R39" s="81"/>
      <c r="S39" s="81"/>
      <c r="T39" s="81"/>
      <c r="U39" s="81"/>
      <c r="V39" s="81"/>
      <c r="AC39" t="s">
        <v>2</v>
      </c>
      <c r="AD39" s="80"/>
      <c r="AE39" s="81"/>
      <c r="AF39" s="81"/>
      <c r="AG39" s="81"/>
      <c r="AH39" s="81"/>
      <c r="AI39" s="81"/>
    </row>
    <row r="40" spans="4:35">
      <c r="D40" t="s">
        <v>185</v>
      </c>
      <c r="E40" t="s">
        <v>68</v>
      </c>
      <c r="F40" s="435" t="s">
        <v>274</v>
      </c>
      <c r="G40" s="435" t="s">
        <v>12</v>
      </c>
      <c r="H40" t="s">
        <v>166</v>
      </c>
      <c r="I40" t="s">
        <v>7</v>
      </c>
      <c r="J40" t="s">
        <v>167</v>
      </c>
      <c r="O40" t="s">
        <v>166</v>
      </c>
      <c r="P40" s="81"/>
      <c r="Q40" s="81"/>
      <c r="R40" s="81"/>
      <c r="S40" s="81"/>
      <c r="T40" s="81"/>
      <c r="U40" s="81"/>
      <c r="V40" s="81"/>
      <c r="AC40" t="s">
        <v>2</v>
      </c>
      <c r="AD40" s="80"/>
      <c r="AE40" s="81"/>
      <c r="AF40" s="81"/>
      <c r="AG40" s="81"/>
      <c r="AH40" s="81"/>
      <c r="AI40" s="81"/>
    </row>
    <row r="41" spans="4:35">
      <c r="D41" t="s">
        <v>185</v>
      </c>
      <c r="E41" t="s">
        <v>68</v>
      </c>
      <c r="F41" s="435" t="s">
        <v>274</v>
      </c>
      <c r="G41" s="435" t="s">
        <v>12</v>
      </c>
      <c r="H41" t="s">
        <v>166</v>
      </c>
      <c r="I41" t="s">
        <v>7</v>
      </c>
      <c r="J41" t="s">
        <v>167</v>
      </c>
      <c r="O41" t="s">
        <v>166</v>
      </c>
      <c r="P41" s="81"/>
      <c r="Q41" s="81"/>
      <c r="R41" s="81"/>
      <c r="S41" s="81"/>
      <c r="T41" s="81"/>
      <c r="U41" s="81"/>
      <c r="V41" s="81"/>
      <c r="AC41" t="s">
        <v>2</v>
      </c>
      <c r="AD41" s="80"/>
      <c r="AE41" s="81"/>
      <c r="AF41" s="81"/>
      <c r="AG41" s="81"/>
      <c r="AH41" s="81"/>
      <c r="AI41" s="81"/>
    </row>
    <row r="42" spans="4:35">
      <c r="D42" t="s">
        <v>185</v>
      </c>
      <c r="E42" t="s">
        <v>68</v>
      </c>
      <c r="F42" s="435" t="s">
        <v>274</v>
      </c>
      <c r="G42" s="435" t="s">
        <v>12</v>
      </c>
      <c r="H42" t="s">
        <v>166</v>
      </c>
      <c r="I42" t="s">
        <v>7</v>
      </c>
      <c r="J42" t="s">
        <v>167</v>
      </c>
      <c r="O42" t="s">
        <v>166</v>
      </c>
      <c r="P42" s="81"/>
      <c r="Q42" s="81"/>
      <c r="R42" s="81"/>
      <c r="S42" s="81"/>
      <c r="T42" s="81"/>
      <c r="U42" s="81"/>
      <c r="V42" s="81"/>
      <c r="AC42" t="s">
        <v>2</v>
      </c>
      <c r="AD42" s="80"/>
      <c r="AE42" s="81"/>
      <c r="AF42" s="81"/>
      <c r="AG42" s="81"/>
      <c r="AH42" s="81"/>
      <c r="AI42" s="81"/>
    </row>
    <row r="43" spans="4:35">
      <c r="D43" t="s">
        <v>185</v>
      </c>
      <c r="E43" t="s">
        <v>68</v>
      </c>
      <c r="F43" s="435" t="s">
        <v>274</v>
      </c>
      <c r="G43" s="435" t="s">
        <v>12</v>
      </c>
      <c r="H43" t="s">
        <v>166</v>
      </c>
      <c r="I43" t="s">
        <v>7</v>
      </c>
      <c r="J43" t="s">
        <v>167</v>
      </c>
      <c r="O43" t="s">
        <v>166</v>
      </c>
      <c r="P43" s="81"/>
      <c r="Q43" s="81"/>
      <c r="R43" s="81"/>
      <c r="S43" s="81"/>
      <c r="T43" s="81"/>
      <c r="U43" s="81"/>
      <c r="V43" s="81"/>
      <c r="AC43" t="s">
        <v>2</v>
      </c>
      <c r="AD43" s="80"/>
      <c r="AE43" s="81"/>
      <c r="AF43" s="81"/>
      <c r="AG43" s="81"/>
      <c r="AH43" s="81"/>
      <c r="AI43" s="81"/>
    </row>
    <row r="44" spans="4:35">
      <c r="D44" t="s">
        <v>185</v>
      </c>
      <c r="E44" t="s">
        <v>68</v>
      </c>
      <c r="F44" s="435" t="s">
        <v>274</v>
      </c>
      <c r="G44" s="435" t="s">
        <v>12</v>
      </c>
      <c r="H44" t="s">
        <v>166</v>
      </c>
      <c r="I44" t="s">
        <v>7</v>
      </c>
      <c r="J44" t="s">
        <v>167</v>
      </c>
      <c r="O44" t="s">
        <v>166</v>
      </c>
      <c r="P44" s="81"/>
      <c r="Q44" s="81"/>
      <c r="R44" s="81"/>
      <c r="S44" s="81"/>
      <c r="T44" s="81"/>
      <c r="U44" s="81"/>
      <c r="V44" s="81"/>
      <c r="AC44" t="s">
        <v>2</v>
      </c>
      <c r="AD44" s="80"/>
      <c r="AE44" s="81"/>
      <c r="AF44" s="81"/>
      <c r="AG44" s="81"/>
      <c r="AH44" s="81"/>
      <c r="AI44" s="81"/>
    </row>
    <row r="45" spans="4:35">
      <c r="D45" t="s">
        <v>185</v>
      </c>
      <c r="E45" t="s">
        <v>68</v>
      </c>
      <c r="F45" s="435" t="s">
        <v>274</v>
      </c>
      <c r="G45" s="435" t="s">
        <v>12</v>
      </c>
      <c r="H45" t="s">
        <v>166</v>
      </c>
      <c r="I45" t="s">
        <v>7</v>
      </c>
      <c r="J45" t="s">
        <v>167</v>
      </c>
      <c r="O45" t="s">
        <v>166</v>
      </c>
      <c r="P45" s="81"/>
      <c r="Q45" s="81"/>
      <c r="R45" s="81"/>
      <c r="S45" s="81"/>
      <c r="T45" s="81"/>
      <c r="U45" s="81"/>
      <c r="V45" s="81"/>
      <c r="AC45" t="s">
        <v>2</v>
      </c>
      <c r="AD45" s="80"/>
      <c r="AE45" s="81"/>
      <c r="AF45" s="81"/>
      <c r="AG45" s="81"/>
      <c r="AH45" s="81"/>
      <c r="AI45" s="81"/>
    </row>
    <row r="46" spans="4:35">
      <c r="D46" t="s">
        <v>185</v>
      </c>
      <c r="E46" t="s">
        <v>68</v>
      </c>
      <c r="F46" s="435" t="s">
        <v>274</v>
      </c>
      <c r="G46" s="435" t="s">
        <v>12</v>
      </c>
      <c r="H46" t="s">
        <v>166</v>
      </c>
      <c r="I46" t="s">
        <v>7</v>
      </c>
      <c r="J46" t="s">
        <v>167</v>
      </c>
      <c r="O46" t="s">
        <v>166</v>
      </c>
      <c r="P46" s="81"/>
      <c r="Q46" s="81"/>
      <c r="R46" s="81"/>
      <c r="S46" s="81"/>
      <c r="T46" s="81"/>
      <c r="U46" s="81"/>
      <c r="V46" s="81"/>
      <c r="AC46" t="s">
        <v>2</v>
      </c>
      <c r="AD46" s="80"/>
      <c r="AE46" s="81"/>
      <c r="AF46" s="81"/>
      <c r="AG46" s="81"/>
      <c r="AH46" s="81"/>
      <c r="AI46" s="81"/>
    </row>
    <row r="47" spans="4:35">
      <c r="D47" t="s">
        <v>185</v>
      </c>
      <c r="E47" t="s">
        <v>68</v>
      </c>
      <c r="F47" s="435" t="s">
        <v>274</v>
      </c>
      <c r="G47" s="435" t="s">
        <v>12</v>
      </c>
      <c r="H47" t="s">
        <v>166</v>
      </c>
      <c r="I47" t="s">
        <v>7</v>
      </c>
      <c r="J47" t="s">
        <v>167</v>
      </c>
      <c r="O47" t="s">
        <v>166</v>
      </c>
      <c r="P47" s="79"/>
      <c r="Q47" s="79" t="s">
        <v>168</v>
      </c>
      <c r="R47" s="79"/>
      <c r="S47" s="79"/>
      <c r="T47" s="79"/>
      <c r="U47" s="79"/>
      <c r="V47" s="79"/>
      <c r="AC47" t="s">
        <v>2</v>
      </c>
      <c r="AD47" s="80"/>
      <c r="AE47" s="81"/>
      <c r="AF47" s="81"/>
      <c r="AG47" s="81"/>
      <c r="AH47" s="81"/>
      <c r="AI47" s="81"/>
    </row>
    <row r="48" spans="4:35">
      <c r="D48" t="s">
        <v>185</v>
      </c>
      <c r="E48" t="s">
        <v>68</v>
      </c>
      <c r="F48" s="435" t="s">
        <v>274</v>
      </c>
      <c r="G48" s="435" t="s">
        <v>12</v>
      </c>
      <c r="H48" t="s">
        <v>166</v>
      </c>
      <c r="I48" t="s">
        <v>7</v>
      </c>
      <c r="J48" t="s">
        <v>167</v>
      </c>
      <c r="O48" t="s">
        <v>166</v>
      </c>
      <c r="P48" s="79"/>
      <c r="Q48" s="79"/>
      <c r="R48" s="79"/>
      <c r="S48" s="79"/>
      <c r="T48" s="79"/>
      <c r="U48" s="79"/>
      <c r="V48" s="79"/>
      <c r="AC48" t="s">
        <v>2</v>
      </c>
      <c r="AD48" s="80"/>
      <c r="AE48" s="79"/>
      <c r="AF48" s="79"/>
      <c r="AG48" s="79"/>
      <c r="AH48" s="79"/>
      <c r="AI48" s="79"/>
    </row>
    <row r="49" spans="1:35">
      <c r="D49" t="s">
        <v>185</v>
      </c>
      <c r="E49" t="s">
        <v>68</v>
      </c>
      <c r="F49" s="435" t="s">
        <v>274</v>
      </c>
      <c r="G49" s="435" t="s">
        <v>12</v>
      </c>
      <c r="H49" t="s">
        <v>166</v>
      </c>
      <c r="I49" t="s">
        <v>7</v>
      </c>
      <c r="J49" t="s">
        <v>167</v>
      </c>
      <c r="O49" t="s">
        <v>166</v>
      </c>
      <c r="P49" s="79"/>
      <c r="Q49" s="79"/>
      <c r="R49" s="79"/>
      <c r="S49" s="79"/>
      <c r="T49" s="79"/>
      <c r="U49" s="79"/>
      <c r="V49" s="79"/>
      <c r="AC49" t="s">
        <v>2</v>
      </c>
      <c r="AD49" s="80"/>
      <c r="AE49" s="79"/>
      <c r="AF49" s="79"/>
      <c r="AG49" s="79"/>
      <c r="AH49" s="79"/>
      <c r="AI49" s="79"/>
    </row>
    <row r="50" spans="1:35" s="67" customFormat="1">
      <c r="D50" t="s">
        <v>185</v>
      </c>
      <c r="E50" t="s">
        <v>68</v>
      </c>
      <c r="F50" s="435" t="s">
        <v>274</v>
      </c>
      <c r="G50" s="435" t="s">
        <v>12</v>
      </c>
      <c r="H50" t="s">
        <v>166</v>
      </c>
      <c r="I50" t="s">
        <v>7</v>
      </c>
      <c r="J50" t="s">
        <v>167</v>
      </c>
      <c r="K50"/>
      <c r="L50"/>
      <c r="M50"/>
      <c r="N50"/>
      <c r="O50" t="s">
        <v>166</v>
      </c>
      <c r="P50" s="79"/>
      <c r="Q50" s="79"/>
      <c r="R50" s="79"/>
      <c r="S50" s="79"/>
      <c r="T50" s="79"/>
      <c r="U50" s="79"/>
      <c r="V50" s="79"/>
      <c r="W50"/>
      <c r="X50"/>
      <c r="Y50"/>
      <c r="Z50"/>
      <c r="AA50"/>
      <c r="AB50"/>
      <c r="AC50" t="s">
        <v>2</v>
      </c>
      <c r="AD50" s="80"/>
      <c r="AE50" s="79"/>
      <c r="AF50" s="79"/>
      <c r="AG50" s="79"/>
      <c r="AH50" s="79"/>
      <c r="AI50" s="79"/>
    </row>
    <row r="52" spans="1:35" s="1" customFormat="1" ht="13.9">
      <c r="A52" s="66"/>
      <c r="B52" s="78" t="s">
        <v>169</v>
      </c>
    </row>
    <row r="54" spans="1:35">
      <c r="AC54" t="s">
        <v>2</v>
      </c>
      <c r="AD54" s="80"/>
      <c r="AE54" s="79"/>
      <c r="AF54" s="79"/>
      <c r="AG54" s="79"/>
      <c r="AH54" s="79"/>
      <c r="AI54" s="79"/>
    </row>
    <row r="55" spans="1:35">
      <c r="AC55" t="s">
        <v>2</v>
      </c>
      <c r="AD55" s="80"/>
      <c r="AE55" s="79"/>
      <c r="AF55" s="79"/>
      <c r="AG55" s="79"/>
      <c r="AH55" s="79"/>
      <c r="AI55" s="79"/>
    </row>
    <row r="56" spans="1:35">
      <c r="AC56" t="s">
        <v>2</v>
      </c>
      <c r="AD56" s="80"/>
      <c r="AE56" s="79"/>
      <c r="AF56" s="79"/>
      <c r="AG56" s="79"/>
      <c r="AH56" s="79"/>
      <c r="AI56" s="79"/>
    </row>
    <row r="58" spans="1:35" s="1" customFormat="1" ht="13.9">
      <c r="A58" s="66"/>
      <c r="B58" s="78" t="s">
        <v>172</v>
      </c>
    </row>
    <row r="60" spans="1:35">
      <c r="D60" t="s">
        <v>185</v>
      </c>
      <c r="E60" t="s">
        <v>68</v>
      </c>
      <c r="H60" t="s">
        <v>166</v>
      </c>
      <c r="I60" t="s">
        <v>7</v>
      </c>
      <c r="J60" t="s">
        <v>172</v>
      </c>
      <c r="K60" t="s">
        <v>173</v>
      </c>
      <c r="O60" t="s">
        <v>166</v>
      </c>
      <c r="AC60" t="s">
        <v>2</v>
      </c>
      <c r="AD60" s="80"/>
      <c r="AE60" s="81"/>
      <c r="AF60" s="81"/>
      <c r="AG60" s="81"/>
      <c r="AH60" s="81"/>
      <c r="AI60" s="81"/>
    </row>
    <row r="61" spans="1:35">
      <c r="AC61" t="s">
        <v>2</v>
      </c>
      <c r="AD61" s="80"/>
      <c r="AE61" s="79"/>
      <c r="AF61" s="79"/>
      <c r="AG61" s="79"/>
      <c r="AH61" s="79"/>
      <c r="AI61" s="79"/>
    </row>
    <row r="62" spans="1:35">
      <c r="AC62" t="s">
        <v>2</v>
      </c>
      <c r="AD62" s="80"/>
      <c r="AE62" s="79"/>
      <c r="AF62" s="79"/>
      <c r="AG62" s="79"/>
      <c r="AH62" s="79"/>
      <c r="AI62" s="79"/>
    </row>
    <row r="64" spans="1:35" s="1" customFormat="1" ht="13.9">
      <c r="A64" s="66"/>
      <c r="B64" s="78" t="s">
        <v>175</v>
      </c>
    </row>
    <row r="66" spans="1:35">
      <c r="AD66" s="80"/>
      <c r="AE66" s="79"/>
      <c r="AF66" s="79"/>
      <c r="AG66" s="79"/>
      <c r="AH66" s="79"/>
      <c r="AI66" s="79"/>
    </row>
    <row r="67" spans="1:35">
      <c r="AD67" s="80"/>
      <c r="AE67" s="79"/>
      <c r="AF67" s="79"/>
      <c r="AG67" s="79"/>
      <c r="AH67" s="79"/>
      <c r="AI67" s="79"/>
    </row>
    <row r="68" spans="1:35">
      <c r="AD68" s="80"/>
      <c r="AE68" s="79"/>
      <c r="AF68" s="79"/>
      <c r="AG68" s="79"/>
      <c r="AH68" s="79"/>
      <c r="AI68" s="79"/>
    </row>
    <row r="70" spans="1:35" s="1" customFormat="1" ht="17.649999999999999">
      <c r="B70" s="2" t="s">
        <v>86</v>
      </c>
    </row>
    <row r="72" spans="1:35" s="1" customFormat="1" ht="13.9">
      <c r="A72" s="66"/>
      <c r="B72" s="78" t="s">
        <v>165</v>
      </c>
    </row>
    <row r="74" spans="1:35">
      <c r="AE74" s="79"/>
      <c r="AF74" s="79"/>
      <c r="AG74" s="79"/>
      <c r="AH74" s="79"/>
      <c r="AI74" s="79"/>
    </row>
    <row r="75" spans="1:35">
      <c r="AE75" s="79"/>
      <c r="AF75" s="79"/>
      <c r="AG75" s="79"/>
      <c r="AH75" s="79"/>
      <c r="AI75" s="79"/>
    </row>
    <row r="76" spans="1:35">
      <c r="AE76" s="79"/>
      <c r="AF76" s="79"/>
      <c r="AG76" s="79"/>
      <c r="AH76" s="79"/>
      <c r="AI76" s="79"/>
    </row>
    <row r="78" spans="1:35" s="1" customFormat="1" ht="13.9">
      <c r="A78" s="66"/>
      <c r="B78" s="78" t="s">
        <v>169</v>
      </c>
    </row>
    <row r="80" spans="1:35">
      <c r="AE80" s="79"/>
      <c r="AF80" s="79"/>
      <c r="AG80" s="79"/>
      <c r="AH80" s="79"/>
      <c r="AI80" s="79"/>
    </row>
    <row r="81" spans="1:35">
      <c r="AE81" s="79"/>
      <c r="AF81" s="79"/>
      <c r="AG81" s="79"/>
      <c r="AH81" s="79"/>
      <c r="AI81" s="79"/>
    </row>
    <row r="82" spans="1:35">
      <c r="AE82" s="79"/>
      <c r="AF82" s="79"/>
      <c r="AG82" s="79"/>
      <c r="AH82" s="79"/>
      <c r="AI82" s="79"/>
    </row>
    <row r="84" spans="1:35" s="1" customFormat="1" ht="13.9">
      <c r="A84" s="66"/>
      <c r="B84" s="78" t="s">
        <v>172</v>
      </c>
    </row>
    <row r="86" spans="1:35">
      <c r="AE86" s="79"/>
      <c r="AF86" s="79"/>
      <c r="AG86" s="79"/>
      <c r="AH86" s="79"/>
      <c r="AI86" s="79"/>
    </row>
    <row r="87" spans="1:35">
      <c r="AE87" s="79"/>
      <c r="AF87" s="79"/>
      <c r="AG87" s="79"/>
      <c r="AH87" s="79"/>
      <c r="AI87" s="79"/>
    </row>
    <row r="88" spans="1:35">
      <c r="AE88" s="79"/>
      <c r="AF88" s="79"/>
      <c r="AG88" s="79"/>
      <c r="AH88" s="79"/>
      <c r="AI88" s="79"/>
    </row>
    <row r="90" spans="1:35" s="1" customFormat="1" ht="13.9">
      <c r="A90" s="66"/>
      <c r="B90" s="78" t="s">
        <v>175</v>
      </c>
    </row>
    <row r="92" spans="1:35">
      <c r="AE92" s="79"/>
      <c r="AF92" s="79"/>
      <c r="AG92" s="79"/>
      <c r="AH92" s="79"/>
      <c r="AI92" s="79"/>
    </row>
    <row r="93" spans="1:35">
      <c r="AE93" s="79"/>
      <c r="AF93" s="79"/>
      <c r="AG93" s="79"/>
      <c r="AH93" s="79"/>
      <c r="AI93" s="79"/>
    </row>
    <row r="94" spans="1:35">
      <c r="AE94" s="79"/>
      <c r="AF94" s="79"/>
      <c r="AG94" s="79"/>
      <c r="AH94" s="79"/>
      <c r="AI94" s="79"/>
    </row>
    <row r="96" spans="1:35" s="1" customFormat="1" ht="17.649999999999999">
      <c r="B96" s="2" t="s">
        <v>2740</v>
      </c>
    </row>
    <row r="97" spans="1:35" s="435" customFormat="1"/>
    <row r="98" spans="1:35" s="1" customFormat="1" ht="13.9">
      <c r="A98" s="66"/>
      <c r="B98" s="78" t="s">
        <v>165</v>
      </c>
    </row>
    <row r="99" spans="1:35" s="435" customFormat="1"/>
    <row r="100" spans="1:35" s="435" customFormat="1">
      <c r="D100" s="435" t="s">
        <v>79</v>
      </c>
      <c r="E100" s="435" t="s">
        <v>68</v>
      </c>
      <c r="F100" s="435" t="s">
        <v>2714</v>
      </c>
      <c r="G100" s="435" t="s">
        <v>12</v>
      </c>
      <c r="H100" s="435" t="s">
        <v>166</v>
      </c>
      <c r="I100" s="435" t="s">
        <v>7</v>
      </c>
      <c r="J100" s="435" t="s">
        <v>167</v>
      </c>
      <c r="O100" s="435" t="s">
        <v>166</v>
      </c>
      <c r="P100" s="81"/>
      <c r="Q100" s="81"/>
      <c r="R100" s="81"/>
      <c r="S100" s="81"/>
      <c r="T100" s="81"/>
      <c r="U100" s="81"/>
      <c r="V100" s="81"/>
      <c r="AC100" s="435" t="s">
        <v>2</v>
      </c>
      <c r="AD100" s="80"/>
      <c r="AE100" s="81"/>
      <c r="AF100" s="81"/>
      <c r="AG100" s="81"/>
      <c r="AH100" s="81"/>
      <c r="AI100" s="81"/>
    </row>
    <row r="101" spans="1:35" s="435" customFormat="1">
      <c r="D101" s="435" t="s">
        <v>79</v>
      </c>
      <c r="E101" s="435" t="s">
        <v>68</v>
      </c>
      <c r="F101" s="435" t="s">
        <v>2714</v>
      </c>
      <c r="G101" s="435" t="s">
        <v>12</v>
      </c>
      <c r="H101" s="435" t="s">
        <v>166</v>
      </c>
      <c r="I101" s="435" t="s">
        <v>7</v>
      </c>
      <c r="J101" s="435" t="s">
        <v>167</v>
      </c>
      <c r="O101" s="435" t="s">
        <v>166</v>
      </c>
      <c r="P101" s="81"/>
      <c r="Q101" s="81"/>
      <c r="R101" s="81"/>
      <c r="S101" s="81"/>
      <c r="T101" s="81"/>
      <c r="U101" s="81"/>
      <c r="V101" s="81"/>
      <c r="AC101" s="435" t="s">
        <v>2</v>
      </c>
      <c r="AD101" s="80"/>
      <c r="AE101" s="81"/>
      <c r="AF101" s="81"/>
      <c r="AG101" s="81"/>
      <c r="AH101" s="81"/>
      <c r="AI101" s="81"/>
    </row>
    <row r="102" spans="1:35" s="435" customFormat="1">
      <c r="D102" s="435" t="s">
        <v>79</v>
      </c>
      <c r="E102" s="435" t="s">
        <v>68</v>
      </c>
      <c r="F102" s="435" t="s">
        <v>2714</v>
      </c>
      <c r="G102" s="435" t="s">
        <v>12</v>
      </c>
      <c r="H102" s="435" t="s">
        <v>166</v>
      </c>
      <c r="I102" s="435" t="s">
        <v>7</v>
      </c>
      <c r="J102" s="435" t="s">
        <v>167</v>
      </c>
      <c r="O102" s="435" t="s">
        <v>166</v>
      </c>
      <c r="P102" s="81"/>
      <c r="Q102" s="81"/>
      <c r="R102" s="81"/>
      <c r="S102" s="81"/>
      <c r="T102" s="81"/>
      <c r="U102" s="81"/>
      <c r="V102" s="81"/>
      <c r="AC102" s="435" t="s">
        <v>2</v>
      </c>
      <c r="AD102" s="80"/>
      <c r="AE102" s="81"/>
      <c r="AF102" s="81"/>
      <c r="AG102" s="81"/>
      <c r="AH102" s="81"/>
      <c r="AI102" s="81"/>
    </row>
    <row r="103" spans="1:35" s="435" customFormat="1">
      <c r="D103" s="435" t="s">
        <v>79</v>
      </c>
      <c r="E103" s="435" t="s">
        <v>68</v>
      </c>
      <c r="F103" s="435" t="s">
        <v>2714</v>
      </c>
      <c r="G103" s="435" t="s">
        <v>12</v>
      </c>
      <c r="H103" s="435" t="s">
        <v>166</v>
      </c>
      <c r="I103" s="435" t="s">
        <v>7</v>
      </c>
      <c r="J103" s="435" t="s">
        <v>167</v>
      </c>
      <c r="O103" s="435" t="s">
        <v>166</v>
      </c>
      <c r="P103" s="81"/>
      <c r="Q103" s="81"/>
      <c r="R103" s="81"/>
      <c r="S103" s="81"/>
      <c r="T103" s="81"/>
      <c r="U103" s="81"/>
      <c r="V103" s="81"/>
      <c r="AC103" s="435" t="s">
        <v>2</v>
      </c>
      <c r="AD103" s="80"/>
      <c r="AE103" s="81"/>
      <c r="AF103" s="81"/>
      <c r="AG103" s="81"/>
      <c r="AH103" s="81"/>
      <c r="AI103" s="81"/>
    </row>
    <row r="104" spans="1:35" s="435" customFormat="1">
      <c r="D104" s="435" t="s">
        <v>79</v>
      </c>
      <c r="E104" s="435" t="s">
        <v>68</v>
      </c>
      <c r="F104" s="435" t="s">
        <v>2714</v>
      </c>
      <c r="G104" s="435" t="s">
        <v>12</v>
      </c>
      <c r="H104" s="435" t="s">
        <v>166</v>
      </c>
      <c r="I104" s="435" t="s">
        <v>7</v>
      </c>
      <c r="J104" s="435" t="s">
        <v>167</v>
      </c>
      <c r="O104" s="435" t="s">
        <v>166</v>
      </c>
      <c r="P104" s="81"/>
      <c r="Q104" s="81"/>
      <c r="R104" s="81"/>
      <c r="S104" s="81"/>
      <c r="T104" s="81"/>
      <c r="U104" s="81"/>
      <c r="V104" s="81"/>
      <c r="AC104" s="435" t="s">
        <v>2</v>
      </c>
      <c r="AD104" s="80"/>
      <c r="AE104" s="81"/>
      <c r="AF104" s="81"/>
      <c r="AG104" s="81"/>
      <c r="AH104" s="81"/>
      <c r="AI104" s="81"/>
    </row>
    <row r="105" spans="1:35" s="435" customFormat="1">
      <c r="D105" s="435" t="s">
        <v>79</v>
      </c>
      <c r="E105" s="435" t="s">
        <v>68</v>
      </c>
      <c r="F105" s="435" t="s">
        <v>2714</v>
      </c>
      <c r="G105" s="435" t="s">
        <v>12</v>
      </c>
      <c r="H105" s="435" t="s">
        <v>166</v>
      </c>
      <c r="I105" s="435" t="s">
        <v>7</v>
      </c>
      <c r="J105" s="435" t="s">
        <v>167</v>
      </c>
      <c r="O105" s="435" t="s">
        <v>166</v>
      </c>
      <c r="P105" s="81"/>
      <c r="Q105" s="81"/>
      <c r="R105" s="81"/>
      <c r="S105" s="81"/>
      <c r="T105" s="81"/>
      <c r="U105" s="81"/>
      <c r="V105" s="81"/>
      <c r="AC105" s="435" t="s">
        <v>2</v>
      </c>
      <c r="AD105" s="80"/>
      <c r="AE105" s="81"/>
      <c r="AF105" s="81"/>
      <c r="AG105" s="81"/>
      <c r="AH105" s="81"/>
      <c r="AI105" s="81"/>
    </row>
    <row r="106" spans="1:35" s="435" customFormat="1">
      <c r="D106" s="435" t="s">
        <v>79</v>
      </c>
      <c r="E106" s="435" t="s">
        <v>68</v>
      </c>
      <c r="F106" s="435" t="s">
        <v>2714</v>
      </c>
      <c r="G106" s="435" t="s">
        <v>12</v>
      </c>
      <c r="H106" s="435" t="s">
        <v>166</v>
      </c>
      <c r="I106" s="435" t="s">
        <v>7</v>
      </c>
      <c r="J106" s="435" t="s">
        <v>167</v>
      </c>
      <c r="O106" s="435" t="s">
        <v>166</v>
      </c>
      <c r="P106" s="81"/>
      <c r="Q106" s="81"/>
      <c r="R106" s="81"/>
      <c r="S106" s="81"/>
      <c r="T106" s="81"/>
      <c r="U106" s="81"/>
      <c r="V106" s="81"/>
      <c r="AC106" s="435" t="s">
        <v>2</v>
      </c>
      <c r="AD106" s="80"/>
      <c r="AE106" s="81"/>
      <c r="AF106" s="81"/>
      <c r="AG106" s="81"/>
      <c r="AH106" s="81"/>
      <c r="AI106" s="81"/>
    </row>
    <row r="107" spans="1:35" s="435" customFormat="1">
      <c r="D107" s="435" t="s">
        <v>79</v>
      </c>
      <c r="E107" s="435" t="s">
        <v>68</v>
      </c>
      <c r="F107" s="435" t="s">
        <v>2714</v>
      </c>
      <c r="G107" s="435" t="s">
        <v>12</v>
      </c>
      <c r="H107" s="435" t="s">
        <v>166</v>
      </c>
      <c r="I107" s="435" t="s">
        <v>7</v>
      </c>
      <c r="J107" s="435" t="s">
        <v>167</v>
      </c>
      <c r="O107" s="435" t="s">
        <v>166</v>
      </c>
      <c r="P107" s="81"/>
      <c r="Q107" s="81"/>
      <c r="R107" s="81"/>
      <c r="S107" s="81"/>
      <c r="T107" s="81"/>
      <c r="U107" s="81"/>
      <c r="V107" s="81"/>
      <c r="AC107" s="435" t="s">
        <v>2</v>
      </c>
      <c r="AD107" s="80"/>
      <c r="AE107" s="81"/>
      <c r="AF107" s="81"/>
      <c r="AG107" s="81"/>
      <c r="AH107" s="81"/>
      <c r="AI107" s="81"/>
    </row>
    <row r="108" spans="1:35" s="435" customFormat="1">
      <c r="D108" s="435" t="s">
        <v>79</v>
      </c>
      <c r="E108" s="435" t="s">
        <v>68</v>
      </c>
      <c r="F108" s="435" t="s">
        <v>2714</v>
      </c>
      <c r="G108" s="435" t="s">
        <v>12</v>
      </c>
      <c r="H108" s="435" t="s">
        <v>166</v>
      </c>
      <c r="I108" s="435" t="s">
        <v>7</v>
      </c>
      <c r="J108" s="435" t="s">
        <v>167</v>
      </c>
      <c r="O108" s="435" t="s">
        <v>166</v>
      </c>
      <c r="P108" s="81"/>
      <c r="Q108" s="81"/>
      <c r="R108" s="81"/>
      <c r="S108" s="81"/>
      <c r="T108" s="81"/>
      <c r="U108" s="81"/>
      <c r="V108" s="81"/>
      <c r="AC108" s="435" t="s">
        <v>2</v>
      </c>
      <c r="AD108" s="80"/>
      <c r="AE108" s="81"/>
      <c r="AF108" s="81"/>
      <c r="AG108" s="81"/>
      <c r="AH108" s="81"/>
      <c r="AI108" s="81"/>
    </row>
    <row r="109" spans="1:35" s="435" customFormat="1">
      <c r="D109" s="435" t="s">
        <v>79</v>
      </c>
      <c r="E109" s="435" t="s">
        <v>68</v>
      </c>
      <c r="F109" s="435" t="s">
        <v>2714</v>
      </c>
      <c r="G109" s="435" t="s">
        <v>12</v>
      </c>
      <c r="H109" s="435" t="s">
        <v>166</v>
      </c>
      <c r="I109" s="435" t="s">
        <v>7</v>
      </c>
      <c r="J109" s="435" t="s">
        <v>167</v>
      </c>
      <c r="O109" s="435" t="s">
        <v>166</v>
      </c>
      <c r="P109" s="81"/>
      <c r="Q109" s="81"/>
      <c r="R109" s="81"/>
      <c r="S109" s="81"/>
      <c r="T109" s="81"/>
      <c r="U109" s="81"/>
      <c r="V109" s="81"/>
      <c r="AC109" s="435" t="s">
        <v>2</v>
      </c>
      <c r="AD109" s="80"/>
      <c r="AE109" s="81"/>
      <c r="AF109" s="81"/>
      <c r="AG109" s="81"/>
      <c r="AH109" s="81"/>
      <c r="AI109" s="81"/>
    </row>
    <row r="110" spans="1:35" s="435" customFormat="1">
      <c r="D110" s="435" t="s">
        <v>79</v>
      </c>
      <c r="E110" s="435" t="s">
        <v>68</v>
      </c>
      <c r="F110" s="435" t="s">
        <v>2714</v>
      </c>
      <c r="G110" s="435" t="s">
        <v>12</v>
      </c>
      <c r="H110" s="435" t="s">
        <v>166</v>
      </c>
      <c r="I110" s="435" t="s">
        <v>7</v>
      </c>
      <c r="J110" s="435" t="s">
        <v>167</v>
      </c>
      <c r="O110" s="435" t="s">
        <v>166</v>
      </c>
      <c r="P110" s="81"/>
      <c r="Q110" s="81"/>
      <c r="R110" s="81"/>
      <c r="S110" s="81"/>
      <c r="T110" s="81"/>
      <c r="U110" s="81"/>
      <c r="V110" s="81"/>
      <c r="AC110" s="435" t="s">
        <v>2</v>
      </c>
      <c r="AD110" s="80"/>
      <c r="AE110" s="81"/>
      <c r="AF110" s="81"/>
      <c r="AG110" s="81"/>
      <c r="AH110" s="81"/>
      <c r="AI110" s="81"/>
    </row>
    <row r="111" spans="1:35" s="58" customFormat="1">
      <c r="P111" s="118"/>
      <c r="Q111" s="118"/>
      <c r="R111" s="118"/>
      <c r="S111" s="118"/>
      <c r="T111" s="118"/>
      <c r="U111" s="118"/>
      <c r="V111" s="118"/>
      <c r="AD111" s="122"/>
      <c r="AE111" s="118"/>
      <c r="AF111" s="118"/>
      <c r="AG111" s="118"/>
      <c r="AH111" s="118"/>
      <c r="AI111" s="118"/>
    </row>
    <row r="112" spans="1:35" s="73" customFormat="1" ht="18">
      <c r="A112" s="74" t="s">
        <v>76</v>
      </c>
    </row>
  </sheetData>
  <mergeCells count="1">
    <mergeCell ref="AE6:AI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rgb="FFFF9900"/>
  </sheetPr>
  <dimension ref="A1:AN87"/>
  <sheetViews>
    <sheetView zoomScale="80" zoomScaleNormal="80" workbookViewId="0">
      <pane ySplit="8" topLeftCell="A9" activePane="bottomLeft" state="frozen"/>
      <selection pane="bottomLeft"/>
    </sheetView>
  </sheetViews>
  <sheetFormatPr defaultRowHeight="14.25"/>
  <cols>
    <col min="1" max="8" width="1.73046875" customWidth="1"/>
    <col min="9" max="9" width="24" customWidth="1"/>
    <col min="10" max="10" width="54" customWidth="1"/>
    <col min="11" max="15" width="1.73046875" customWidth="1"/>
    <col min="16" max="16" width="2.59765625" hidden="1" customWidth="1"/>
    <col min="17" max="28" width="1.73046875" hidden="1" customWidth="1"/>
    <col min="29" max="30" width="9.1328125" customWidth="1"/>
  </cols>
  <sheetData>
    <row r="1" spans="1:40" s="73" customFormat="1" ht="23.25">
      <c r="A1" s="89" t="str">
        <f>'1.1 Cover'!A2</f>
        <v>Regulatory Reporting Pack</v>
      </c>
    </row>
    <row r="2" spans="1:40" s="73" customFormat="1" ht="23.25">
      <c r="A2" s="89" t="str">
        <f>'1.1 Cover'!A3</f>
        <v>Price base - 2018/19</v>
      </c>
    </row>
    <row r="3" spans="1:40" s="73" customFormat="1" ht="23.25">
      <c r="A3" s="89" t="str">
        <f>'1.1 Cover'!A4</f>
        <v>Regulatory Year: April 2021 - March 2022</v>
      </c>
    </row>
    <row r="4" spans="1:40" s="73" customFormat="1" ht="23.25">
      <c r="A4" s="89" t="s">
        <v>955</v>
      </c>
    </row>
    <row r="6" spans="1:40">
      <c r="G6" s="57"/>
      <c r="H6" s="57"/>
      <c r="I6" s="57"/>
      <c r="J6" s="57"/>
      <c r="K6" s="57"/>
      <c r="L6" s="57"/>
      <c r="M6" s="57"/>
      <c r="N6" s="57"/>
      <c r="O6" s="57"/>
      <c r="P6" s="57"/>
      <c r="Q6" s="57"/>
      <c r="R6" s="57"/>
      <c r="S6" s="57"/>
      <c r="T6" s="57"/>
      <c r="U6" s="57"/>
      <c r="V6" s="57"/>
      <c r="W6" s="57"/>
      <c r="X6" s="57"/>
      <c r="Y6" s="57"/>
      <c r="Z6" s="57"/>
      <c r="AA6" s="57"/>
      <c r="AB6" s="57"/>
      <c r="AC6" s="57"/>
      <c r="AD6" s="916"/>
      <c r="AE6" s="1347" t="s">
        <v>112</v>
      </c>
      <c r="AF6" s="1348"/>
      <c r="AG6" s="1348"/>
      <c r="AH6" s="1348"/>
      <c r="AI6" s="1349"/>
      <c r="AJ6" s="1347" t="s">
        <v>2614</v>
      </c>
      <c r="AK6" s="1348"/>
      <c r="AL6" s="1348"/>
      <c r="AM6" s="1348"/>
      <c r="AN6" s="1349"/>
    </row>
    <row r="7" spans="1:40" s="67" customFormat="1">
      <c r="D7" s="87"/>
      <c r="E7" s="87"/>
      <c r="F7" s="87"/>
      <c r="G7" s="912"/>
      <c r="H7" s="912"/>
      <c r="I7" s="912" t="s">
        <v>251</v>
      </c>
      <c r="J7" s="912" t="s">
        <v>250</v>
      </c>
      <c r="K7" s="912"/>
      <c r="L7" s="913"/>
      <c r="M7" s="913"/>
      <c r="N7" s="913"/>
      <c r="O7" s="914"/>
      <c r="P7" s="915" t="s">
        <v>101</v>
      </c>
      <c r="Q7" s="915" t="s">
        <v>100</v>
      </c>
      <c r="R7" s="915" t="s">
        <v>99</v>
      </c>
      <c r="S7" s="915" t="s">
        <v>98</v>
      </c>
      <c r="T7" s="915" t="s">
        <v>97</v>
      </c>
      <c r="U7" s="915" t="s">
        <v>96</v>
      </c>
      <c r="V7" s="915" t="s">
        <v>95</v>
      </c>
      <c r="W7" s="915" t="s">
        <v>94</v>
      </c>
      <c r="X7" s="915" t="s">
        <v>93</v>
      </c>
      <c r="Y7" s="915" t="s">
        <v>92</v>
      </c>
      <c r="Z7" s="915" t="s">
        <v>91</v>
      </c>
      <c r="AA7" s="915" t="s">
        <v>90</v>
      </c>
      <c r="AB7" s="915" t="s">
        <v>89</v>
      </c>
      <c r="AC7" s="916" t="s">
        <v>5</v>
      </c>
      <c r="AD7" s="916"/>
      <c r="AE7" s="84">
        <v>2022</v>
      </c>
      <c r="AF7" s="83">
        <v>2023</v>
      </c>
      <c r="AG7" s="83">
        <v>2024</v>
      </c>
      <c r="AH7" s="83">
        <v>2025</v>
      </c>
      <c r="AI7" s="82">
        <v>2026</v>
      </c>
      <c r="AJ7" s="84">
        <v>2027</v>
      </c>
      <c r="AK7" s="83">
        <v>2028</v>
      </c>
      <c r="AL7" s="83">
        <v>2029</v>
      </c>
      <c r="AM7" s="83">
        <v>2030</v>
      </c>
      <c r="AN7" s="82">
        <v>2031</v>
      </c>
    </row>
    <row r="8" spans="1:40">
      <c r="P8" s="67"/>
      <c r="Q8" s="67"/>
      <c r="R8" s="67"/>
      <c r="S8" s="67"/>
      <c r="T8" s="67"/>
      <c r="U8" s="67"/>
      <c r="V8" s="67"/>
      <c r="AJ8" s="435"/>
      <c r="AK8" s="435"/>
      <c r="AL8" s="435"/>
      <c r="AM8" s="435"/>
      <c r="AN8" s="435"/>
    </row>
    <row r="9" spans="1:40" s="917" customFormat="1" ht="15">
      <c r="A9" s="917" t="s">
        <v>955</v>
      </c>
    </row>
    <row r="10" spans="1:40">
      <c r="AJ10" s="435"/>
      <c r="AK10" s="435"/>
      <c r="AL10" s="435"/>
      <c r="AM10" s="435"/>
      <c r="AN10" s="435"/>
    </row>
    <row r="11" spans="1:40" s="1" customFormat="1" ht="13.9">
      <c r="A11" s="66"/>
      <c r="B11" s="78" t="s">
        <v>2846</v>
      </c>
    </row>
    <row r="12" spans="1:40">
      <c r="AJ12" s="435"/>
      <c r="AK12" s="435"/>
      <c r="AL12" s="435"/>
      <c r="AM12" s="435"/>
      <c r="AN12" s="435"/>
    </row>
    <row r="13" spans="1:40" s="435" customFormat="1">
      <c r="J13" s="435" t="s">
        <v>2831</v>
      </c>
      <c r="AC13" s="435" t="s">
        <v>965</v>
      </c>
      <c r="AE13" s="106"/>
      <c r="AF13" s="106"/>
      <c r="AG13" s="106"/>
      <c r="AH13" s="106"/>
      <c r="AI13" s="106"/>
      <c r="AJ13" s="106"/>
      <c r="AK13" s="106"/>
      <c r="AL13" s="106"/>
      <c r="AM13" s="106"/>
      <c r="AN13" s="106"/>
    </row>
    <row r="14" spans="1:40" s="435" customFormat="1">
      <c r="J14" s="435" t="s">
        <v>2832</v>
      </c>
      <c r="AC14" s="435" t="s">
        <v>965</v>
      </c>
      <c r="AE14" s="106"/>
      <c r="AF14" s="106"/>
      <c r="AG14" s="106"/>
      <c r="AH14" s="106"/>
      <c r="AI14" s="106"/>
    </row>
    <row r="15" spans="1:40" s="435" customFormat="1"/>
    <row r="16" spans="1:40" s="435" customFormat="1">
      <c r="J16" s="435" t="s">
        <v>2831</v>
      </c>
      <c r="AC16" s="435" t="s">
        <v>2755</v>
      </c>
      <c r="AE16" s="106"/>
      <c r="AF16" s="106"/>
      <c r="AG16" s="106"/>
      <c r="AH16" s="106"/>
      <c r="AI16" s="106"/>
      <c r="AJ16" s="106"/>
      <c r="AK16" s="106"/>
      <c r="AL16" s="106"/>
      <c r="AM16" s="106"/>
      <c r="AN16" s="106"/>
    </row>
    <row r="17" spans="1:40" s="435" customFormat="1">
      <c r="J17" s="435" t="s">
        <v>2832</v>
      </c>
      <c r="AC17" s="435" t="s">
        <v>2755</v>
      </c>
      <c r="AE17" s="106"/>
      <c r="AF17" s="106"/>
      <c r="AG17" s="106"/>
      <c r="AH17" s="106"/>
      <c r="AI17" s="106"/>
    </row>
    <row r="18" spans="1:40" s="435" customFormat="1"/>
    <row r="19" spans="1:40" s="435" customFormat="1">
      <c r="J19" s="435" t="s">
        <v>2833</v>
      </c>
      <c r="AC19" s="435" t="s">
        <v>965</v>
      </c>
      <c r="AE19" s="106"/>
      <c r="AF19" s="106"/>
      <c r="AG19" s="106"/>
      <c r="AH19" s="106"/>
      <c r="AI19" s="106"/>
      <c r="AJ19" s="106"/>
      <c r="AK19" s="106"/>
      <c r="AL19" s="106"/>
      <c r="AM19" s="106"/>
      <c r="AN19" s="106"/>
    </row>
    <row r="20" spans="1:40" s="435" customFormat="1">
      <c r="J20" s="435" t="s">
        <v>2834</v>
      </c>
      <c r="AC20" s="435" t="s">
        <v>965</v>
      </c>
      <c r="AE20" s="106"/>
      <c r="AF20" s="106"/>
      <c r="AG20" s="106"/>
      <c r="AH20" s="106"/>
      <c r="AI20" s="106"/>
    </row>
    <row r="21" spans="1:40" s="435" customFormat="1"/>
    <row r="22" spans="1:40" s="435" customFormat="1">
      <c r="J22" s="435" t="s">
        <v>2833</v>
      </c>
      <c r="AC22" s="435" t="s">
        <v>2755</v>
      </c>
      <c r="AE22" s="106"/>
      <c r="AF22" s="106"/>
      <c r="AG22" s="106"/>
      <c r="AH22" s="106"/>
      <c r="AI22" s="106"/>
      <c r="AJ22" s="106"/>
      <c r="AK22" s="106"/>
      <c r="AL22" s="106"/>
      <c r="AM22" s="106"/>
      <c r="AN22" s="106"/>
    </row>
    <row r="23" spans="1:40" s="435" customFormat="1">
      <c r="J23" s="435" t="s">
        <v>2834</v>
      </c>
      <c r="AC23" s="435" t="s">
        <v>2755</v>
      </c>
      <c r="AE23" s="106"/>
      <c r="AF23" s="106"/>
      <c r="AG23" s="106"/>
      <c r="AH23" s="106"/>
      <c r="AI23" s="106"/>
    </row>
    <row r="24" spans="1:40" s="435" customFormat="1"/>
    <row r="25" spans="1:40" s="1" customFormat="1" ht="13.9">
      <c r="A25" s="66"/>
      <c r="B25" s="78" t="s">
        <v>1405</v>
      </c>
    </row>
    <row r="26" spans="1:40" s="435" customFormat="1"/>
    <row r="27" spans="1:40" s="435" customFormat="1">
      <c r="J27" s="435" t="s">
        <v>2835</v>
      </c>
      <c r="AC27" s="99" t="s">
        <v>2837</v>
      </c>
      <c r="AE27" s="106"/>
      <c r="AF27" s="106"/>
      <c r="AG27" s="106"/>
      <c r="AH27" s="106"/>
      <c r="AI27" s="106"/>
      <c r="AJ27" s="106"/>
    </row>
    <row r="28" spans="1:40" s="435" customFormat="1">
      <c r="J28" s="435" t="s">
        <v>2836</v>
      </c>
      <c r="AC28" s="99" t="s">
        <v>2837</v>
      </c>
      <c r="AE28" s="106"/>
      <c r="AF28" s="106"/>
      <c r="AG28" s="106"/>
      <c r="AH28" s="106"/>
      <c r="AI28" s="106"/>
      <c r="AJ28" s="106"/>
    </row>
    <row r="29" spans="1:40" s="435" customFormat="1"/>
    <row r="30" spans="1:40" s="435" customFormat="1">
      <c r="J30" s="435" t="s">
        <v>2853</v>
      </c>
      <c r="AC30" s="435" t="s">
        <v>965</v>
      </c>
      <c r="AE30" s="106"/>
      <c r="AF30" s="106"/>
      <c r="AG30" s="106"/>
      <c r="AH30" s="106"/>
      <c r="AI30" s="106"/>
    </row>
    <row r="31" spans="1:40" s="435" customFormat="1">
      <c r="J31" s="435" t="s">
        <v>2855</v>
      </c>
      <c r="AC31" s="435" t="s">
        <v>965</v>
      </c>
      <c r="AE31" s="106"/>
      <c r="AF31" s="106"/>
      <c r="AG31" s="106"/>
      <c r="AH31" s="106"/>
      <c r="AI31" s="106"/>
    </row>
    <row r="32" spans="1:40" s="435" customFormat="1"/>
    <row r="33" spans="1:35" s="1" customFormat="1" ht="13.9">
      <c r="A33" s="66"/>
      <c r="B33" s="78" t="s">
        <v>2847</v>
      </c>
    </row>
    <row r="34" spans="1:35" s="435" customFormat="1"/>
    <row r="35" spans="1:35" s="435" customFormat="1">
      <c r="I35" s="435" t="s">
        <v>2845</v>
      </c>
      <c r="J35" s="435" t="s">
        <v>2838</v>
      </c>
      <c r="AC35" s="435" t="s">
        <v>965</v>
      </c>
      <c r="AE35" s="106"/>
      <c r="AF35" s="106"/>
      <c r="AG35" s="106"/>
      <c r="AH35" s="106"/>
      <c r="AI35" s="106"/>
    </row>
    <row r="36" spans="1:35" s="435" customFormat="1">
      <c r="I36" s="435" t="s">
        <v>2845</v>
      </c>
      <c r="J36" s="435" t="s">
        <v>2839</v>
      </c>
      <c r="AC36" s="435" t="s">
        <v>965</v>
      </c>
      <c r="AE36" s="106"/>
      <c r="AF36" s="106"/>
      <c r="AG36" s="106"/>
      <c r="AH36" s="106"/>
      <c r="AI36" s="106"/>
    </row>
    <row r="37" spans="1:35" s="435" customFormat="1">
      <c r="I37" s="435" t="s">
        <v>2845</v>
      </c>
      <c r="J37" s="435" t="s">
        <v>2840</v>
      </c>
      <c r="AC37" s="435" t="s">
        <v>965</v>
      </c>
      <c r="AE37" s="106"/>
      <c r="AF37" s="106"/>
      <c r="AG37" s="106"/>
      <c r="AH37" s="106"/>
      <c r="AI37" s="106"/>
    </row>
    <row r="38" spans="1:35" s="435" customFormat="1">
      <c r="I38" s="435" t="s">
        <v>2845</v>
      </c>
      <c r="J38" s="435" t="s">
        <v>2843</v>
      </c>
      <c r="AC38" s="435" t="s">
        <v>965</v>
      </c>
      <c r="AE38" s="106"/>
      <c r="AF38" s="106"/>
      <c r="AG38" s="106"/>
      <c r="AH38" s="106"/>
      <c r="AI38" s="106"/>
    </row>
    <row r="39" spans="1:35" s="435" customFormat="1"/>
    <row r="40" spans="1:35" s="435" customFormat="1">
      <c r="I40" s="435" t="s">
        <v>2845</v>
      </c>
      <c r="J40" s="435" t="s">
        <v>2841</v>
      </c>
      <c r="AC40" s="435" t="s">
        <v>965</v>
      </c>
      <c r="AE40" s="106"/>
      <c r="AF40" s="106"/>
      <c r="AG40" s="106"/>
      <c r="AH40" s="106"/>
      <c r="AI40" s="106"/>
    </row>
    <row r="41" spans="1:35" s="435" customFormat="1">
      <c r="I41" s="435" t="s">
        <v>2845</v>
      </c>
      <c r="J41" s="435" t="s">
        <v>2842</v>
      </c>
      <c r="AC41" s="435" t="s">
        <v>965</v>
      </c>
      <c r="AE41" s="106"/>
      <c r="AF41" s="106"/>
      <c r="AG41" s="106"/>
      <c r="AH41" s="106"/>
      <c r="AI41" s="106"/>
    </row>
    <row r="42" spans="1:35" s="435" customFormat="1">
      <c r="I42" s="435" t="s">
        <v>2845</v>
      </c>
      <c r="J42" s="435" t="s">
        <v>2844</v>
      </c>
      <c r="AC42" s="435" t="s">
        <v>965</v>
      </c>
      <c r="AE42" s="106"/>
      <c r="AF42" s="106"/>
      <c r="AG42" s="106"/>
      <c r="AH42" s="106"/>
      <c r="AI42" s="106"/>
    </row>
    <row r="43" spans="1:35" s="435" customFormat="1"/>
    <row r="44" spans="1:35" s="1" customFormat="1" ht="13.9">
      <c r="A44" s="66"/>
      <c r="B44" s="78" t="s">
        <v>2848</v>
      </c>
    </row>
    <row r="45" spans="1:35" s="435" customFormat="1"/>
    <row r="46" spans="1:35" s="435" customFormat="1">
      <c r="I46" s="435" t="s">
        <v>259</v>
      </c>
      <c r="J46" s="435" t="s">
        <v>2838</v>
      </c>
      <c r="AC46" s="435" t="s">
        <v>965</v>
      </c>
      <c r="AE46" s="106"/>
      <c r="AF46" s="106"/>
      <c r="AG46" s="106"/>
      <c r="AH46" s="106"/>
      <c r="AI46" s="106"/>
    </row>
    <row r="47" spans="1:35" s="435" customFormat="1">
      <c r="I47" s="435" t="s">
        <v>259</v>
      </c>
      <c r="J47" s="435" t="s">
        <v>2839</v>
      </c>
      <c r="AC47" s="435" t="s">
        <v>965</v>
      </c>
      <c r="AE47" s="106"/>
      <c r="AF47" s="106"/>
      <c r="AG47" s="106"/>
      <c r="AH47" s="106"/>
      <c r="AI47" s="106"/>
    </row>
    <row r="48" spans="1:35" s="435" customFormat="1">
      <c r="I48" s="435" t="s">
        <v>259</v>
      </c>
      <c r="J48" s="435" t="s">
        <v>2840</v>
      </c>
      <c r="AC48" s="435" t="s">
        <v>965</v>
      </c>
      <c r="AE48" s="106"/>
      <c r="AF48" s="106"/>
      <c r="AG48" s="106"/>
      <c r="AH48" s="106"/>
      <c r="AI48" s="106"/>
    </row>
    <row r="49" spans="1:35" s="435" customFormat="1">
      <c r="I49" s="435" t="s">
        <v>259</v>
      </c>
      <c r="J49" s="435" t="s">
        <v>2843</v>
      </c>
      <c r="AC49" s="435" t="s">
        <v>965</v>
      </c>
      <c r="AE49" s="106"/>
      <c r="AF49" s="106"/>
      <c r="AG49" s="106"/>
      <c r="AH49" s="106"/>
      <c r="AI49" s="106"/>
    </row>
    <row r="50" spans="1:35" s="435" customFormat="1"/>
    <row r="51" spans="1:35" s="435" customFormat="1">
      <c r="I51" s="435" t="s">
        <v>259</v>
      </c>
      <c r="J51" s="435" t="s">
        <v>2841</v>
      </c>
      <c r="AC51" s="435" t="s">
        <v>965</v>
      </c>
      <c r="AE51" s="106"/>
      <c r="AF51" s="106"/>
      <c r="AG51" s="106"/>
      <c r="AH51" s="106"/>
      <c r="AI51" s="106"/>
    </row>
    <row r="52" spans="1:35" s="435" customFormat="1">
      <c r="I52" s="435" t="s">
        <v>259</v>
      </c>
      <c r="J52" s="435" t="s">
        <v>2842</v>
      </c>
      <c r="AC52" s="435" t="s">
        <v>965</v>
      </c>
      <c r="AE52" s="106"/>
      <c r="AF52" s="106"/>
      <c r="AG52" s="106"/>
      <c r="AH52" s="106"/>
      <c r="AI52" s="106"/>
    </row>
    <row r="53" spans="1:35" s="435" customFormat="1">
      <c r="I53" s="435" t="s">
        <v>259</v>
      </c>
      <c r="J53" s="435" t="s">
        <v>2844</v>
      </c>
      <c r="AC53" s="435" t="s">
        <v>965</v>
      </c>
      <c r="AE53" s="106"/>
      <c r="AF53" s="106"/>
      <c r="AG53" s="106"/>
      <c r="AH53" s="106"/>
      <c r="AI53" s="106"/>
    </row>
    <row r="54" spans="1:35" s="435" customFormat="1"/>
    <row r="55" spans="1:35" s="435" customFormat="1">
      <c r="I55" s="435" t="s">
        <v>259</v>
      </c>
      <c r="J55" s="435" t="s">
        <v>2838</v>
      </c>
      <c r="AC55" s="435" t="s">
        <v>2755</v>
      </c>
      <c r="AE55" s="106"/>
      <c r="AF55" s="106"/>
      <c r="AG55" s="106"/>
      <c r="AH55" s="106"/>
      <c r="AI55" s="106"/>
    </row>
    <row r="56" spans="1:35" s="435" customFormat="1">
      <c r="I56" s="435" t="s">
        <v>259</v>
      </c>
      <c r="J56" s="435" t="s">
        <v>2839</v>
      </c>
      <c r="AC56" s="435" t="s">
        <v>2755</v>
      </c>
      <c r="AE56" s="106"/>
      <c r="AF56" s="106"/>
      <c r="AG56" s="106"/>
      <c r="AH56" s="106"/>
      <c r="AI56" s="106"/>
    </row>
    <row r="57" spans="1:35" s="435" customFormat="1">
      <c r="I57" s="435" t="s">
        <v>259</v>
      </c>
      <c r="J57" s="435" t="s">
        <v>2840</v>
      </c>
      <c r="AC57" s="435" t="s">
        <v>2755</v>
      </c>
      <c r="AE57" s="106"/>
      <c r="AF57" s="106"/>
      <c r="AG57" s="106"/>
      <c r="AH57" s="106"/>
      <c r="AI57" s="106"/>
    </row>
    <row r="58" spans="1:35" s="435" customFormat="1">
      <c r="I58" s="435" t="s">
        <v>259</v>
      </c>
      <c r="J58" s="435" t="s">
        <v>2843</v>
      </c>
      <c r="AC58" s="435" t="s">
        <v>2755</v>
      </c>
      <c r="AE58" s="106"/>
      <c r="AF58" s="106"/>
      <c r="AG58" s="106"/>
      <c r="AH58" s="106"/>
      <c r="AI58" s="106"/>
    </row>
    <row r="59" spans="1:35" s="435" customFormat="1"/>
    <row r="60" spans="1:35" s="435" customFormat="1">
      <c r="I60" s="435" t="s">
        <v>259</v>
      </c>
      <c r="J60" s="435" t="s">
        <v>2841</v>
      </c>
      <c r="AC60" s="435" t="s">
        <v>2755</v>
      </c>
      <c r="AE60" s="106"/>
      <c r="AF60" s="106"/>
      <c r="AG60" s="106"/>
      <c r="AH60" s="106"/>
      <c r="AI60" s="106"/>
    </row>
    <row r="61" spans="1:35" s="435" customFormat="1">
      <c r="I61" s="435" t="s">
        <v>259</v>
      </c>
      <c r="J61" s="435" t="s">
        <v>2842</v>
      </c>
      <c r="AC61" s="435" t="s">
        <v>2755</v>
      </c>
      <c r="AE61" s="106"/>
      <c r="AF61" s="106"/>
      <c r="AG61" s="106"/>
      <c r="AH61" s="106"/>
      <c r="AI61" s="106"/>
    </row>
    <row r="62" spans="1:35" s="435" customFormat="1">
      <c r="I62" s="435" t="s">
        <v>259</v>
      </c>
      <c r="J62" s="435" t="s">
        <v>2844</v>
      </c>
      <c r="AC62" s="435" t="s">
        <v>2755</v>
      </c>
      <c r="AE62" s="106"/>
      <c r="AF62" s="106"/>
      <c r="AG62" s="106"/>
      <c r="AH62" s="106"/>
      <c r="AI62" s="106"/>
    </row>
    <row r="63" spans="1:35" s="435" customFormat="1"/>
    <row r="64" spans="1:35" s="1" customFormat="1" ht="13.9">
      <c r="A64" s="66"/>
      <c r="B64" s="78" t="s">
        <v>2854</v>
      </c>
    </row>
    <row r="65" spans="1:35" s="435" customFormat="1"/>
    <row r="66" spans="1:35" s="435" customFormat="1">
      <c r="J66" s="57" t="s">
        <v>1406</v>
      </c>
      <c r="AC66" s="435" t="s">
        <v>965</v>
      </c>
      <c r="AE66" s="106"/>
      <c r="AF66" s="106"/>
      <c r="AG66" s="106"/>
      <c r="AH66" s="106"/>
      <c r="AI66" s="106"/>
    </row>
    <row r="67" spans="1:35" s="435" customFormat="1">
      <c r="J67" s="57" t="s">
        <v>1407</v>
      </c>
      <c r="AC67" s="435" t="s">
        <v>965</v>
      </c>
      <c r="AE67" s="106"/>
      <c r="AF67" s="106"/>
      <c r="AG67" s="106"/>
      <c r="AH67" s="106"/>
      <c r="AI67" s="106"/>
    </row>
    <row r="68" spans="1:35" s="435" customFormat="1">
      <c r="J68" s="57" t="s">
        <v>1408</v>
      </c>
      <c r="AC68" s="435" t="s">
        <v>965</v>
      </c>
      <c r="AE68" s="106"/>
      <c r="AF68" s="106"/>
      <c r="AG68" s="106"/>
      <c r="AH68" s="106"/>
      <c r="AI68" s="106"/>
    </row>
    <row r="69" spans="1:35" s="435" customFormat="1"/>
    <row r="70" spans="1:35" s="1" customFormat="1" ht="13.9">
      <c r="A70" s="66"/>
      <c r="B70" s="78" t="s">
        <v>2849</v>
      </c>
    </row>
    <row r="71" spans="1:35" s="435" customFormat="1"/>
    <row r="72" spans="1:35" s="435" customFormat="1">
      <c r="J72" s="435" t="s">
        <v>2850</v>
      </c>
      <c r="AC72" s="435" t="s">
        <v>965</v>
      </c>
      <c r="AE72" s="106"/>
      <c r="AF72" s="106"/>
      <c r="AG72" s="106"/>
      <c r="AH72" s="106"/>
      <c r="AI72" s="106"/>
    </row>
    <row r="73" spans="1:35" s="435" customFormat="1">
      <c r="J73" s="435" t="s">
        <v>2851</v>
      </c>
      <c r="AC73" s="435" t="s">
        <v>965</v>
      </c>
      <c r="AE73" s="106"/>
      <c r="AF73" s="106"/>
      <c r="AG73" s="106"/>
      <c r="AH73" s="106"/>
      <c r="AI73" s="106"/>
    </row>
    <row r="74" spans="1:35" s="435" customFormat="1">
      <c r="J74" s="435" t="s">
        <v>2852</v>
      </c>
      <c r="AC74" s="435" t="s">
        <v>965</v>
      </c>
      <c r="AE74" s="106"/>
      <c r="AF74" s="106"/>
      <c r="AG74" s="106"/>
      <c r="AH74" s="106"/>
      <c r="AI74" s="106"/>
    </row>
    <row r="75" spans="1:35" s="435" customFormat="1"/>
    <row r="76" spans="1:35" s="73" customFormat="1" ht="18">
      <c r="A76" s="74" t="s">
        <v>76</v>
      </c>
    </row>
    <row r="77" spans="1:35" s="435" customFormat="1"/>
    <row r="78" spans="1:35" s="435" customFormat="1"/>
    <row r="79" spans="1:35" s="435" customFormat="1"/>
    <row r="80" spans="1:35" s="435" customFormat="1">
      <c r="J80" s="918"/>
    </row>
    <row r="81" spans="10:10" s="435" customFormat="1"/>
    <row r="82" spans="10:10" s="435" customFormat="1">
      <c r="J82" s="918"/>
    </row>
    <row r="83" spans="10:10" s="435" customFormat="1"/>
    <row r="84" spans="10:10" s="435" customFormat="1"/>
    <row r="85" spans="10:10" s="435" customFormat="1"/>
    <row r="86" spans="10:10" s="435" customFormat="1"/>
    <row r="87" spans="10:10" s="435" customFormat="1"/>
  </sheetData>
  <mergeCells count="2">
    <mergeCell ref="AJ6:AN6"/>
    <mergeCell ref="AE6:AI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rgb="FFFF9900"/>
  </sheetPr>
  <dimension ref="A1:AP105"/>
  <sheetViews>
    <sheetView zoomScale="80" zoomScaleNormal="80" workbookViewId="0">
      <pane ySplit="8" topLeftCell="A9" activePane="bottomLeft" state="frozen"/>
      <selection pane="bottomLeft"/>
    </sheetView>
  </sheetViews>
  <sheetFormatPr defaultRowHeight="14.25"/>
  <cols>
    <col min="1" max="15" width="1.73046875" customWidth="1"/>
    <col min="16" max="16" width="26.59765625" bestFit="1" customWidth="1"/>
    <col min="17" max="28" width="1.73046875" hidden="1" customWidth="1"/>
    <col min="29" max="29" width="9.1328125" customWidth="1"/>
    <col min="30" max="30" width="7.73046875" customWidth="1"/>
  </cols>
  <sheetData>
    <row r="1" spans="1:42" s="73" customFormat="1" ht="23.25">
      <c r="A1" s="89" t="str">
        <f>'1.1 Cover'!A2</f>
        <v>Regulatory Reporting Pack</v>
      </c>
    </row>
    <row r="2" spans="1:42" s="73" customFormat="1" ht="23.25">
      <c r="A2" s="89" t="str">
        <f>'1.1 Cover'!A3</f>
        <v>Price base - 2018/19</v>
      </c>
    </row>
    <row r="3" spans="1:42" s="73" customFormat="1" ht="23.25">
      <c r="A3" s="89" t="str">
        <f>'1.1 Cover'!A4</f>
        <v>Regulatory Year: April 2021 - March 2022</v>
      </c>
    </row>
    <row r="4" spans="1:42" s="73" customFormat="1" ht="23.25">
      <c r="A4" s="89" t="s">
        <v>183</v>
      </c>
    </row>
    <row r="6" spans="1:42">
      <c r="AD6" s="435"/>
      <c r="AE6" s="1347">
        <v>2022</v>
      </c>
      <c r="AF6" s="1348"/>
      <c r="AG6" s="1348"/>
      <c r="AH6" s="1348"/>
      <c r="AI6" s="1348"/>
      <c r="AJ6" s="1348"/>
      <c r="AK6" s="1348"/>
      <c r="AL6" s="1348"/>
      <c r="AM6" s="1348"/>
      <c r="AN6" s="1348"/>
      <c r="AO6" s="1348"/>
      <c r="AP6" s="1349"/>
    </row>
    <row r="7" spans="1:42" s="67" customFormat="1">
      <c r="D7" s="87"/>
      <c r="E7" s="87"/>
      <c r="F7" s="87"/>
      <c r="G7" s="87"/>
      <c r="H7" s="87"/>
      <c r="I7" s="87"/>
      <c r="J7" s="87"/>
      <c r="K7" s="87"/>
      <c r="L7" s="87"/>
      <c r="M7" s="87"/>
      <c r="N7" s="87"/>
      <c r="O7" s="87"/>
      <c r="P7" s="86"/>
      <c r="Q7" s="86" t="s">
        <v>100</v>
      </c>
      <c r="R7" s="86" t="s">
        <v>99</v>
      </c>
      <c r="S7" s="86" t="s">
        <v>98</v>
      </c>
      <c r="T7" s="86" t="s">
        <v>97</v>
      </c>
      <c r="U7" s="86" t="s">
        <v>96</v>
      </c>
      <c r="V7" s="86" t="s">
        <v>95</v>
      </c>
      <c r="W7" s="86" t="s">
        <v>94</v>
      </c>
      <c r="X7" s="86" t="s">
        <v>93</v>
      </c>
      <c r="Y7" s="86" t="s">
        <v>92</v>
      </c>
      <c r="Z7" s="86" t="s">
        <v>91</v>
      </c>
      <c r="AA7" s="86" t="s">
        <v>90</v>
      </c>
      <c r="AB7" s="86" t="s">
        <v>89</v>
      </c>
      <c r="AC7" s="67" t="s">
        <v>5</v>
      </c>
      <c r="AE7" s="84" t="s">
        <v>870</v>
      </c>
      <c r="AF7" s="83" t="s">
        <v>871</v>
      </c>
      <c r="AG7" s="83" t="s">
        <v>872</v>
      </c>
      <c r="AH7" s="83" t="s">
        <v>873</v>
      </c>
      <c r="AI7" s="83" t="s">
        <v>874</v>
      </c>
      <c r="AJ7" s="104" t="s">
        <v>875</v>
      </c>
      <c r="AK7" s="104" t="s">
        <v>876</v>
      </c>
      <c r="AL7" s="104" t="s">
        <v>877</v>
      </c>
      <c r="AM7" s="104" t="s">
        <v>878</v>
      </c>
      <c r="AN7" s="104" t="s">
        <v>879</v>
      </c>
      <c r="AO7" s="104" t="s">
        <v>880</v>
      </c>
      <c r="AP7" s="105" t="s">
        <v>881</v>
      </c>
    </row>
    <row r="8" spans="1:42">
      <c r="P8" s="67"/>
      <c r="Q8" s="67"/>
      <c r="R8" s="67"/>
      <c r="S8" s="67"/>
      <c r="T8" s="67"/>
      <c r="U8" s="67"/>
      <c r="V8" s="67"/>
    </row>
    <row r="9" spans="1:42" s="1" customFormat="1" ht="17.649999999999999">
      <c r="B9" s="2"/>
    </row>
    <row r="11" spans="1:42" s="1" customFormat="1" ht="13.9">
      <c r="A11" s="66"/>
      <c r="B11" s="78" t="s">
        <v>882</v>
      </c>
    </row>
    <row r="12" spans="1:42">
      <c r="P12" t="s">
        <v>883</v>
      </c>
    </row>
    <row r="13" spans="1:42">
      <c r="P13" t="s">
        <v>884</v>
      </c>
      <c r="V13" s="99"/>
      <c r="AC13" t="s">
        <v>869</v>
      </c>
      <c r="AE13" s="106"/>
      <c r="AF13" s="106"/>
      <c r="AG13" s="106"/>
      <c r="AH13" s="106"/>
      <c r="AI13" s="106"/>
      <c r="AJ13" s="106"/>
      <c r="AK13" s="106"/>
      <c r="AL13" s="106"/>
      <c r="AM13" s="106"/>
      <c r="AN13" s="106"/>
      <c r="AO13" s="106"/>
      <c r="AP13" s="106"/>
    </row>
    <row r="14" spans="1:42">
      <c r="P14" t="s">
        <v>885</v>
      </c>
      <c r="V14" s="99"/>
      <c r="AC14" t="s">
        <v>869</v>
      </c>
      <c r="AE14" s="106"/>
      <c r="AF14" s="106"/>
      <c r="AG14" s="106"/>
      <c r="AH14" s="106"/>
      <c r="AI14" s="106"/>
      <c r="AJ14" s="106"/>
      <c r="AK14" s="106"/>
      <c r="AL14" s="106"/>
      <c r="AM14" s="106"/>
      <c r="AN14" s="106"/>
      <c r="AO14" s="106"/>
      <c r="AP14" s="106"/>
    </row>
    <row r="15" spans="1:42">
      <c r="P15" t="s">
        <v>886</v>
      </c>
      <c r="V15" s="99"/>
      <c r="AC15" t="s">
        <v>869</v>
      </c>
      <c r="AE15" s="106"/>
      <c r="AF15" s="106"/>
      <c r="AG15" s="106"/>
      <c r="AH15" s="106"/>
      <c r="AI15" s="106"/>
      <c r="AJ15" s="106"/>
      <c r="AK15" s="106"/>
      <c r="AL15" s="106"/>
      <c r="AM15" s="106"/>
      <c r="AN15" s="106"/>
      <c r="AO15" s="106"/>
      <c r="AP15" s="106"/>
    </row>
    <row r="16" spans="1:42">
      <c r="P16" t="s">
        <v>887</v>
      </c>
      <c r="V16" s="99"/>
      <c r="AC16" t="s">
        <v>869</v>
      </c>
      <c r="AE16" s="106"/>
      <c r="AF16" s="106"/>
      <c r="AG16" s="106"/>
      <c r="AH16" s="106"/>
      <c r="AI16" s="106"/>
      <c r="AJ16" s="106"/>
      <c r="AK16" s="106"/>
      <c r="AL16" s="106"/>
      <c r="AM16" s="106"/>
      <c r="AN16" s="106"/>
      <c r="AO16" s="106"/>
      <c r="AP16" s="106"/>
    </row>
    <row r="17" spans="16:42">
      <c r="P17" t="s">
        <v>298</v>
      </c>
      <c r="V17" s="99"/>
      <c r="AC17" t="s">
        <v>869</v>
      </c>
      <c r="AE17" s="106"/>
      <c r="AF17" s="106"/>
      <c r="AG17" s="106"/>
      <c r="AH17" s="106"/>
      <c r="AI17" s="106"/>
      <c r="AJ17" s="106"/>
      <c r="AK17" s="106"/>
      <c r="AL17" s="106"/>
      <c r="AM17" s="106"/>
      <c r="AN17" s="106"/>
      <c r="AO17" s="106"/>
      <c r="AP17" s="106"/>
    </row>
    <row r="18" spans="16:42">
      <c r="P18" t="s">
        <v>888</v>
      </c>
      <c r="V18" s="99"/>
      <c r="AC18" t="s">
        <v>869</v>
      </c>
      <c r="AE18" s="106"/>
      <c r="AF18" s="106"/>
      <c r="AG18" s="106"/>
      <c r="AH18" s="106"/>
      <c r="AI18" s="106"/>
      <c r="AJ18" s="106"/>
      <c r="AK18" s="106"/>
      <c r="AL18" s="106"/>
      <c r="AM18" s="106"/>
      <c r="AN18" s="106"/>
      <c r="AO18" s="106"/>
      <c r="AP18" s="106"/>
    </row>
    <row r="19" spans="16:42">
      <c r="P19" t="s">
        <v>889</v>
      </c>
      <c r="V19" s="99"/>
      <c r="AC19" t="s">
        <v>869</v>
      </c>
      <c r="AE19" s="106"/>
      <c r="AF19" s="106"/>
      <c r="AG19" s="106"/>
      <c r="AH19" s="106"/>
      <c r="AI19" s="106"/>
      <c r="AJ19" s="106"/>
      <c r="AK19" s="106"/>
      <c r="AL19" s="106"/>
      <c r="AM19" s="106"/>
      <c r="AN19" s="106"/>
      <c r="AO19" s="106"/>
      <c r="AP19" s="106"/>
    </row>
    <row r="20" spans="16:42">
      <c r="P20" t="s">
        <v>890</v>
      </c>
      <c r="V20" s="99"/>
      <c r="AC20" t="s">
        <v>869</v>
      </c>
      <c r="AE20" s="106"/>
      <c r="AF20" s="106"/>
      <c r="AG20" s="106"/>
      <c r="AH20" s="106"/>
      <c r="AI20" s="106"/>
      <c r="AJ20" s="106"/>
      <c r="AK20" s="106"/>
      <c r="AL20" s="106"/>
      <c r="AM20" s="106"/>
      <c r="AN20" s="106"/>
      <c r="AO20" s="106"/>
      <c r="AP20" s="106"/>
    </row>
    <row r="21" spans="16:42">
      <c r="P21" t="s">
        <v>891</v>
      </c>
      <c r="V21" s="99"/>
      <c r="AC21" t="s">
        <v>869</v>
      </c>
      <c r="AE21" s="106"/>
      <c r="AF21" s="106"/>
      <c r="AG21" s="106"/>
      <c r="AH21" s="106"/>
      <c r="AI21" s="106"/>
      <c r="AJ21" s="106"/>
      <c r="AK21" s="106"/>
      <c r="AL21" s="106"/>
      <c r="AM21" s="106"/>
      <c r="AN21" s="106"/>
      <c r="AO21" s="106"/>
      <c r="AP21" s="106"/>
    </row>
    <row r="22" spans="16:42">
      <c r="P22" t="s">
        <v>892</v>
      </c>
      <c r="V22" s="99"/>
      <c r="AC22" t="s">
        <v>869</v>
      </c>
      <c r="AE22" s="106"/>
      <c r="AF22" s="106"/>
      <c r="AG22" s="106"/>
      <c r="AH22" s="106"/>
      <c r="AI22" s="106"/>
      <c r="AJ22" s="106"/>
      <c r="AK22" s="106"/>
      <c r="AL22" s="106"/>
      <c r="AM22" s="106"/>
      <c r="AN22" s="106"/>
      <c r="AO22" s="106"/>
      <c r="AP22" s="106"/>
    </row>
    <row r="23" spans="16:42">
      <c r="P23" t="s">
        <v>893</v>
      </c>
      <c r="V23" s="99"/>
      <c r="AC23" t="s">
        <v>869</v>
      </c>
      <c r="AE23" s="106"/>
      <c r="AF23" s="106"/>
      <c r="AG23" s="106"/>
      <c r="AH23" s="106"/>
      <c r="AI23" s="106"/>
      <c r="AJ23" s="106"/>
      <c r="AK23" s="106"/>
      <c r="AL23" s="106"/>
      <c r="AM23" s="106"/>
      <c r="AN23" s="106"/>
      <c r="AO23" s="106"/>
      <c r="AP23" s="106"/>
    </row>
    <row r="24" spans="16:42">
      <c r="P24" t="s">
        <v>894</v>
      </c>
      <c r="V24" s="99"/>
      <c r="AC24" t="s">
        <v>869</v>
      </c>
      <c r="AE24" s="106"/>
      <c r="AF24" s="106"/>
      <c r="AG24" s="106"/>
      <c r="AH24" s="106"/>
      <c r="AI24" s="106"/>
      <c r="AJ24" s="106"/>
      <c r="AK24" s="106"/>
      <c r="AL24" s="106"/>
      <c r="AM24" s="106"/>
      <c r="AN24" s="106"/>
      <c r="AO24" s="106"/>
      <c r="AP24" s="106"/>
    </row>
    <row r="25" spans="16:42">
      <c r="P25" t="s">
        <v>895</v>
      </c>
      <c r="V25" s="99"/>
      <c r="AC25" t="s">
        <v>869</v>
      </c>
      <c r="AE25" s="106"/>
      <c r="AF25" s="106"/>
      <c r="AG25" s="106"/>
      <c r="AH25" s="106"/>
      <c r="AI25" s="106"/>
      <c r="AJ25" s="106"/>
      <c r="AK25" s="106"/>
      <c r="AL25" s="106"/>
      <c r="AM25" s="106"/>
      <c r="AN25" s="106"/>
      <c r="AO25" s="106"/>
      <c r="AP25" s="106"/>
    </row>
    <row r="26" spans="16:42">
      <c r="P26" t="s">
        <v>896</v>
      </c>
      <c r="V26" s="99"/>
      <c r="AC26" t="s">
        <v>869</v>
      </c>
      <c r="AE26" s="106"/>
      <c r="AF26" s="106"/>
      <c r="AG26" s="106"/>
      <c r="AH26" s="106"/>
      <c r="AI26" s="106"/>
      <c r="AJ26" s="106"/>
      <c r="AK26" s="106"/>
      <c r="AL26" s="106"/>
      <c r="AM26" s="106"/>
      <c r="AN26" s="106"/>
      <c r="AO26" s="106"/>
      <c r="AP26" s="106"/>
    </row>
    <row r="27" spans="16:42">
      <c r="P27" t="s">
        <v>897</v>
      </c>
      <c r="V27" s="99"/>
      <c r="AC27" t="s">
        <v>869</v>
      </c>
      <c r="AE27" s="106"/>
      <c r="AF27" s="106"/>
      <c r="AG27" s="106"/>
      <c r="AH27" s="106"/>
      <c r="AI27" s="106"/>
      <c r="AJ27" s="106"/>
      <c r="AK27" s="106"/>
      <c r="AL27" s="106"/>
      <c r="AM27" s="106"/>
      <c r="AN27" s="106"/>
      <c r="AO27" s="106"/>
      <c r="AP27" s="106"/>
    </row>
    <row r="28" spans="16:42">
      <c r="P28" t="s">
        <v>898</v>
      </c>
      <c r="V28" s="99"/>
      <c r="AC28" t="s">
        <v>869</v>
      </c>
      <c r="AE28" s="106"/>
      <c r="AF28" s="106"/>
      <c r="AG28" s="106"/>
      <c r="AH28" s="106"/>
      <c r="AI28" s="106"/>
      <c r="AJ28" s="106"/>
      <c r="AK28" s="106"/>
      <c r="AL28" s="106"/>
      <c r="AM28" s="106"/>
      <c r="AN28" s="106"/>
      <c r="AO28" s="106"/>
      <c r="AP28" s="106"/>
    </row>
    <row r="29" spans="16:42">
      <c r="P29" t="s">
        <v>899</v>
      </c>
      <c r="V29" s="99"/>
      <c r="AC29" t="s">
        <v>869</v>
      </c>
      <c r="AE29" s="106"/>
      <c r="AF29" s="106"/>
      <c r="AG29" s="106"/>
      <c r="AH29" s="106"/>
      <c r="AI29" s="106"/>
      <c r="AJ29" s="106"/>
      <c r="AK29" s="106"/>
      <c r="AL29" s="106"/>
      <c r="AM29" s="106"/>
      <c r="AN29" s="106"/>
      <c r="AO29" s="106"/>
      <c r="AP29" s="106"/>
    </row>
    <row r="30" spans="16:42">
      <c r="P30" t="s">
        <v>900</v>
      </c>
      <c r="V30" s="99"/>
      <c r="AC30" t="s">
        <v>869</v>
      </c>
      <c r="AE30" s="106"/>
      <c r="AF30" s="106"/>
      <c r="AG30" s="106"/>
      <c r="AH30" s="106"/>
      <c r="AI30" s="106"/>
      <c r="AJ30" s="106"/>
      <c r="AK30" s="106"/>
      <c r="AL30" s="106"/>
      <c r="AM30" s="106"/>
      <c r="AN30" s="106"/>
      <c r="AO30" s="106"/>
      <c r="AP30" s="106"/>
    </row>
    <row r="31" spans="16:42">
      <c r="P31" t="s">
        <v>901</v>
      </c>
      <c r="V31" s="99"/>
      <c r="AC31" t="s">
        <v>869</v>
      </c>
      <c r="AE31" s="106"/>
      <c r="AF31" s="106"/>
      <c r="AG31" s="106"/>
      <c r="AH31" s="106"/>
      <c r="AI31" s="106"/>
      <c r="AJ31" s="106"/>
      <c r="AK31" s="106"/>
      <c r="AL31" s="106"/>
      <c r="AM31" s="106"/>
      <c r="AN31" s="106"/>
      <c r="AO31" s="106"/>
      <c r="AP31" s="106"/>
    </row>
    <row r="32" spans="16:42">
      <c r="P32" t="s">
        <v>902</v>
      </c>
      <c r="V32" s="99"/>
      <c r="AC32" t="s">
        <v>869</v>
      </c>
      <c r="AE32" s="106"/>
      <c r="AF32" s="106"/>
      <c r="AG32" s="106"/>
      <c r="AH32" s="106"/>
      <c r="AI32" s="106"/>
      <c r="AJ32" s="106"/>
      <c r="AK32" s="106"/>
      <c r="AL32" s="106"/>
      <c r="AM32" s="106"/>
      <c r="AN32" s="106"/>
      <c r="AO32" s="106"/>
      <c r="AP32" s="106"/>
    </row>
    <row r="33" spans="1:42">
      <c r="P33" t="s">
        <v>903</v>
      </c>
      <c r="V33" s="99"/>
      <c r="AC33" t="s">
        <v>869</v>
      </c>
      <c r="AE33" s="106"/>
      <c r="AF33" s="106"/>
      <c r="AG33" s="106"/>
      <c r="AH33" s="106"/>
      <c r="AI33" s="106"/>
      <c r="AJ33" s="106"/>
      <c r="AK33" s="106"/>
      <c r="AL33" s="106"/>
      <c r="AM33" s="106"/>
      <c r="AN33" s="106"/>
      <c r="AO33" s="106"/>
      <c r="AP33" s="106"/>
    </row>
    <row r="34" spans="1:42">
      <c r="P34" t="s">
        <v>904</v>
      </c>
      <c r="V34" s="99"/>
      <c r="AC34" t="s">
        <v>869</v>
      </c>
      <c r="AE34" s="106"/>
      <c r="AF34" s="106"/>
      <c r="AG34" s="106"/>
      <c r="AH34" s="106"/>
      <c r="AI34" s="106"/>
      <c r="AJ34" s="106"/>
      <c r="AK34" s="106"/>
      <c r="AL34" s="106"/>
      <c r="AM34" s="106"/>
      <c r="AN34" s="106"/>
      <c r="AO34" s="106"/>
      <c r="AP34" s="106"/>
    </row>
    <row r="35" spans="1:42">
      <c r="P35" t="s">
        <v>905</v>
      </c>
      <c r="V35" s="99"/>
      <c r="AC35" t="s">
        <v>869</v>
      </c>
      <c r="AE35" s="106"/>
      <c r="AF35" s="106"/>
      <c r="AG35" s="106"/>
      <c r="AH35" s="106"/>
      <c r="AI35" s="106"/>
      <c r="AJ35" s="106"/>
      <c r="AK35" s="106"/>
      <c r="AL35" s="106"/>
      <c r="AM35" s="106"/>
      <c r="AN35" s="106"/>
      <c r="AO35" s="106"/>
      <c r="AP35" s="106"/>
    </row>
    <row r="36" spans="1:42">
      <c r="P36" t="s">
        <v>906</v>
      </c>
      <c r="V36" s="99"/>
      <c r="AC36" t="s">
        <v>869</v>
      </c>
      <c r="AE36" s="106"/>
      <c r="AF36" s="106"/>
      <c r="AG36" s="106"/>
      <c r="AH36" s="106"/>
      <c r="AI36" s="106"/>
      <c r="AJ36" s="106"/>
      <c r="AK36" s="106"/>
      <c r="AL36" s="106"/>
      <c r="AM36" s="106"/>
      <c r="AN36" s="106"/>
      <c r="AO36" s="106"/>
      <c r="AP36" s="106"/>
    </row>
    <row r="37" spans="1:42">
      <c r="P37" t="s">
        <v>907</v>
      </c>
      <c r="V37" s="99"/>
      <c r="AC37" t="s">
        <v>869</v>
      </c>
      <c r="AE37" s="106"/>
      <c r="AF37" s="106"/>
      <c r="AG37" s="106"/>
      <c r="AH37" s="106"/>
      <c r="AI37" s="106"/>
      <c r="AJ37" s="106"/>
      <c r="AK37" s="106"/>
      <c r="AL37" s="106"/>
      <c r="AM37" s="106"/>
      <c r="AN37" s="106"/>
      <c r="AO37" s="106"/>
      <c r="AP37" s="106"/>
    </row>
    <row r="38" spans="1:42">
      <c r="P38" t="s">
        <v>908</v>
      </c>
      <c r="V38" s="99"/>
      <c r="AC38" t="s">
        <v>869</v>
      </c>
      <c r="AE38" s="106"/>
      <c r="AF38" s="106"/>
      <c r="AG38" s="106"/>
      <c r="AH38" s="106"/>
      <c r="AI38" s="106"/>
      <c r="AJ38" s="106"/>
      <c r="AK38" s="106"/>
      <c r="AL38" s="106"/>
      <c r="AM38" s="106"/>
      <c r="AN38" s="106"/>
      <c r="AO38" s="106"/>
      <c r="AP38" s="106"/>
    </row>
    <row r="39" spans="1:42">
      <c r="P39" t="s">
        <v>909</v>
      </c>
      <c r="V39" s="99"/>
      <c r="AC39" t="s">
        <v>869</v>
      </c>
      <c r="AE39" s="106"/>
      <c r="AF39" s="106"/>
      <c r="AG39" s="106"/>
      <c r="AH39" s="106"/>
      <c r="AI39" s="106"/>
      <c r="AJ39" s="106"/>
      <c r="AK39" s="106"/>
      <c r="AL39" s="106"/>
      <c r="AM39" s="106"/>
      <c r="AN39" s="106"/>
      <c r="AO39" s="106"/>
      <c r="AP39" s="106"/>
    </row>
    <row r="40" spans="1:42">
      <c r="P40" t="s">
        <v>910</v>
      </c>
      <c r="V40" s="99"/>
      <c r="AC40" t="s">
        <v>869</v>
      </c>
      <c r="AE40" s="106"/>
      <c r="AF40" s="106"/>
      <c r="AG40" s="106"/>
      <c r="AH40" s="106"/>
      <c r="AI40" s="106"/>
      <c r="AJ40" s="106"/>
      <c r="AK40" s="106"/>
      <c r="AL40" s="106"/>
      <c r="AM40" s="106"/>
      <c r="AN40" s="106"/>
      <c r="AO40" s="106"/>
      <c r="AP40" s="106"/>
    </row>
    <row r="41" spans="1:42">
      <c r="P41" t="s">
        <v>911</v>
      </c>
      <c r="V41" s="99"/>
      <c r="AC41" t="s">
        <v>869</v>
      </c>
      <c r="AE41" s="106"/>
      <c r="AF41" s="106"/>
      <c r="AG41" s="106"/>
      <c r="AH41" s="106"/>
      <c r="AI41" s="106"/>
      <c r="AJ41" s="106"/>
      <c r="AK41" s="106"/>
      <c r="AL41" s="106"/>
      <c r="AM41" s="106"/>
      <c r="AN41" s="106"/>
      <c r="AO41" s="106"/>
      <c r="AP41" s="106"/>
    </row>
    <row r="42" spans="1:42">
      <c r="P42" t="s">
        <v>912</v>
      </c>
      <c r="AC42" t="s">
        <v>869</v>
      </c>
      <c r="AE42" s="106"/>
      <c r="AF42" s="106"/>
      <c r="AG42" s="106"/>
      <c r="AH42" s="106"/>
      <c r="AI42" s="106"/>
      <c r="AJ42" s="106"/>
      <c r="AK42" s="106"/>
      <c r="AL42" s="106"/>
      <c r="AM42" s="106"/>
      <c r="AN42" s="106"/>
      <c r="AO42" s="106"/>
      <c r="AP42" s="106"/>
    </row>
    <row r="43" spans="1:42">
      <c r="AE43" s="107"/>
      <c r="AF43" s="107"/>
      <c r="AG43" s="107"/>
      <c r="AH43" s="107"/>
      <c r="AI43" s="107"/>
      <c r="AJ43" s="107"/>
      <c r="AK43" s="107"/>
      <c r="AL43" s="107"/>
      <c r="AM43" s="107"/>
      <c r="AN43" s="107"/>
      <c r="AO43" s="107"/>
      <c r="AP43" s="107"/>
    </row>
    <row r="44" spans="1:42" s="1" customFormat="1" ht="13.9">
      <c r="A44" s="66"/>
      <c r="B44" s="78" t="s">
        <v>913</v>
      </c>
      <c r="AE44" s="108"/>
      <c r="AF44" s="108"/>
      <c r="AG44" s="108"/>
      <c r="AH44" s="108"/>
      <c r="AI44" s="108"/>
      <c r="AJ44" s="108"/>
      <c r="AK44" s="108"/>
      <c r="AL44" s="108"/>
      <c r="AM44" s="108"/>
      <c r="AN44" s="108"/>
      <c r="AO44" s="108"/>
      <c r="AP44" s="108"/>
    </row>
    <row r="45" spans="1:42">
      <c r="AE45" s="107"/>
      <c r="AF45" s="107"/>
      <c r="AG45" s="107"/>
      <c r="AH45" s="107"/>
      <c r="AI45" s="107"/>
      <c r="AJ45" s="107"/>
      <c r="AK45" s="107"/>
      <c r="AL45" s="107"/>
      <c r="AM45" s="107"/>
      <c r="AN45" s="107"/>
      <c r="AO45" s="107"/>
      <c r="AP45" s="107"/>
    </row>
    <row r="46" spans="1:42">
      <c r="P46" t="s">
        <v>914</v>
      </c>
      <c r="V46" s="99"/>
      <c r="AC46" t="s">
        <v>869</v>
      </c>
      <c r="AE46" s="106"/>
      <c r="AF46" s="106"/>
      <c r="AG46" s="106"/>
      <c r="AH46" s="106"/>
      <c r="AI46" s="106"/>
      <c r="AJ46" s="106"/>
      <c r="AK46" s="106"/>
      <c r="AL46" s="106"/>
      <c r="AM46" s="106"/>
      <c r="AN46" s="106"/>
      <c r="AO46" s="106"/>
      <c r="AP46" s="106"/>
    </row>
    <row r="47" spans="1:42">
      <c r="P47" t="s">
        <v>915</v>
      </c>
      <c r="V47" s="99"/>
      <c r="AC47" t="s">
        <v>869</v>
      </c>
      <c r="AE47" s="106"/>
      <c r="AF47" s="106"/>
      <c r="AG47" s="106"/>
      <c r="AH47" s="106"/>
      <c r="AI47" s="106"/>
      <c r="AJ47" s="106"/>
      <c r="AK47" s="106"/>
      <c r="AL47" s="106"/>
      <c r="AM47" s="106"/>
      <c r="AN47" s="106"/>
      <c r="AO47" s="106"/>
      <c r="AP47" s="106"/>
    </row>
    <row r="48" spans="1:42">
      <c r="P48" t="s">
        <v>916</v>
      </c>
      <c r="V48" s="99"/>
      <c r="AC48" t="s">
        <v>869</v>
      </c>
      <c r="AE48" s="106"/>
      <c r="AF48" s="106"/>
      <c r="AG48" s="106"/>
      <c r="AH48" s="106"/>
      <c r="AI48" s="106"/>
      <c r="AJ48" s="106"/>
      <c r="AK48" s="106"/>
      <c r="AL48" s="106"/>
      <c r="AM48" s="106"/>
      <c r="AN48" s="106"/>
      <c r="AO48" s="106"/>
      <c r="AP48" s="106"/>
    </row>
    <row r="49" spans="1:42">
      <c r="P49" t="s">
        <v>917</v>
      </c>
      <c r="V49" s="99"/>
      <c r="AC49" t="s">
        <v>869</v>
      </c>
      <c r="AE49" s="106"/>
      <c r="AF49" s="106"/>
      <c r="AG49" s="106"/>
      <c r="AH49" s="106"/>
      <c r="AI49" s="106"/>
      <c r="AJ49" s="106"/>
      <c r="AK49" s="106"/>
      <c r="AL49" s="106"/>
      <c r="AM49" s="106"/>
      <c r="AN49" s="106"/>
      <c r="AO49" s="106"/>
      <c r="AP49" s="106"/>
    </row>
    <row r="50" spans="1:42">
      <c r="P50" t="s">
        <v>918</v>
      </c>
      <c r="V50" s="99"/>
      <c r="AC50" t="s">
        <v>869</v>
      </c>
      <c r="AE50" s="106"/>
      <c r="AF50" s="106"/>
      <c r="AG50" s="106"/>
      <c r="AH50" s="106"/>
      <c r="AI50" s="106"/>
      <c r="AJ50" s="106"/>
      <c r="AK50" s="106"/>
      <c r="AL50" s="106"/>
      <c r="AM50" s="106"/>
      <c r="AN50" s="106"/>
      <c r="AO50" s="106"/>
      <c r="AP50" s="106"/>
    </row>
    <row r="51" spans="1:42">
      <c r="P51" t="s">
        <v>919</v>
      </c>
      <c r="V51" s="99"/>
      <c r="AC51" t="s">
        <v>869</v>
      </c>
      <c r="AE51" s="106"/>
      <c r="AF51" s="106"/>
      <c r="AG51" s="106"/>
      <c r="AH51" s="106"/>
      <c r="AI51" s="106"/>
      <c r="AJ51" s="106"/>
      <c r="AK51" s="106"/>
      <c r="AL51" s="106"/>
      <c r="AM51" s="106"/>
      <c r="AN51" s="106"/>
      <c r="AO51" s="106"/>
      <c r="AP51" s="106"/>
    </row>
    <row r="52" spans="1:42">
      <c r="P52" t="s">
        <v>920</v>
      </c>
      <c r="V52" s="99"/>
      <c r="AC52" t="s">
        <v>869</v>
      </c>
      <c r="AE52" s="106"/>
      <c r="AF52" s="106"/>
      <c r="AG52" s="106"/>
      <c r="AH52" s="106"/>
      <c r="AI52" s="106"/>
      <c r="AJ52" s="106"/>
      <c r="AK52" s="106"/>
      <c r="AL52" s="106"/>
      <c r="AM52" s="106"/>
      <c r="AN52" s="106"/>
      <c r="AO52" s="106"/>
      <c r="AP52" s="106"/>
    </row>
    <row r="53" spans="1:42">
      <c r="P53" t="s">
        <v>921</v>
      </c>
      <c r="V53" s="99"/>
      <c r="AC53" t="s">
        <v>869</v>
      </c>
      <c r="AE53" s="106"/>
      <c r="AF53" s="106"/>
      <c r="AG53" s="106"/>
      <c r="AH53" s="106"/>
      <c r="AI53" s="106"/>
      <c r="AJ53" s="106"/>
      <c r="AK53" s="106"/>
      <c r="AL53" s="106"/>
      <c r="AM53" s="106"/>
      <c r="AN53" s="106"/>
      <c r="AO53" s="106"/>
      <c r="AP53" s="106"/>
    </row>
    <row r="54" spans="1:42">
      <c r="P54" t="s">
        <v>922</v>
      </c>
      <c r="V54" s="99"/>
      <c r="AC54" t="s">
        <v>869</v>
      </c>
      <c r="AE54" s="106"/>
      <c r="AF54" s="106"/>
      <c r="AG54" s="106"/>
      <c r="AH54" s="106"/>
      <c r="AI54" s="106"/>
      <c r="AJ54" s="106"/>
      <c r="AK54" s="106"/>
      <c r="AL54" s="106"/>
      <c r="AM54" s="106"/>
      <c r="AN54" s="106"/>
      <c r="AO54" s="106"/>
      <c r="AP54" s="106"/>
    </row>
    <row r="55" spans="1:42">
      <c r="P55" t="s">
        <v>923</v>
      </c>
      <c r="AC55" t="s">
        <v>869</v>
      </c>
      <c r="AE55" s="106"/>
      <c r="AF55" s="106"/>
      <c r="AG55" s="106"/>
      <c r="AH55" s="106"/>
      <c r="AI55" s="106"/>
      <c r="AJ55" s="106"/>
      <c r="AK55" s="106"/>
      <c r="AL55" s="106"/>
      <c r="AM55" s="106"/>
      <c r="AN55" s="106"/>
      <c r="AO55" s="106"/>
      <c r="AP55" s="106"/>
    </row>
    <row r="56" spans="1:42">
      <c r="P56" t="s">
        <v>924</v>
      </c>
      <c r="AC56" t="s">
        <v>869</v>
      </c>
      <c r="AE56" s="106"/>
      <c r="AF56" s="106"/>
      <c r="AG56" s="106"/>
      <c r="AH56" s="106"/>
      <c r="AI56" s="106"/>
      <c r="AJ56" s="106"/>
      <c r="AK56" s="106"/>
      <c r="AL56" s="106"/>
      <c r="AM56" s="106"/>
      <c r="AN56" s="106"/>
      <c r="AO56" s="106"/>
      <c r="AP56" s="106"/>
    </row>
    <row r="57" spans="1:42">
      <c r="P57" t="s">
        <v>925</v>
      </c>
      <c r="S57" s="98"/>
      <c r="AC57" t="s">
        <v>869</v>
      </c>
      <c r="AE57" s="106"/>
      <c r="AF57" s="106"/>
      <c r="AG57" s="106"/>
      <c r="AH57" s="106"/>
      <c r="AI57" s="106"/>
      <c r="AJ57" s="106"/>
      <c r="AK57" s="106"/>
      <c r="AL57" s="106"/>
      <c r="AM57" s="106"/>
      <c r="AN57" s="106"/>
      <c r="AO57" s="106"/>
      <c r="AP57" s="106"/>
    </row>
    <row r="58" spans="1:42">
      <c r="P58" t="s">
        <v>926</v>
      </c>
      <c r="AC58" t="s">
        <v>869</v>
      </c>
      <c r="AE58" s="106"/>
      <c r="AF58" s="106"/>
      <c r="AG58" s="106"/>
      <c r="AH58" s="106"/>
      <c r="AI58" s="106"/>
      <c r="AJ58" s="106"/>
      <c r="AK58" s="106"/>
      <c r="AL58" s="106"/>
      <c r="AM58" s="106"/>
      <c r="AN58" s="106"/>
      <c r="AO58" s="106"/>
      <c r="AP58" s="106"/>
    </row>
    <row r="59" spans="1:42">
      <c r="AE59" s="107"/>
      <c r="AF59" s="107"/>
      <c r="AG59" s="107"/>
      <c r="AH59" s="107"/>
      <c r="AI59" s="107"/>
      <c r="AJ59" s="107"/>
      <c r="AK59" s="107"/>
      <c r="AL59" s="107"/>
      <c r="AM59" s="107"/>
      <c r="AN59" s="107"/>
      <c r="AO59" s="107"/>
      <c r="AP59" s="107"/>
    </row>
    <row r="60" spans="1:42" s="1" customFormat="1" ht="13.9">
      <c r="A60" s="66"/>
      <c r="B60" s="78" t="s">
        <v>927</v>
      </c>
      <c r="AE60" s="108"/>
      <c r="AF60" s="108"/>
      <c r="AG60" s="108"/>
      <c r="AH60" s="108"/>
      <c r="AI60" s="108"/>
      <c r="AJ60" s="108"/>
      <c r="AK60" s="108"/>
      <c r="AL60" s="108"/>
      <c r="AM60" s="108"/>
      <c r="AN60" s="108"/>
      <c r="AO60" s="108"/>
      <c r="AP60" s="108"/>
    </row>
    <row r="61" spans="1:42">
      <c r="AE61" s="107"/>
      <c r="AF61" s="107"/>
      <c r="AG61" s="107"/>
      <c r="AH61" s="107"/>
      <c r="AI61" s="107"/>
      <c r="AJ61" s="107"/>
      <c r="AK61" s="107"/>
      <c r="AL61" s="107"/>
      <c r="AM61" s="107"/>
      <c r="AN61" s="107"/>
      <c r="AO61" s="107"/>
      <c r="AP61" s="107"/>
    </row>
    <row r="62" spans="1:42">
      <c r="P62" t="s">
        <v>928</v>
      </c>
      <c r="V62" s="99"/>
      <c r="AC62" t="s">
        <v>869</v>
      </c>
      <c r="AE62" s="106"/>
      <c r="AF62" s="106"/>
      <c r="AG62" s="106"/>
      <c r="AH62" s="106"/>
      <c r="AI62" s="106"/>
      <c r="AJ62" s="106"/>
      <c r="AK62" s="106"/>
      <c r="AL62" s="106"/>
      <c r="AM62" s="106"/>
      <c r="AN62" s="106"/>
      <c r="AO62" s="106"/>
      <c r="AP62" s="106"/>
    </row>
    <row r="63" spans="1:42">
      <c r="P63" t="s">
        <v>929</v>
      </c>
      <c r="V63" s="99"/>
      <c r="AC63" t="s">
        <v>869</v>
      </c>
      <c r="AE63" s="106"/>
      <c r="AF63" s="106"/>
      <c r="AG63" s="106"/>
      <c r="AH63" s="106"/>
      <c r="AI63" s="106"/>
      <c r="AJ63" s="106"/>
      <c r="AK63" s="106"/>
      <c r="AL63" s="106"/>
      <c r="AM63" s="106"/>
      <c r="AN63" s="106"/>
      <c r="AO63" s="106"/>
      <c r="AP63" s="106"/>
    </row>
    <row r="64" spans="1:42">
      <c r="AE64" s="107"/>
      <c r="AF64" s="107"/>
      <c r="AG64" s="107"/>
      <c r="AH64" s="107"/>
      <c r="AI64" s="107"/>
      <c r="AJ64" s="107"/>
      <c r="AK64" s="107"/>
      <c r="AL64" s="107"/>
      <c r="AM64" s="107"/>
      <c r="AN64" s="107"/>
      <c r="AO64" s="107"/>
      <c r="AP64" s="107"/>
    </row>
    <row r="65" spans="1:42" s="1" customFormat="1" ht="13.9">
      <c r="A65" s="66"/>
      <c r="B65" s="78" t="s">
        <v>930</v>
      </c>
      <c r="AE65" s="108"/>
      <c r="AF65" s="108"/>
      <c r="AG65" s="108"/>
      <c r="AH65" s="108"/>
      <c r="AI65" s="108"/>
      <c r="AJ65" s="108"/>
      <c r="AK65" s="108"/>
      <c r="AL65" s="108"/>
      <c r="AM65" s="108"/>
      <c r="AN65" s="108"/>
      <c r="AO65" s="108"/>
      <c r="AP65" s="108"/>
    </row>
    <row r="66" spans="1:42">
      <c r="AE66" s="107"/>
      <c r="AF66" s="107"/>
      <c r="AG66" s="107"/>
      <c r="AH66" s="107"/>
      <c r="AI66" s="107"/>
      <c r="AJ66" s="107"/>
      <c r="AK66" s="107"/>
      <c r="AL66" s="107"/>
      <c r="AM66" s="107"/>
      <c r="AN66" s="107"/>
      <c r="AO66" s="107"/>
      <c r="AP66" s="107"/>
    </row>
    <row r="67" spans="1:42">
      <c r="P67" t="s">
        <v>914</v>
      </c>
      <c r="V67" s="99"/>
      <c r="AC67" t="s">
        <v>869</v>
      </c>
      <c r="AE67" s="106"/>
      <c r="AF67" s="106"/>
      <c r="AG67" s="106"/>
      <c r="AH67" s="106"/>
      <c r="AI67" s="106"/>
      <c r="AJ67" s="106"/>
      <c r="AK67" s="106"/>
      <c r="AL67" s="106"/>
      <c r="AM67" s="106"/>
      <c r="AN67" s="106"/>
      <c r="AO67" s="106"/>
      <c r="AP67" s="106"/>
    </row>
    <row r="68" spans="1:42">
      <c r="P68" t="s">
        <v>915</v>
      </c>
      <c r="V68" s="99"/>
      <c r="AC68" t="s">
        <v>869</v>
      </c>
      <c r="AE68" s="106"/>
      <c r="AF68" s="106"/>
      <c r="AG68" s="106"/>
      <c r="AH68" s="106"/>
      <c r="AI68" s="106"/>
      <c r="AJ68" s="106"/>
      <c r="AK68" s="106"/>
      <c r="AL68" s="106"/>
      <c r="AM68" s="106"/>
      <c r="AN68" s="106"/>
      <c r="AO68" s="106"/>
      <c r="AP68" s="106"/>
    </row>
    <row r="69" spans="1:42">
      <c r="P69" t="s">
        <v>916</v>
      </c>
      <c r="V69" s="99"/>
      <c r="AC69" t="s">
        <v>869</v>
      </c>
      <c r="AE69" s="106"/>
      <c r="AF69" s="106"/>
      <c r="AG69" s="106"/>
      <c r="AH69" s="106"/>
      <c r="AI69" s="106"/>
      <c r="AJ69" s="106"/>
      <c r="AK69" s="106"/>
      <c r="AL69" s="106"/>
      <c r="AM69" s="106"/>
      <c r="AN69" s="106"/>
      <c r="AO69" s="106"/>
      <c r="AP69" s="106"/>
    </row>
    <row r="70" spans="1:42">
      <c r="P70" t="s">
        <v>917</v>
      </c>
      <c r="V70" s="99"/>
      <c r="AC70" t="s">
        <v>869</v>
      </c>
      <c r="AE70" s="106"/>
      <c r="AF70" s="106"/>
      <c r="AG70" s="106"/>
      <c r="AH70" s="106"/>
      <c r="AI70" s="106"/>
      <c r="AJ70" s="106"/>
      <c r="AK70" s="106"/>
      <c r="AL70" s="106"/>
      <c r="AM70" s="106"/>
      <c r="AN70" s="106"/>
      <c r="AO70" s="106"/>
      <c r="AP70" s="106"/>
    </row>
    <row r="71" spans="1:42">
      <c r="P71" t="s">
        <v>918</v>
      </c>
      <c r="V71" s="99"/>
      <c r="AC71" t="s">
        <v>869</v>
      </c>
      <c r="AE71" s="106"/>
      <c r="AF71" s="106"/>
      <c r="AG71" s="106"/>
      <c r="AH71" s="106"/>
      <c r="AI71" s="106"/>
      <c r="AJ71" s="106"/>
      <c r="AK71" s="106"/>
      <c r="AL71" s="106"/>
      <c r="AM71" s="106"/>
      <c r="AN71" s="106"/>
      <c r="AO71" s="106"/>
      <c r="AP71" s="106"/>
    </row>
    <row r="72" spans="1:42">
      <c r="P72" t="s">
        <v>919</v>
      </c>
      <c r="V72" s="99"/>
      <c r="AC72" t="s">
        <v>869</v>
      </c>
      <c r="AE72" s="106"/>
      <c r="AF72" s="106"/>
      <c r="AG72" s="106"/>
      <c r="AH72" s="106"/>
      <c r="AI72" s="106"/>
      <c r="AJ72" s="106"/>
      <c r="AK72" s="106"/>
      <c r="AL72" s="106"/>
      <c r="AM72" s="106"/>
      <c r="AN72" s="106"/>
      <c r="AO72" s="106"/>
      <c r="AP72" s="106"/>
    </row>
    <row r="73" spans="1:42">
      <c r="P73" t="s">
        <v>920</v>
      </c>
      <c r="V73" s="99"/>
      <c r="AC73" t="s">
        <v>869</v>
      </c>
      <c r="AE73" s="106"/>
      <c r="AF73" s="106"/>
      <c r="AG73" s="106"/>
      <c r="AH73" s="106"/>
      <c r="AI73" s="106"/>
      <c r="AJ73" s="106"/>
      <c r="AK73" s="106"/>
      <c r="AL73" s="106"/>
      <c r="AM73" s="106"/>
      <c r="AN73" s="106"/>
      <c r="AO73" s="106"/>
      <c r="AP73" s="106"/>
    </row>
    <row r="74" spans="1:42">
      <c r="P74" t="s">
        <v>921</v>
      </c>
      <c r="V74" s="99"/>
      <c r="AC74" t="s">
        <v>869</v>
      </c>
      <c r="AE74" s="106"/>
      <c r="AF74" s="106"/>
      <c r="AG74" s="106"/>
      <c r="AH74" s="106"/>
      <c r="AI74" s="106"/>
      <c r="AJ74" s="106"/>
      <c r="AK74" s="106"/>
      <c r="AL74" s="106"/>
      <c r="AM74" s="106"/>
      <c r="AN74" s="106"/>
      <c r="AO74" s="106"/>
      <c r="AP74" s="106"/>
    </row>
    <row r="75" spans="1:42">
      <c r="P75" t="s">
        <v>922</v>
      </c>
      <c r="V75" s="99"/>
      <c r="AC75" t="s">
        <v>869</v>
      </c>
      <c r="AE75" s="106"/>
      <c r="AF75" s="106"/>
      <c r="AG75" s="106"/>
      <c r="AH75" s="106"/>
      <c r="AI75" s="106"/>
      <c r="AJ75" s="106"/>
      <c r="AK75" s="106"/>
      <c r="AL75" s="106"/>
      <c r="AM75" s="106"/>
      <c r="AN75" s="106"/>
      <c r="AO75" s="106"/>
      <c r="AP75" s="106"/>
    </row>
    <row r="76" spans="1:42">
      <c r="P76" t="s">
        <v>923</v>
      </c>
      <c r="AC76" t="s">
        <v>869</v>
      </c>
      <c r="AE76" s="106"/>
      <c r="AF76" s="106"/>
      <c r="AG76" s="106"/>
      <c r="AH76" s="106"/>
      <c r="AI76" s="106"/>
      <c r="AJ76" s="106"/>
      <c r="AK76" s="106"/>
      <c r="AL76" s="106"/>
      <c r="AM76" s="106"/>
      <c r="AN76" s="106"/>
      <c r="AO76" s="106"/>
      <c r="AP76" s="106"/>
    </row>
    <row r="77" spans="1:42">
      <c r="P77" t="s">
        <v>924</v>
      </c>
      <c r="AC77" t="s">
        <v>869</v>
      </c>
      <c r="AE77" s="106"/>
      <c r="AF77" s="106"/>
      <c r="AG77" s="106"/>
      <c r="AH77" s="106"/>
      <c r="AI77" s="106"/>
      <c r="AJ77" s="106"/>
      <c r="AK77" s="106"/>
      <c r="AL77" s="106"/>
      <c r="AM77" s="106"/>
      <c r="AN77" s="106"/>
      <c r="AO77" s="106"/>
      <c r="AP77" s="106"/>
    </row>
    <row r="78" spans="1:42">
      <c r="P78" t="s">
        <v>925</v>
      </c>
      <c r="S78" s="98"/>
      <c r="AC78" t="s">
        <v>869</v>
      </c>
      <c r="AE78" s="106"/>
      <c r="AF78" s="106"/>
      <c r="AG78" s="106"/>
      <c r="AH78" s="106"/>
      <c r="AI78" s="106"/>
      <c r="AJ78" s="106"/>
      <c r="AK78" s="106"/>
      <c r="AL78" s="106"/>
      <c r="AM78" s="106"/>
      <c r="AN78" s="106"/>
      <c r="AO78" s="106"/>
      <c r="AP78" s="106"/>
    </row>
    <row r="79" spans="1:42">
      <c r="P79" t="s">
        <v>926</v>
      </c>
      <c r="AC79" t="s">
        <v>869</v>
      </c>
      <c r="AE79" s="106"/>
      <c r="AF79" s="106"/>
      <c r="AG79" s="106"/>
      <c r="AH79" s="106"/>
      <c r="AI79" s="106"/>
      <c r="AJ79" s="106"/>
      <c r="AK79" s="106"/>
      <c r="AL79" s="106"/>
      <c r="AM79" s="106"/>
      <c r="AN79" s="106"/>
      <c r="AO79" s="106"/>
      <c r="AP79" s="106"/>
    </row>
    <row r="80" spans="1:42">
      <c r="AE80" s="107"/>
      <c r="AF80" s="107"/>
      <c r="AG80" s="107"/>
      <c r="AH80" s="107"/>
      <c r="AI80" s="107"/>
      <c r="AJ80" s="107"/>
      <c r="AK80" s="107"/>
      <c r="AL80" s="107"/>
      <c r="AM80" s="107"/>
      <c r="AN80" s="107"/>
      <c r="AO80" s="107"/>
      <c r="AP80" s="107"/>
    </row>
    <row r="81" spans="1:42" s="1" customFormat="1" ht="13.9">
      <c r="A81" s="66"/>
      <c r="B81" s="78" t="s">
        <v>931</v>
      </c>
      <c r="AE81" s="108"/>
      <c r="AF81" s="108"/>
      <c r="AG81" s="108"/>
      <c r="AH81" s="108"/>
      <c r="AI81" s="108"/>
      <c r="AJ81" s="108"/>
      <c r="AK81" s="108"/>
      <c r="AL81" s="108"/>
      <c r="AM81" s="108"/>
      <c r="AN81" s="108"/>
      <c r="AO81" s="108"/>
      <c r="AP81" s="108"/>
    </row>
    <row r="82" spans="1:42">
      <c r="AE82" s="107"/>
      <c r="AF82" s="107"/>
      <c r="AG82" s="107"/>
      <c r="AH82" s="107"/>
      <c r="AI82" s="107"/>
      <c r="AJ82" s="107"/>
      <c r="AK82" s="107"/>
      <c r="AL82" s="107"/>
      <c r="AM82" s="107"/>
      <c r="AN82" s="107"/>
      <c r="AO82" s="107"/>
      <c r="AP82" s="107"/>
    </row>
    <row r="83" spans="1:42">
      <c r="P83" t="s">
        <v>914</v>
      </c>
      <c r="V83" s="99"/>
      <c r="AC83" t="s">
        <v>869</v>
      </c>
      <c r="AE83" s="106"/>
      <c r="AF83" s="106"/>
      <c r="AG83" s="106"/>
      <c r="AH83" s="106"/>
      <c r="AI83" s="106"/>
      <c r="AJ83" s="106"/>
      <c r="AK83" s="106"/>
      <c r="AL83" s="106"/>
      <c r="AM83" s="106"/>
      <c r="AN83" s="106"/>
      <c r="AO83" s="106"/>
      <c r="AP83" s="106"/>
    </row>
    <row r="84" spans="1:42">
      <c r="P84" t="s">
        <v>915</v>
      </c>
      <c r="V84" s="99"/>
      <c r="AC84" t="s">
        <v>869</v>
      </c>
      <c r="AE84" s="106"/>
      <c r="AF84" s="106"/>
      <c r="AG84" s="106"/>
      <c r="AH84" s="106"/>
      <c r="AI84" s="106"/>
      <c r="AJ84" s="106"/>
      <c r="AK84" s="106"/>
      <c r="AL84" s="106"/>
      <c r="AM84" s="106"/>
      <c r="AN84" s="106"/>
      <c r="AO84" s="106"/>
      <c r="AP84" s="106"/>
    </row>
    <row r="85" spans="1:42">
      <c r="P85" t="s">
        <v>916</v>
      </c>
      <c r="V85" s="99"/>
      <c r="AC85" t="s">
        <v>869</v>
      </c>
      <c r="AE85" s="106"/>
      <c r="AF85" s="106"/>
      <c r="AG85" s="106"/>
      <c r="AH85" s="106"/>
      <c r="AI85" s="106"/>
      <c r="AJ85" s="106"/>
      <c r="AK85" s="106"/>
      <c r="AL85" s="106"/>
      <c r="AM85" s="106"/>
      <c r="AN85" s="106"/>
      <c r="AO85" s="106"/>
      <c r="AP85" s="106"/>
    </row>
    <row r="86" spans="1:42">
      <c r="P86" t="s">
        <v>917</v>
      </c>
      <c r="V86" s="99"/>
      <c r="AC86" t="s">
        <v>869</v>
      </c>
      <c r="AE86" s="106"/>
      <c r="AF86" s="106"/>
      <c r="AG86" s="106"/>
      <c r="AH86" s="106"/>
      <c r="AI86" s="106"/>
      <c r="AJ86" s="106"/>
      <c r="AK86" s="106"/>
      <c r="AL86" s="106"/>
      <c r="AM86" s="106"/>
      <c r="AN86" s="106"/>
      <c r="AO86" s="106"/>
      <c r="AP86" s="106"/>
    </row>
    <row r="87" spans="1:42">
      <c r="P87" t="s">
        <v>918</v>
      </c>
      <c r="V87" s="99"/>
      <c r="AC87" t="s">
        <v>869</v>
      </c>
      <c r="AE87" s="106"/>
      <c r="AF87" s="106"/>
      <c r="AG87" s="106"/>
      <c r="AH87" s="106"/>
      <c r="AI87" s="106"/>
      <c r="AJ87" s="106"/>
      <c r="AK87" s="106"/>
      <c r="AL87" s="106"/>
      <c r="AM87" s="106"/>
      <c r="AN87" s="106"/>
      <c r="AO87" s="106"/>
      <c r="AP87" s="106"/>
    </row>
    <row r="88" spans="1:42">
      <c r="P88" t="s">
        <v>919</v>
      </c>
      <c r="V88" s="99"/>
      <c r="AC88" t="s">
        <v>869</v>
      </c>
      <c r="AE88" s="106"/>
      <c r="AF88" s="106"/>
      <c r="AG88" s="106"/>
      <c r="AH88" s="106"/>
      <c r="AI88" s="106"/>
      <c r="AJ88" s="106"/>
      <c r="AK88" s="106"/>
      <c r="AL88" s="106"/>
      <c r="AM88" s="106"/>
      <c r="AN88" s="106"/>
      <c r="AO88" s="106"/>
      <c r="AP88" s="106"/>
    </row>
    <row r="89" spans="1:42">
      <c r="P89" t="s">
        <v>920</v>
      </c>
      <c r="V89" s="99"/>
      <c r="AC89" t="s">
        <v>869</v>
      </c>
      <c r="AE89" s="106"/>
      <c r="AF89" s="106"/>
      <c r="AG89" s="106"/>
      <c r="AH89" s="106"/>
      <c r="AI89" s="106"/>
      <c r="AJ89" s="106"/>
      <c r="AK89" s="106"/>
      <c r="AL89" s="106"/>
      <c r="AM89" s="106"/>
      <c r="AN89" s="106"/>
      <c r="AO89" s="106"/>
      <c r="AP89" s="106"/>
    </row>
    <row r="90" spans="1:42">
      <c r="P90" t="s">
        <v>921</v>
      </c>
      <c r="V90" s="99"/>
      <c r="AC90" t="s">
        <v>869</v>
      </c>
      <c r="AE90" s="106"/>
      <c r="AF90" s="106"/>
      <c r="AG90" s="106"/>
      <c r="AH90" s="106"/>
      <c r="AI90" s="106"/>
      <c r="AJ90" s="106"/>
      <c r="AK90" s="106"/>
      <c r="AL90" s="106"/>
      <c r="AM90" s="106"/>
      <c r="AN90" s="106"/>
      <c r="AO90" s="106"/>
      <c r="AP90" s="106"/>
    </row>
    <row r="91" spans="1:42">
      <c r="P91" t="s">
        <v>922</v>
      </c>
      <c r="V91" s="99"/>
      <c r="AC91" t="s">
        <v>869</v>
      </c>
      <c r="AE91" s="106"/>
      <c r="AF91" s="106"/>
      <c r="AG91" s="106"/>
      <c r="AH91" s="106"/>
      <c r="AI91" s="106"/>
      <c r="AJ91" s="106"/>
      <c r="AK91" s="106"/>
      <c r="AL91" s="106"/>
      <c r="AM91" s="106"/>
      <c r="AN91" s="106"/>
      <c r="AO91" s="106"/>
      <c r="AP91" s="106"/>
    </row>
    <row r="92" spans="1:42">
      <c r="P92" t="s">
        <v>923</v>
      </c>
      <c r="AC92" t="s">
        <v>869</v>
      </c>
      <c r="AE92" s="106"/>
      <c r="AF92" s="106"/>
      <c r="AG92" s="106"/>
      <c r="AH92" s="106"/>
      <c r="AI92" s="106"/>
      <c r="AJ92" s="106"/>
      <c r="AK92" s="106"/>
      <c r="AL92" s="106"/>
      <c r="AM92" s="106"/>
      <c r="AN92" s="106"/>
      <c r="AO92" s="106"/>
      <c r="AP92" s="106"/>
    </row>
    <row r="93" spans="1:42">
      <c r="P93" t="s">
        <v>924</v>
      </c>
      <c r="AC93" t="s">
        <v>869</v>
      </c>
      <c r="AE93" s="106"/>
      <c r="AF93" s="106"/>
      <c r="AG93" s="106"/>
      <c r="AH93" s="106"/>
      <c r="AI93" s="106"/>
      <c r="AJ93" s="106"/>
      <c r="AK93" s="106"/>
      <c r="AL93" s="106"/>
      <c r="AM93" s="106"/>
      <c r="AN93" s="106"/>
      <c r="AO93" s="106"/>
      <c r="AP93" s="106"/>
    </row>
    <row r="94" spans="1:42">
      <c r="P94" t="s">
        <v>925</v>
      </c>
      <c r="S94" s="98"/>
      <c r="AC94" t="s">
        <v>869</v>
      </c>
      <c r="AE94" s="106"/>
      <c r="AF94" s="106"/>
      <c r="AG94" s="106"/>
      <c r="AH94" s="106"/>
      <c r="AI94" s="106"/>
      <c r="AJ94" s="106"/>
      <c r="AK94" s="106"/>
      <c r="AL94" s="106"/>
      <c r="AM94" s="106"/>
      <c r="AN94" s="106"/>
      <c r="AO94" s="106"/>
      <c r="AP94" s="106"/>
    </row>
    <row r="95" spans="1:42">
      <c r="P95" t="s">
        <v>926</v>
      </c>
      <c r="AC95" t="s">
        <v>869</v>
      </c>
      <c r="AE95" s="106"/>
      <c r="AF95" s="106"/>
      <c r="AG95" s="106"/>
      <c r="AH95" s="106"/>
      <c r="AI95" s="106"/>
      <c r="AJ95" s="106"/>
      <c r="AK95" s="106"/>
      <c r="AL95" s="106"/>
      <c r="AM95" s="106"/>
      <c r="AN95" s="106"/>
      <c r="AO95" s="106"/>
      <c r="AP95" s="106"/>
    </row>
    <row r="96" spans="1:42">
      <c r="AE96" s="107"/>
      <c r="AF96" s="107"/>
      <c r="AG96" s="107"/>
      <c r="AH96" s="107"/>
      <c r="AI96" s="107"/>
      <c r="AJ96" s="107"/>
      <c r="AK96" s="107"/>
      <c r="AL96" s="107"/>
      <c r="AM96" s="107"/>
      <c r="AN96" s="107"/>
      <c r="AO96" s="107"/>
      <c r="AP96" s="107"/>
    </row>
    <row r="97" spans="1:42" s="1" customFormat="1" ht="13.9">
      <c r="A97" s="66"/>
      <c r="B97" s="78" t="s">
        <v>932</v>
      </c>
      <c r="AE97" s="108"/>
      <c r="AF97" s="108"/>
      <c r="AG97" s="108"/>
      <c r="AH97" s="108"/>
      <c r="AI97" s="108"/>
      <c r="AJ97" s="108"/>
      <c r="AK97" s="108"/>
      <c r="AL97" s="108"/>
      <c r="AM97" s="108"/>
      <c r="AN97" s="108"/>
      <c r="AO97" s="108"/>
      <c r="AP97" s="108"/>
    </row>
    <row r="98" spans="1:42">
      <c r="AE98" s="107"/>
      <c r="AF98" s="107"/>
      <c r="AG98" s="107"/>
      <c r="AH98" s="107"/>
      <c r="AI98" s="107"/>
      <c r="AJ98" s="107"/>
      <c r="AK98" s="107"/>
      <c r="AL98" s="107"/>
      <c r="AM98" s="107"/>
      <c r="AN98" s="107"/>
      <c r="AO98" s="107"/>
      <c r="AP98" s="107"/>
    </row>
    <row r="99" spans="1:42">
      <c r="P99" t="s">
        <v>932</v>
      </c>
      <c r="V99" s="99"/>
      <c r="AC99" t="s">
        <v>869</v>
      </c>
      <c r="AE99" s="106"/>
      <c r="AF99" s="106"/>
      <c r="AG99" s="106"/>
      <c r="AH99" s="106"/>
      <c r="AI99" s="106"/>
      <c r="AJ99" s="106"/>
      <c r="AK99" s="106"/>
      <c r="AL99" s="106"/>
      <c r="AM99" s="106"/>
      <c r="AN99" s="106"/>
      <c r="AO99" s="106"/>
      <c r="AP99" s="106"/>
    </row>
    <row r="100" spans="1:42">
      <c r="AE100" s="107"/>
      <c r="AF100" s="107"/>
      <c r="AG100" s="107"/>
      <c r="AH100" s="107"/>
      <c r="AI100" s="107"/>
      <c r="AJ100" s="107"/>
      <c r="AK100" s="107"/>
      <c r="AL100" s="107"/>
      <c r="AM100" s="107"/>
      <c r="AN100" s="107"/>
      <c r="AO100" s="107"/>
      <c r="AP100" s="107"/>
    </row>
    <row r="101" spans="1:42" s="1" customFormat="1" ht="13.9">
      <c r="A101" s="66"/>
      <c r="B101" s="78" t="s">
        <v>933</v>
      </c>
      <c r="AE101" s="108"/>
      <c r="AF101" s="108"/>
      <c r="AG101" s="108"/>
      <c r="AH101" s="108"/>
      <c r="AI101" s="108"/>
      <c r="AJ101" s="108"/>
      <c r="AK101" s="108"/>
      <c r="AL101" s="108"/>
      <c r="AM101" s="108"/>
      <c r="AN101" s="108"/>
      <c r="AO101" s="108"/>
      <c r="AP101" s="108"/>
    </row>
    <row r="102" spans="1:42">
      <c r="AE102" s="107"/>
      <c r="AF102" s="107"/>
      <c r="AG102" s="107"/>
      <c r="AH102" s="107"/>
      <c r="AI102" s="107"/>
      <c r="AJ102" s="107"/>
      <c r="AK102" s="107"/>
      <c r="AL102" s="107"/>
      <c r="AM102" s="107"/>
      <c r="AN102" s="107"/>
      <c r="AO102" s="107"/>
      <c r="AP102" s="107"/>
    </row>
    <row r="103" spans="1:42">
      <c r="P103" t="s">
        <v>933</v>
      </c>
      <c r="V103" s="99"/>
      <c r="AC103" t="s">
        <v>869</v>
      </c>
      <c r="AE103" s="106"/>
      <c r="AF103" s="106"/>
      <c r="AG103" s="106"/>
      <c r="AH103" s="106"/>
      <c r="AI103" s="106"/>
      <c r="AJ103" s="106"/>
      <c r="AK103" s="106"/>
      <c r="AL103" s="106"/>
      <c r="AM103" s="106"/>
      <c r="AN103" s="106"/>
      <c r="AO103" s="106"/>
      <c r="AP103" s="106"/>
    </row>
    <row r="105" spans="1:42" s="73" customFormat="1" ht="18">
      <c r="A105" s="74" t="s">
        <v>76</v>
      </c>
    </row>
  </sheetData>
  <mergeCells count="1">
    <mergeCell ref="AE6:AP6"/>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47B-B8B2-441C-BEF7-07357DCC970B}">
  <sheetPr>
    <tabColor rgb="FFFF9900"/>
  </sheetPr>
  <dimension ref="A1:AI44"/>
  <sheetViews>
    <sheetView zoomScale="80" zoomScaleNormal="80" workbookViewId="0">
      <pane ySplit="8" topLeftCell="A9" activePane="bottomLeft" state="frozen"/>
      <selection pane="bottomLeft"/>
    </sheetView>
  </sheetViews>
  <sheetFormatPr defaultRowHeight="14.25"/>
  <cols>
    <col min="1" max="7" width="1.73046875" customWidth="1"/>
    <col min="8" max="8" width="25.59765625" bestFit="1" customWidth="1"/>
    <col min="9" max="15" width="1.73046875" customWidth="1"/>
    <col min="16" max="16" width="26.59765625" bestFit="1" customWidth="1"/>
    <col min="17" max="28" width="1.73046875" hidden="1" customWidth="1"/>
    <col min="29" max="29" width="10.132812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1859</v>
      </c>
    </row>
    <row r="6" spans="1:35">
      <c r="AD6" s="435"/>
      <c r="AE6" s="1347" t="s">
        <v>112</v>
      </c>
      <c r="AF6" s="1348"/>
      <c r="AG6" s="1348"/>
      <c r="AH6" s="1348"/>
      <c r="AI6" s="1349"/>
    </row>
    <row r="7" spans="1:35" s="67" customFormat="1">
      <c r="D7" s="87" t="s">
        <v>111</v>
      </c>
      <c r="E7" s="87" t="s">
        <v>68</v>
      </c>
      <c r="F7" s="87" t="s">
        <v>110</v>
      </c>
      <c r="G7" s="87" t="s">
        <v>109</v>
      </c>
      <c r="H7" s="87" t="s">
        <v>108</v>
      </c>
      <c r="I7" s="87"/>
      <c r="J7" s="87"/>
      <c r="K7" s="87"/>
      <c r="L7" s="87"/>
      <c r="M7" s="87"/>
      <c r="N7" s="87"/>
      <c r="O7" s="87"/>
      <c r="P7" s="86"/>
      <c r="Q7" s="86" t="s">
        <v>100</v>
      </c>
      <c r="R7" s="86" t="s">
        <v>99</v>
      </c>
      <c r="S7" s="86" t="s">
        <v>98</v>
      </c>
      <c r="T7" s="86" t="s">
        <v>97</v>
      </c>
      <c r="U7" s="86" t="s">
        <v>96</v>
      </c>
      <c r="V7" s="86" t="s">
        <v>95</v>
      </c>
      <c r="W7" s="86" t="s">
        <v>94</v>
      </c>
      <c r="X7" s="86" t="s">
        <v>93</v>
      </c>
      <c r="Y7" s="86" t="s">
        <v>92</v>
      </c>
      <c r="Z7" s="86" t="s">
        <v>91</v>
      </c>
      <c r="AA7" s="86" t="s">
        <v>90</v>
      </c>
      <c r="AB7" s="86" t="s">
        <v>89</v>
      </c>
      <c r="AC7" s="67" t="s">
        <v>5</v>
      </c>
      <c r="AE7" s="84">
        <v>2022</v>
      </c>
      <c r="AF7" s="83">
        <v>2023</v>
      </c>
      <c r="AG7" s="83">
        <v>2024</v>
      </c>
      <c r="AH7" s="83">
        <v>2025</v>
      </c>
      <c r="AI7" s="82">
        <v>2026</v>
      </c>
    </row>
    <row r="8" spans="1:35">
      <c r="P8" s="67"/>
      <c r="Q8" s="67"/>
      <c r="R8" s="67"/>
      <c r="S8" s="67"/>
      <c r="T8" s="67"/>
      <c r="U8" s="67"/>
      <c r="V8" s="67"/>
    </row>
    <row r="9" spans="1:35" s="1" customFormat="1" ht="17.649999999999999">
      <c r="B9" s="2"/>
    </row>
    <row r="11" spans="1:35" s="1" customFormat="1" ht="13.9">
      <c r="A11" s="66"/>
      <c r="B11" s="78" t="s">
        <v>1012</v>
      </c>
    </row>
    <row r="13" spans="1:35">
      <c r="H13" t="s">
        <v>1013</v>
      </c>
      <c r="P13" s="111"/>
      <c r="V13" s="99"/>
      <c r="AC13" t="s">
        <v>957</v>
      </c>
      <c r="AE13" s="106"/>
      <c r="AF13" s="106"/>
      <c r="AG13" s="106"/>
      <c r="AH13" s="106"/>
      <c r="AI13" s="106"/>
    </row>
    <row r="14" spans="1:35">
      <c r="H14" t="s">
        <v>1013</v>
      </c>
      <c r="P14" s="111"/>
      <c r="V14" s="99"/>
      <c r="AC14" t="s">
        <v>957</v>
      </c>
      <c r="AE14" s="106"/>
      <c r="AF14" s="106"/>
      <c r="AG14" s="106"/>
      <c r="AH14" s="106"/>
      <c r="AI14" s="106"/>
    </row>
    <row r="15" spans="1:35">
      <c r="H15" t="s">
        <v>1013</v>
      </c>
      <c r="P15" s="111"/>
      <c r="V15" s="99"/>
      <c r="AC15" t="s">
        <v>957</v>
      </c>
      <c r="AE15" s="106"/>
      <c r="AF15" s="106"/>
      <c r="AG15" s="106"/>
      <c r="AH15" s="106"/>
      <c r="AI15" s="106"/>
    </row>
    <row r="16" spans="1:35">
      <c r="H16" t="s">
        <v>1013</v>
      </c>
      <c r="P16" s="111"/>
      <c r="V16" s="99"/>
      <c r="AC16" t="s">
        <v>957</v>
      </c>
      <c r="AE16" s="106"/>
      <c r="AF16" s="106"/>
      <c r="AG16" s="106"/>
      <c r="AH16" s="106"/>
      <c r="AI16" s="106"/>
    </row>
    <row r="17" spans="8:35">
      <c r="H17" t="s">
        <v>1013</v>
      </c>
      <c r="P17" s="111"/>
      <c r="V17" s="99"/>
      <c r="AC17" t="s">
        <v>957</v>
      </c>
      <c r="AE17" s="106"/>
      <c r="AF17" s="106"/>
      <c r="AG17" s="106"/>
      <c r="AH17" s="106"/>
      <c r="AI17" s="106"/>
    </row>
    <row r="18" spans="8:35">
      <c r="H18" t="s">
        <v>1013</v>
      </c>
      <c r="P18" s="111"/>
      <c r="V18" s="99"/>
      <c r="AC18" t="s">
        <v>957</v>
      </c>
      <c r="AE18" s="106"/>
      <c r="AF18" s="106"/>
      <c r="AG18" s="106"/>
      <c r="AH18" s="106"/>
      <c r="AI18" s="106"/>
    </row>
    <row r="19" spans="8:35">
      <c r="H19" t="s">
        <v>1013</v>
      </c>
      <c r="P19" s="111"/>
      <c r="V19" s="99"/>
      <c r="AC19" t="s">
        <v>957</v>
      </c>
      <c r="AE19" s="106"/>
      <c r="AF19" s="106"/>
      <c r="AG19" s="106"/>
      <c r="AH19" s="106"/>
      <c r="AI19" s="106"/>
    </row>
    <row r="20" spans="8:35">
      <c r="H20" t="s">
        <v>1013</v>
      </c>
      <c r="P20" s="111"/>
      <c r="V20" s="99"/>
      <c r="AC20" t="s">
        <v>957</v>
      </c>
      <c r="AE20" s="106"/>
      <c r="AF20" s="106"/>
      <c r="AG20" s="106"/>
      <c r="AH20" s="106"/>
      <c r="AI20" s="106"/>
    </row>
    <row r="21" spans="8:35">
      <c r="H21" t="s">
        <v>1013</v>
      </c>
      <c r="P21" s="111"/>
      <c r="V21" s="99"/>
      <c r="AC21" t="s">
        <v>957</v>
      </c>
      <c r="AE21" s="106"/>
      <c r="AF21" s="106"/>
      <c r="AG21" s="106"/>
      <c r="AH21" s="106"/>
      <c r="AI21" s="106"/>
    </row>
    <row r="22" spans="8:35">
      <c r="H22" t="s">
        <v>1013</v>
      </c>
      <c r="P22" s="111"/>
      <c r="V22" s="99"/>
      <c r="AC22" t="s">
        <v>957</v>
      </c>
      <c r="AE22" s="106"/>
      <c r="AF22" s="106"/>
      <c r="AG22" s="106"/>
      <c r="AH22" s="106"/>
      <c r="AI22" s="106"/>
    </row>
    <row r="23" spans="8:35">
      <c r="H23" t="s">
        <v>1013</v>
      </c>
      <c r="P23" s="111"/>
      <c r="V23" s="99"/>
      <c r="AC23" t="s">
        <v>957</v>
      </c>
      <c r="AE23" s="106"/>
      <c r="AF23" s="106"/>
      <c r="AG23" s="106"/>
      <c r="AH23" s="106"/>
      <c r="AI23" s="106"/>
    </row>
    <row r="24" spans="8:35">
      <c r="H24" t="s">
        <v>1013</v>
      </c>
      <c r="P24" s="111"/>
      <c r="V24" s="99"/>
      <c r="AC24" t="s">
        <v>957</v>
      </c>
      <c r="AE24" s="106"/>
      <c r="AF24" s="106"/>
      <c r="AG24" s="106"/>
      <c r="AH24" s="106"/>
      <c r="AI24" s="106"/>
    </row>
    <row r="25" spans="8:35">
      <c r="H25" t="s">
        <v>1013</v>
      </c>
      <c r="P25" s="111"/>
      <c r="V25" s="99"/>
      <c r="AC25" t="s">
        <v>957</v>
      </c>
      <c r="AE25" s="106"/>
      <c r="AF25" s="106"/>
      <c r="AG25" s="106"/>
      <c r="AH25" s="106"/>
      <c r="AI25" s="106"/>
    </row>
    <row r="26" spans="8:35">
      <c r="H26" t="s">
        <v>1013</v>
      </c>
      <c r="P26" s="111"/>
      <c r="V26" s="99"/>
      <c r="AC26" t="s">
        <v>957</v>
      </c>
      <c r="AE26" s="106"/>
      <c r="AF26" s="106"/>
      <c r="AG26" s="106"/>
      <c r="AH26" s="106"/>
      <c r="AI26" s="106"/>
    </row>
    <row r="27" spans="8:35">
      <c r="H27" t="s">
        <v>1013</v>
      </c>
      <c r="P27" s="111"/>
      <c r="V27" s="99"/>
      <c r="AC27" t="s">
        <v>957</v>
      </c>
      <c r="AE27" s="106"/>
      <c r="AF27" s="106"/>
      <c r="AG27" s="106"/>
      <c r="AH27" s="106"/>
      <c r="AI27" s="106"/>
    </row>
    <row r="28" spans="8:35">
      <c r="H28" t="s">
        <v>1013</v>
      </c>
      <c r="P28" s="111"/>
      <c r="V28" s="99"/>
      <c r="AC28" t="s">
        <v>957</v>
      </c>
      <c r="AE28" s="106"/>
      <c r="AF28" s="106"/>
      <c r="AG28" s="106"/>
      <c r="AH28" s="106"/>
      <c r="AI28" s="106"/>
    </row>
    <row r="29" spans="8:35">
      <c r="H29" t="s">
        <v>1013</v>
      </c>
      <c r="P29" s="111"/>
      <c r="V29" s="99"/>
      <c r="AC29" t="s">
        <v>957</v>
      </c>
      <c r="AE29" s="106"/>
      <c r="AF29" s="106"/>
      <c r="AG29" s="106"/>
      <c r="AH29" s="106"/>
      <c r="AI29" s="106"/>
    </row>
    <row r="30" spans="8:35">
      <c r="H30" t="s">
        <v>1013</v>
      </c>
      <c r="P30" s="111"/>
      <c r="V30" s="99"/>
      <c r="AC30" t="s">
        <v>957</v>
      </c>
      <c r="AE30" s="106"/>
      <c r="AF30" s="106"/>
      <c r="AG30" s="106"/>
      <c r="AH30" s="106"/>
      <c r="AI30" s="106"/>
    </row>
    <row r="31" spans="8:35">
      <c r="H31" t="s">
        <v>1013</v>
      </c>
      <c r="P31" s="111"/>
      <c r="V31" s="99"/>
      <c r="AC31" t="s">
        <v>957</v>
      </c>
      <c r="AE31" s="106"/>
      <c r="AF31" s="106"/>
      <c r="AG31" s="106"/>
      <c r="AH31" s="106"/>
      <c r="AI31" s="106"/>
    </row>
    <row r="32" spans="8:35">
      <c r="H32" t="s">
        <v>1013</v>
      </c>
      <c r="P32" s="111"/>
      <c r="V32" s="99"/>
      <c r="AC32" t="s">
        <v>957</v>
      </c>
      <c r="AE32" s="106"/>
      <c r="AF32" s="106"/>
      <c r="AG32" s="106"/>
      <c r="AH32" s="106"/>
      <c r="AI32" s="106"/>
    </row>
    <row r="33" spans="1:35">
      <c r="H33" t="s">
        <v>1013</v>
      </c>
      <c r="P33" s="111"/>
      <c r="V33" s="99"/>
      <c r="AC33" t="s">
        <v>957</v>
      </c>
      <c r="AE33" s="106"/>
      <c r="AF33" s="106"/>
      <c r="AG33" s="106"/>
      <c r="AH33" s="106"/>
      <c r="AI33" s="106"/>
    </row>
    <row r="34" spans="1:35">
      <c r="H34" t="s">
        <v>1013</v>
      </c>
      <c r="P34" s="111"/>
      <c r="V34" s="99"/>
      <c r="AC34" t="s">
        <v>957</v>
      </c>
      <c r="AE34" s="106"/>
      <c r="AF34" s="106"/>
      <c r="AG34" s="106"/>
      <c r="AH34" s="106"/>
      <c r="AI34" s="106"/>
    </row>
    <row r="35" spans="1:35">
      <c r="H35" t="s">
        <v>1013</v>
      </c>
      <c r="P35" s="111"/>
      <c r="V35" s="99"/>
      <c r="AC35" t="s">
        <v>957</v>
      </c>
      <c r="AE35" s="106"/>
      <c r="AF35" s="106"/>
      <c r="AG35" s="106"/>
      <c r="AH35" s="106"/>
      <c r="AI35" s="106"/>
    </row>
    <row r="36" spans="1:35">
      <c r="H36" t="s">
        <v>1013</v>
      </c>
      <c r="P36" s="111"/>
      <c r="V36" s="99"/>
      <c r="AC36" t="s">
        <v>957</v>
      </c>
      <c r="AE36" s="106"/>
      <c r="AF36" s="106"/>
      <c r="AG36" s="106"/>
      <c r="AH36" s="106"/>
      <c r="AI36" s="106"/>
    </row>
    <row r="37" spans="1:35">
      <c r="H37" t="s">
        <v>1013</v>
      </c>
      <c r="P37" s="111"/>
      <c r="V37" s="99"/>
      <c r="AC37" t="s">
        <v>957</v>
      </c>
      <c r="AE37" s="106"/>
      <c r="AF37" s="106"/>
      <c r="AG37" s="106"/>
      <c r="AH37" s="106"/>
      <c r="AI37" s="106"/>
    </row>
    <row r="38" spans="1:35">
      <c r="H38" t="s">
        <v>1013</v>
      </c>
      <c r="P38" s="111"/>
      <c r="V38" s="99"/>
      <c r="AC38" t="s">
        <v>957</v>
      </c>
      <c r="AE38" s="106"/>
      <c r="AF38" s="106"/>
      <c r="AG38" s="106"/>
      <c r="AH38" s="106"/>
      <c r="AI38" s="106"/>
    </row>
    <row r="39" spans="1:35">
      <c r="H39" t="s">
        <v>1013</v>
      </c>
      <c r="P39" s="111"/>
      <c r="V39" s="99"/>
      <c r="AC39" t="s">
        <v>957</v>
      </c>
      <c r="AE39" s="106"/>
      <c r="AF39" s="106"/>
      <c r="AG39" s="106"/>
      <c r="AH39" s="106"/>
      <c r="AI39" s="106"/>
    </row>
    <row r="40" spans="1:35">
      <c r="H40" t="s">
        <v>1013</v>
      </c>
      <c r="P40" s="111"/>
      <c r="V40" s="99"/>
      <c r="AC40" t="s">
        <v>957</v>
      </c>
      <c r="AE40" s="106"/>
      <c r="AF40" s="106"/>
      <c r="AG40" s="106"/>
      <c r="AH40" s="106"/>
      <c r="AI40" s="106"/>
    </row>
    <row r="41" spans="1:35">
      <c r="H41" t="s">
        <v>1013</v>
      </c>
      <c r="P41" s="111"/>
      <c r="V41" s="99"/>
      <c r="AC41" t="s">
        <v>957</v>
      </c>
      <c r="AE41" s="106"/>
      <c r="AF41" s="106"/>
      <c r="AG41" s="106"/>
      <c r="AH41" s="106"/>
      <c r="AI41" s="106"/>
    </row>
    <row r="42" spans="1:35">
      <c r="H42" t="s">
        <v>1013</v>
      </c>
      <c r="P42" s="111"/>
      <c r="AC42" t="s">
        <v>957</v>
      </c>
      <c r="AE42" s="106"/>
      <c r="AF42" s="106"/>
      <c r="AG42" s="106"/>
      <c r="AH42" s="106"/>
      <c r="AI42" s="106"/>
    </row>
    <row r="44" spans="1:35" s="73" customFormat="1" ht="18">
      <c r="A44" s="74" t="s">
        <v>76</v>
      </c>
    </row>
  </sheetData>
  <mergeCells count="1">
    <mergeCell ref="AE6:AI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zoomScale="90" zoomScaleNormal="90" workbookViewId="0"/>
  </sheetViews>
  <sheetFormatPr defaultColWidth="0" defaultRowHeight="14.25"/>
  <cols>
    <col min="1" max="1" width="10.59765625" customWidth="1"/>
    <col min="2" max="2" width="39" bestFit="1" customWidth="1"/>
    <col min="3" max="3" width="38.3984375" bestFit="1" customWidth="1"/>
    <col min="4" max="5" width="28.265625" customWidth="1"/>
    <col min="6" max="6" width="29.3984375" customWidth="1"/>
    <col min="7" max="26" width="9" customWidth="1"/>
    <col min="27" max="16384" width="8.73046875" hidden="1"/>
  </cols>
  <sheetData>
    <row r="1" spans="1:6" s="73" customFormat="1" ht="23.25">
      <c r="A1" s="89" t="str">
        <f>'1.1 Cover'!A2</f>
        <v>Regulatory Reporting Pack</v>
      </c>
    </row>
    <row r="2" spans="1:6" s="73" customFormat="1" ht="23.25">
      <c r="A2" s="89" t="str">
        <f>'1.1 Cover'!A3</f>
        <v>Price base - 2018/19</v>
      </c>
    </row>
    <row r="3" spans="1:6" s="73" customFormat="1" ht="23.25">
      <c r="A3" s="89" t="str">
        <f>'1.1 Cover'!A4</f>
        <v>Regulatory Year: April 2021 - March 2022</v>
      </c>
    </row>
    <row r="4" spans="1:6" s="73" customFormat="1" ht="23.25">
      <c r="A4" s="89" t="s">
        <v>37</v>
      </c>
    </row>
    <row r="6" spans="1:6">
      <c r="B6" s="492" t="s">
        <v>53</v>
      </c>
      <c r="C6" s="495" t="str">
        <f>'1.1 Cover'!E15</f>
        <v>National Grid Gas Plc</v>
      </c>
      <c r="D6" s="435"/>
      <c r="E6" s="435"/>
      <c r="F6" s="435"/>
    </row>
    <row r="7" spans="1:6">
      <c r="B7" s="492" t="s">
        <v>54</v>
      </c>
      <c r="C7" s="493" t="s">
        <v>1805</v>
      </c>
      <c r="D7" s="435"/>
      <c r="E7" s="435"/>
      <c r="F7" s="435"/>
    </row>
    <row r="8" spans="1:6">
      <c r="B8" s="492" t="s">
        <v>1792</v>
      </c>
      <c r="C8" s="494">
        <v>2022</v>
      </c>
      <c r="D8" s="435"/>
      <c r="E8" s="435"/>
      <c r="F8" s="435"/>
    </row>
    <row r="9" spans="1:6">
      <c r="B9" s="492" t="s">
        <v>1793</v>
      </c>
      <c r="C9" s="495"/>
      <c r="D9" s="435"/>
      <c r="E9" s="435"/>
      <c r="F9" s="435"/>
    </row>
    <row r="10" spans="1:6">
      <c r="B10" s="492" t="s">
        <v>55</v>
      </c>
      <c r="C10" s="496"/>
      <c r="D10" s="435"/>
      <c r="E10" s="435"/>
      <c r="F10" s="435"/>
    </row>
    <row r="11" spans="1:6">
      <c r="B11" s="435"/>
      <c r="C11" s="435"/>
      <c r="D11" s="435"/>
      <c r="E11" s="435"/>
      <c r="F11" s="435"/>
    </row>
    <row r="12" spans="1:6">
      <c r="B12" s="492" t="s">
        <v>1794</v>
      </c>
      <c r="C12" s="497" t="str">
        <f>$C$8-6&amp;"/"&amp;RIGHT($C$8-5,2)</f>
        <v>2016/17</v>
      </c>
      <c r="D12" s="435"/>
      <c r="E12" s="435"/>
      <c r="F12" s="435"/>
    </row>
    <row r="13" spans="1:6">
      <c r="B13" s="492" t="s">
        <v>1795</v>
      </c>
      <c r="C13" s="497" t="str">
        <f>$C$8-5&amp;"/"&amp;RIGHT($C$8-4,2)</f>
        <v>2017/18</v>
      </c>
      <c r="D13" s="435"/>
      <c r="E13" s="435"/>
      <c r="F13" s="435"/>
    </row>
    <row r="14" spans="1:6">
      <c r="B14" s="492" t="s">
        <v>1796</v>
      </c>
      <c r="C14" s="497" t="str">
        <f>$C$8-4&amp;"/"&amp;RIGHT($C$8-3,2)</f>
        <v>2018/19</v>
      </c>
      <c r="D14" s="435"/>
      <c r="E14" s="435"/>
      <c r="F14" s="435"/>
    </row>
    <row r="15" spans="1:6">
      <c r="B15" s="492" t="s">
        <v>1797</v>
      </c>
      <c r="C15" s="497" t="str">
        <f>$C$8-3&amp;"/"&amp;RIGHT($C$8-2,2)</f>
        <v>2019/20</v>
      </c>
      <c r="D15" s="435"/>
      <c r="E15" s="435"/>
      <c r="F15" s="435"/>
    </row>
    <row r="16" spans="1:6">
      <c r="B16" s="492" t="s">
        <v>56</v>
      </c>
      <c r="C16" s="497" t="str">
        <f>$C$8-2&amp;"/"&amp;RIGHT($C$8-1,2)</f>
        <v>2020/21</v>
      </c>
      <c r="D16" s="435"/>
      <c r="E16" s="435"/>
      <c r="F16" s="435"/>
    </row>
    <row r="17" spans="2:6">
      <c r="B17" s="498" t="s">
        <v>57</v>
      </c>
      <c r="C17" s="497" t="str">
        <f>$C$8-1&amp;"/"&amp;RIGHT($C$8,2)</f>
        <v>2021/22</v>
      </c>
      <c r="D17" s="435"/>
      <c r="E17" s="435"/>
      <c r="F17" s="435"/>
    </row>
    <row r="18" spans="2:6">
      <c r="B18" s="492" t="s">
        <v>58</v>
      </c>
      <c r="C18" s="497" t="str">
        <f>$C$8&amp;"/"&amp;RIGHT($C$8+1,2)</f>
        <v>2022/23</v>
      </c>
      <c r="D18" s="435"/>
      <c r="E18" s="435"/>
      <c r="F18" s="435"/>
    </row>
    <row r="19" spans="2:6">
      <c r="B19" s="492" t="s">
        <v>59</v>
      </c>
      <c r="C19" s="497" t="str">
        <f>$C$8+1&amp;"/"&amp;RIGHT($C$8+2,2)</f>
        <v>2023/24</v>
      </c>
      <c r="D19" s="435"/>
      <c r="E19" s="435"/>
      <c r="F19" s="435"/>
    </row>
    <row r="20" spans="2:6">
      <c r="B20" s="492" t="s">
        <v>60</v>
      </c>
      <c r="C20" s="497" t="str">
        <f>$C$8+2&amp;"/"&amp;RIGHT($C$8+3,2)</f>
        <v>2024/25</v>
      </c>
      <c r="D20" s="435"/>
      <c r="E20" s="435"/>
      <c r="F20" s="435"/>
    </row>
    <row r="21" spans="2:6">
      <c r="B21" s="492" t="s">
        <v>61</v>
      </c>
      <c r="C21" s="497" t="str">
        <f>$C$8+3&amp;"/"&amp;RIGHT($C$8+4,2)</f>
        <v>2025/26</v>
      </c>
      <c r="D21" s="435"/>
      <c r="E21" s="435"/>
      <c r="F21" s="435"/>
    </row>
    <row r="22" spans="2:6">
      <c r="B22" s="492" t="s">
        <v>62</v>
      </c>
      <c r="C22" s="497" t="str">
        <f>$C$8+4&amp;"/"&amp;RIGHT($C$8+5,2)</f>
        <v>2026/27</v>
      </c>
      <c r="D22" s="435"/>
      <c r="E22" s="435"/>
      <c r="F22" s="435"/>
    </row>
    <row r="23" spans="2:6">
      <c r="B23" s="18"/>
      <c r="C23" s="18"/>
      <c r="D23" s="435"/>
      <c r="E23" s="435"/>
      <c r="F23" s="435"/>
    </row>
    <row r="24" spans="2:6">
      <c r="B24" s="18"/>
      <c r="C24" s="18"/>
      <c r="D24" s="435"/>
      <c r="E24" s="435"/>
      <c r="F24" s="435"/>
    </row>
    <row r="25" spans="2:6">
      <c r="B25" s="18" t="s">
        <v>1798</v>
      </c>
      <c r="C25" s="499">
        <v>0.1</v>
      </c>
      <c r="D25" s="435"/>
      <c r="E25" s="435"/>
      <c r="F25" s="435"/>
    </row>
    <row r="26" spans="2:6">
      <c r="B26" s="435"/>
      <c r="C26" s="435"/>
      <c r="D26" s="435"/>
      <c r="E26" s="435"/>
      <c r="F26" s="435"/>
    </row>
    <row r="27" spans="2:6">
      <c r="B27" s="435"/>
      <c r="C27" s="435"/>
      <c r="D27" s="435"/>
      <c r="E27" s="435"/>
      <c r="F27" s="435"/>
    </row>
    <row r="28" spans="2:6" ht="50.65">
      <c r="B28" s="500" t="s">
        <v>1799</v>
      </c>
      <c r="C28" s="501" t="s">
        <v>64</v>
      </c>
      <c r="D28" s="502" t="s">
        <v>1800</v>
      </c>
      <c r="E28" s="501" t="s">
        <v>1801</v>
      </c>
      <c r="F28" s="501" t="s">
        <v>1802</v>
      </c>
    </row>
    <row r="29" spans="2:6">
      <c r="B29" s="503"/>
      <c r="C29" s="504" t="s">
        <v>1787</v>
      </c>
      <c r="D29" s="505">
        <v>264.99166666666673</v>
      </c>
      <c r="E29" s="506"/>
      <c r="F29" s="506"/>
    </row>
    <row r="30" spans="2:6">
      <c r="B30" s="503"/>
      <c r="C30" s="504" t="s">
        <v>1788</v>
      </c>
      <c r="D30" s="505">
        <v>274.90833333333336</v>
      </c>
      <c r="E30" s="506"/>
      <c r="F30" s="506"/>
    </row>
    <row r="31" spans="2:6">
      <c r="B31" s="503"/>
      <c r="C31" s="504" t="s">
        <v>1789</v>
      </c>
      <c r="D31" s="505">
        <v>283.30833333333334</v>
      </c>
      <c r="E31" s="507">
        <f>D31/$D$31</f>
        <v>1</v>
      </c>
      <c r="F31" s="507">
        <f>$E$31/E31</f>
        <v>1</v>
      </c>
    </row>
    <row r="32" spans="2:6">
      <c r="B32" s="503"/>
      <c r="C32" s="504" t="s">
        <v>1410</v>
      </c>
      <c r="D32" s="505">
        <v>290.64166666666665</v>
      </c>
      <c r="E32" s="507">
        <f t="shared" ref="E32:E33" si="0">D32/$D$31</f>
        <v>1.0258846368797245</v>
      </c>
      <c r="F32" s="507">
        <f t="shared" ref="F32:F33" si="1">$E$31/E32</f>
        <v>0.97476847205895012</v>
      </c>
    </row>
    <row r="33" spans="2:11">
      <c r="B33" s="503"/>
      <c r="C33" s="504" t="s">
        <v>1790</v>
      </c>
      <c r="D33" s="505">
        <v>294.17509269226207</v>
      </c>
      <c r="E33" s="507">
        <f t="shared" si="0"/>
        <v>1.0383566527361663</v>
      </c>
      <c r="F33" s="507">
        <f t="shared" si="1"/>
        <v>0.9630602330758965</v>
      </c>
    </row>
    <row r="34" spans="2:11">
      <c r="B34" s="503"/>
      <c r="C34" s="504" t="s">
        <v>1420</v>
      </c>
      <c r="D34" s="1333">
        <v>306.08171997152675</v>
      </c>
      <c r="E34" s="507">
        <v>1.0803837514069832</v>
      </c>
      <c r="F34" s="507">
        <v>0.92559703780966762</v>
      </c>
      <c r="K34" s="435"/>
    </row>
    <row r="35" spans="2:11">
      <c r="B35" s="503"/>
      <c r="C35" s="504" t="s">
        <v>1421</v>
      </c>
      <c r="D35" s="1333">
        <v>316.98707913255549</v>
      </c>
      <c r="E35" s="507">
        <v>1.118876650760557</v>
      </c>
      <c r="F35" s="507">
        <v>0.89375356910008752</v>
      </c>
      <c r="K35" s="435"/>
    </row>
    <row r="36" spans="2:11">
      <c r="B36" s="503"/>
      <c r="C36" s="504" t="s">
        <v>1422</v>
      </c>
      <c r="D36" s="1333">
        <v>324.72686310453963</v>
      </c>
      <c r="E36" s="507">
        <v>1.1461959458936011</v>
      </c>
      <c r="F36" s="507">
        <v>0.87245117519620674</v>
      </c>
      <c r="K36" s="435"/>
    </row>
    <row r="37" spans="2:11">
      <c r="B37" s="503"/>
      <c r="C37" s="504" t="s">
        <v>1423</v>
      </c>
      <c r="D37" s="1333">
        <v>331.39205844969081</v>
      </c>
      <c r="E37" s="507">
        <v>1.1697222406083743</v>
      </c>
      <c r="F37" s="507">
        <v>0.85490380988216363</v>
      </c>
      <c r="K37" s="435"/>
    </row>
    <row r="38" spans="2:11">
      <c r="B38" s="503"/>
      <c r="C38" s="504" t="s">
        <v>1424</v>
      </c>
      <c r="D38" s="1333">
        <v>338.024088342862</v>
      </c>
      <c r="E38" s="507">
        <v>1.1931314704574956</v>
      </c>
      <c r="F38" s="507">
        <v>0.83813060401177664</v>
      </c>
    </row>
    <row r="39" spans="2:11">
      <c r="B39" s="503"/>
      <c r="C39" s="504" t="s">
        <v>1803</v>
      </c>
      <c r="D39" s="508"/>
      <c r="E39" s="506"/>
      <c r="F39" s="506"/>
      <c r="G39" s="58"/>
      <c r="H39" s="58"/>
    </row>
    <row r="40" spans="2:11">
      <c r="B40" s="18"/>
      <c r="C40" s="18"/>
      <c r="D40" s="18"/>
      <c r="E40" s="435"/>
      <c r="F40" s="435"/>
    </row>
    <row r="41" spans="2:11">
      <c r="B41" s="1345" t="s">
        <v>1804</v>
      </c>
      <c r="C41" s="1345"/>
      <c r="D41" s="509">
        <f>INDEX($D$29:$D$39,MATCH($C$17,C29:C39,0))</f>
        <v>306.08171997152675</v>
      </c>
      <c r="E41" s="435"/>
      <c r="F41" s="435"/>
    </row>
  </sheetData>
  <mergeCells count="1">
    <mergeCell ref="B41:C41"/>
  </mergeCells>
  <phoneticPr fontId="54"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rgb="FFFF9900"/>
  </sheetPr>
  <dimension ref="A1:AI34"/>
  <sheetViews>
    <sheetView zoomScale="80" zoomScaleNormal="80" workbookViewId="0">
      <pane ySplit="8" topLeftCell="A9" activePane="bottomLeft" state="frozen"/>
      <selection pane="bottomLeft"/>
    </sheetView>
  </sheetViews>
  <sheetFormatPr defaultRowHeight="14.25"/>
  <cols>
    <col min="1" max="15" width="1.73046875" customWidth="1"/>
    <col min="16" max="16" width="43" bestFit="1" customWidth="1"/>
    <col min="17" max="17" width="39.86328125" bestFit="1" customWidth="1"/>
    <col min="18" max="18" width="16.265625" bestFit="1" customWidth="1"/>
    <col min="19" max="28" width="1.73046875" hidden="1" customWidth="1"/>
    <col min="29" max="29" width="10.1328125" bestFit="1" customWidth="1"/>
    <col min="30" max="30" width="7.7304687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966</v>
      </c>
    </row>
    <row r="6" spans="1:35">
      <c r="AD6" s="435"/>
      <c r="AE6" s="1347" t="s">
        <v>112</v>
      </c>
      <c r="AF6" s="1348"/>
      <c r="AG6" s="1348"/>
      <c r="AH6" s="1348"/>
      <c r="AI6" s="1349"/>
    </row>
    <row r="7" spans="1:35" s="67" customFormat="1">
      <c r="D7" s="87"/>
      <c r="E7" s="87"/>
      <c r="F7" s="87"/>
      <c r="G7" s="87"/>
      <c r="H7" s="87"/>
      <c r="I7" s="87"/>
      <c r="J7" s="87"/>
      <c r="K7" s="87"/>
      <c r="L7" s="87"/>
      <c r="M7" s="87"/>
      <c r="N7" s="87"/>
      <c r="O7" s="87"/>
      <c r="P7" s="86"/>
      <c r="Q7" s="86"/>
      <c r="R7" s="86"/>
      <c r="S7" s="86" t="s">
        <v>98</v>
      </c>
      <c r="T7" s="86" t="s">
        <v>97</v>
      </c>
      <c r="U7" s="86" t="s">
        <v>96</v>
      </c>
      <c r="V7" s="86" t="s">
        <v>95</v>
      </c>
      <c r="W7" s="86" t="s">
        <v>94</v>
      </c>
      <c r="X7" s="86" t="s">
        <v>93</v>
      </c>
      <c r="Y7" s="86" t="s">
        <v>92</v>
      </c>
      <c r="Z7" s="86" t="s">
        <v>91</v>
      </c>
      <c r="AA7" s="86" t="s">
        <v>90</v>
      </c>
      <c r="AB7" s="86" t="s">
        <v>89</v>
      </c>
      <c r="AC7" s="67" t="s">
        <v>5</v>
      </c>
      <c r="AE7" s="84">
        <v>2022</v>
      </c>
      <c r="AF7" s="83">
        <v>2023</v>
      </c>
      <c r="AG7" s="83">
        <v>2024</v>
      </c>
      <c r="AH7" s="83">
        <v>2025</v>
      </c>
      <c r="AI7" s="82">
        <v>2026</v>
      </c>
    </row>
    <row r="8" spans="1:35">
      <c r="O8" s="67"/>
      <c r="P8" s="67"/>
      <c r="Q8" s="67"/>
      <c r="R8" s="67"/>
      <c r="S8" s="67"/>
      <c r="T8" s="67"/>
      <c r="U8" s="67"/>
      <c r="V8" s="67"/>
    </row>
    <row r="9" spans="1:35" s="1" customFormat="1" ht="17.649999999999999">
      <c r="B9" s="2"/>
    </row>
    <row r="11" spans="1:35" s="1" customFormat="1" ht="13.9">
      <c r="A11" s="66"/>
      <c r="B11" s="78" t="s">
        <v>956</v>
      </c>
    </row>
    <row r="13" spans="1:35">
      <c r="P13" t="s">
        <v>959</v>
      </c>
      <c r="Q13" t="s">
        <v>958</v>
      </c>
      <c r="AC13" t="s">
        <v>957</v>
      </c>
      <c r="AE13" s="106"/>
      <c r="AF13" s="106"/>
      <c r="AG13" s="106"/>
      <c r="AH13" s="106"/>
      <c r="AI13" s="106"/>
    </row>
    <row r="14" spans="1:35">
      <c r="P14" t="s">
        <v>959</v>
      </c>
      <c r="Q14" t="s">
        <v>960</v>
      </c>
      <c r="R14" t="s">
        <v>914</v>
      </c>
      <c r="V14" s="99"/>
      <c r="AC14" t="s">
        <v>957</v>
      </c>
      <c r="AE14" s="106"/>
      <c r="AF14" s="106"/>
      <c r="AG14" s="106"/>
      <c r="AH14" s="106"/>
      <c r="AI14" s="106"/>
    </row>
    <row r="15" spans="1:35">
      <c r="P15" t="s">
        <v>959</v>
      </c>
      <c r="Q15" t="s">
        <v>961</v>
      </c>
      <c r="R15" t="s">
        <v>915</v>
      </c>
      <c r="V15" s="99"/>
      <c r="AC15" t="s">
        <v>957</v>
      </c>
      <c r="AE15" s="106"/>
      <c r="AF15" s="106"/>
      <c r="AG15" s="106"/>
      <c r="AH15" s="106"/>
      <c r="AI15" s="106"/>
    </row>
    <row r="16" spans="1:35">
      <c r="P16" t="s">
        <v>959</v>
      </c>
      <c r="Q16" t="s">
        <v>961</v>
      </c>
      <c r="R16" t="s">
        <v>916</v>
      </c>
      <c r="V16" s="99"/>
      <c r="AC16" t="s">
        <v>957</v>
      </c>
      <c r="AE16" s="106"/>
      <c r="AF16" s="106"/>
      <c r="AG16" s="106"/>
      <c r="AH16" s="106"/>
      <c r="AI16" s="106"/>
    </row>
    <row r="17" spans="1:35">
      <c r="P17" t="s">
        <v>959</v>
      </c>
      <c r="Q17" t="s">
        <v>961</v>
      </c>
      <c r="R17" t="s">
        <v>917</v>
      </c>
      <c r="V17" s="99"/>
      <c r="AC17" t="s">
        <v>957</v>
      </c>
      <c r="AE17" s="106"/>
      <c r="AF17" s="106"/>
      <c r="AG17" s="106"/>
      <c r="AH17" s="106"/>
      <c r="AI17" s="106"/>
    </row>
    <row r="18" spans="1:35">
      <c r="P18" t="s">
        <v>959</v>
      </c>
      <c r="Q18" t="s">
        <v>961</v>
      </c>
      <c r="R18" t="s">
        <v>918</v>
      </c>
      <c r="V18" s="99"/>
      <c r="AC18" t="s">
        <v>957</v>
      </c>
      <c r="AE18" s="106"/>
      <c r="AF18" s="106"/>
      <c r="AG18" s="106"/>
      <c r="AH18" s="106"/>
      <c r="AI18" s="106"/>
    </row>
    <row r="19" spans="1:35">
      <c r="P19" t="s">
        <v>959</v>
      </c>
      <c r="Q19" t="s">
        <v>961</v>
      </c>
      <c r="R19" t="s">
        <v>919</v>
      </c>
      <c r="V19" s="99"/>
      <c r="AC19" t="s">
        <v>957</v>
      </c>
      <c r="AE19" s="106"/>
      <c r="AF19" s="106"/>
      <c r="AG19" s="106"/>
      <c r="AH19" s="106"/>
      <c r="AI19" s="106"/>
    </row>
    <row r="20" spans="1:35">
      <c r="P20" t="s">
        <v>959</v>
      </c>
      <c r="Q20" t="s">
        <v>961</v>
      </c>
      <c r="R20" t="s">
        <v>920</v>
      </c>
      <c r="V20" s="99"/>
      <c r="AC20" t="s">
        <v>957</v>
      </c>
      <c r="AE20" s="106"/>
      <c r="AF20" s="106"/>
      <c r="AG20" s="106"/>
      <c r="AH20" s="106"/>
      <c r="AI20" s="106"/>
    </row>
    <row r="21" spans="1:35">
      <c r="P21" t="s">
        <v>959</v>
      </c>
      <c r="Q21" t="s">
        <v>961</v>
      </c>
      <c r="R21" t="s">
        <v>921</v>
      </c>
      <c r="V21" s="99"/>
      <c r="AC21" t="s">
        <v>957</v>
      </c>
      <c r="AE21" s="106"/>
      <c r="AF21" s="106"/>
      <c r="AG21" s="106"/>
      <c r="AH21" s="106"/>
      <c r="AI21" s="106"/>
    </row>
    <row r="22" spans="1:35">
      <c r="P22" t="s">
        <v>959</v>
      </c>
      <c r="Q22" t="s">
        <v>961</v>
      </c>
      <c r="R22" t="s">
        <v>922</v>
      </c>
      <c r="V22" s="99"/>
      <c r="AC22" t="s">
        <v>957</v>
      </c>
      <c r="AE22" s="106"/>
      <c r="AF22" s="106"/>
      <c r="AG22" s="106"/>
      <c r="AH22" s="106"/>
      <c r="AI22" s="106"/>
    </row>
    <row r="23" spans="1:35">
      <c r="P23" t="s">
        <v>959</v>
      </c>
      <c r="Q23" t="s">
        <v>961</v>
      </c>
      <c r="R23" t="s">
        <v>923</v>
      </c>
      <c r="V23" s="99"/>
      <c r="AC23" t="s">
        <v>957</v>
      </c>
      <c r="AE23" s="106"/>
      <c r="AF23" s="106"/>
      <c r="AG23" s="106"/>
      <c r="AH23" s="106"/>
      <c r="AI23" s="106"/>
    </row>
    <row r="24" spans="1:35">
      <c r="P24" t="s">
        <v>959</v>
      </c>
      <c r="Q24" t="s">
        <v>961</v>
      </c>
      <c r="R24" t="s">
        <v>924</v>
      </c>
      <c r="V24" s="99"/>
      <c r="AC24" t="s">
        <v>957</v>
      </c>
      <c r="AE24" s="106"/>
      <c r="AF24" s="106"/>
      <c r="AG24" s="106"/>
      <c r="AH24" s="106"/>
      <c r="AI24" s="106"/>
    </row>
    <row r="25" spans="1:35">
      <c r="P25" t="s">
        <v>959</v>
      </c>
      <c r="Q25" t="s">
        <v>961</v>
      </c>
      <c r="R25" t="s">
        <v>962</v>
      </c>
      <c r="V25" s="99"/>
      <c r="AC25" t="s">
        <v>957</v>
      </c>
      <c r="AE25" s="106"/>
      <c r="AF25" s="106"/>
      <c r="AG25" s="106"/>
      <c r="AH25" s="106"/>
      <c r="AI25" s="106"/>
    </row>
    <row r="26" spans="1:35">
      <c r="P26" t="s">
        <v>959</v>
      </c>
      <c r="Q26" t="s">
        <v>961</v>
      </c>
      <c r="R26" t="s">
        <v>926</v>
      </c>
      <c r="V26" s="99"/>
      <c r="AC26" t="s">
        <v>957</v>
      </c>
      <c r="AE26" s="106"/>
      <c r="AF26" s="106"/>
      <c r="AG26" s="106"/>
      <c r="AH26" s="106"/>
      <c r="AI26" s="106"/>
    </row>
    <row r="27" spans="1:35">
      <c r="P27" t="s">
        <v>959</v>
      </c>
      <c r="Q27" t="s">
        <v>967</v>
      </c>
      <c r="V27" s="99"/>
      <c r="AC27" t="s">
        <v>957</v>
      </c>
      <c r="AE27" s="106"/>
      <c r="AF27" s="106"/>
      <c r="AG27" s="106"/>
      <c r="AH27" s="106"/>
      <c r="AI27" s="106"/>
    </row>
    <row r="28" spans="1:35">
      <c r="P28" t="s">
        <v>959</v>
      </c>
      <c r="Q28" t="s">
        <v>968</v>
      </c>
      <c r="V28" s="99"/>
      <c r="AC28" t="s">
        <v>957</v>
      </c>
      <c r="AE28" s="106"/>
      <c r="AF28" s="106"/>
      <c r="AG28" s="106"/>
      <c r="AH28" s="106"/>
      <c r="AI28" s="106"/>
    </row>
    <row r="30" spans="1:35" s="1" customFormat="1" ht="13.9">
      <c r="A30" s="66"/>
      <c r="B30" s="78" t="s">
        <v>964</v>
      </c>
    </row>
    <row r="32" spans="1:35">
      <c r="P32" t="s">
        <v>963</v>
      </c>
      <c r="V32" s="99"/>
      <c r="AC32" t="s">
        <v>965</v>
      </c>
      <c r="AE32" s="106"/>
      <c r="AF32" s="106"/>
      <c r="AG32" s="106"/>
      <c r="AH32" s="106"/>
      <c r="AI32" s="106"/>
    </row>
    <row r="34" spans="1:1" s="73" customFormat="1" ht="18">
      <c r="A34" s="74" t="s">
        <v>76</v>
      </c>
    </row>
  </sheetData>
  <mergeCells count="1">
    <mergeCell ref="AE6:AI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rgb="FFFF9900"/>
  </sheetPr>
  <dimension ref="A1:CL339"/>
  <sheetViews>
    <sheetView zoomScale="80" zoomScaleNormal="80" workbookViewId="0">
      <pane ySplit="8" topLeftCell="A9" activePane="bottomLeft" state="frozen"/>
      <selection pane="bottomLeft"/>
    </sheetView>
  </sheetViews>
  <sheetFormatPr defaultRowHeight="14.25"/>
  <cols>
    <col min="1" max="7" width="1.73046875" customWidth="1"/>
    <col min="8" max="8" width="28.73046875" bestFit="1" customWidth="1"/>
    <col min="9" max="15" width="1.73046875" customWidth="1"/>
    <col min="16" max="16" width="26.59765625" style="114" bestFit="1" customWidth="1"/>
    <col min="17" max="17" width="8" style="114" bestFit="1" customWidth="1"/>
    <col min="18" max="28" width="1.73046875" hidden="1" customWidth="1"/>
    <col min="29" max="29" width="9.1328125" customWidth="1"/>
    <col min="30" max="30" width="7.73046875" customWidth="1"/>
    <col min="43" max="90" width="9.1328125" style="435"/>
  </cols>
  <sheetData>
    <row r="1" spans="1:90" s="73" customFormat="1" ht="23.25">
      <c r="A1" s="89" t="str">
        <f>'1.1 Cover'!A2</f>
        <v>Regulatory Reporting Pack</v>
      </c>
      <c r="P1" s="113"/>
      <c r="Q1" s="113"/>
    </row>
    <row r="2" spans="1:90" s="73" customFormat="1" ht="23.25">
      <c r="A2" s="89" t="str">
        <f>'1.1 Cover'!A3</f>
        <v>Price base - 2018/19</v>
      </c>
      <c r="P2" s="113"/>
      <c r="Q2" s="113"/>
    </row>
    <row r="3" spans="1:90" s="73" customFormat="1" ht="23.25">
      <c r="A3" s="89" t="str">
        <f>'1.1 Cover'!A4</f>
        <v>Regulatory Year: April 2021 - March 2022</v>
      </c>
      <c r="P3" s="113"/>
      <c r="Q3" s="113"/>
    </row>
    <row r="4" spans="1:90" s="73" customFormat="1" ht="23.25">
      <c r="A4" s="89" t="s">
        <v>1048</v>
      </c>
      <c r="P4" s="113"/>
      <c r="Q4" s="113"/>
    </row>
    <row r="6" spans="1:90">
      <c r="AD6" s="435"/>
      <c r="AE6" s="1347">
        <f>'1.5 Universal Data'!C8</f>
        <v>2022</v>
      </c>
      <c r="AF6" s="1348"/>
      <c r="AG6" s="1348"/>
      <c r="AH6" s="1348"/>
      <c r="AI6" s="1348"/>
      <c r="AJ6" s="1348"/>
      <c r="AK6" s="1348"/>
      <c r="AL6" s="1348"/>
      <c r="AM6" s="1348"/>
      <c r="AN6" s="1348"/>
      <c r="AO6" s="1348"/>
      <c r="AP6" s="1349"/>
      <c r="AQ6"/>
      <c r="AR6" s="1362" t="s">
        <v>112</v>
      </c>
      <c r="AS6" s="1363"/>
      <c r="AT6" s="1363"/>
      <c r="AU6" s="1363"/>
      <c r="AV6" s="1364"/>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67" customFormat="1">
      <c r="D7" s="87"/>
      <c r="E7" s="87"/>
      <c r="F7" s="87"/>
      <c r="G7" s="87"/>
      <c r="H7" s="87"/>
      <c r="I7" s="87"/>
      <c r="J7" s="87"/>
      <c r="K7" s="87"/>
      <c r="L7" s="87"/>
      <c r="M7" s="87"/>
      <c r="N7" s="87"/>
      <c r="O7" s="87"/>
      <c r="P7" s="67" t="s">
        <v>969</v>
      </c>
      <c r="Q7" s="67" t="s">
        <v>5</v>
      </c>
      <c r="R7" s="86" t="s">
        <v>99</v>
      </c>
      <c r="S7" s="86" t="s">
        <v>98</v>
      </c>
      <c r="T7" s="86" t="s">
        <v>97</v>
      </c>
      <c r="U7" s="86" t="s">
        <v>96</v>
      </c>
      <c r="V7" s="86" t="s">
        <v>95</v>
      </c>
      <c r="W7" s="86" t="s">
        <v>94</v>
      </c>
      <c r="X7" s="86" t="s">
        <v>93</v>
      </c>
      <c r="Y7" s="86" t="s">
        <v>92</v>
      </c>
      <c r="Z7" s="86" t="s">
        <v>91</v>
      </c>
      <c r="AA7" s="86" t="s">
        <v>90</v>
      </c>
      <c r="AB7" s="86" t="s">
        <v>89</v>
      </c>
      <c r="AC7" s="67" t="s">
        <v>5</v>
      </c>
      <c r="AD7" s="435"/>
      <c r="AE7" s="84" t="s">
        <v>870</v>
      </c>
      <c r="AF7" s="83" t="s">
        <v>871</v>
      </c>
      <c r="AG7" s="83" t="s">
        <v>872</v>
      </c>
      <c r="AH7" s="83" t="s">
        <v>873</v>
      </c>
      <c r="AI7" s="83" t="s">
        <v>874</v>
      </c>
      <c r="AJ7" s="104" t="s">
        <v>875</v>
      </c>
      <c r="AK7" s="104" t="s">
        <v>876</v>
      </c>
      <c r="AL7" s="104" t="s">
        <v>877</v>
      </c>
      <c r="AM7" s="104" t="s">
        <v>878</v>
      </c>
      <c r="AN7" s="104" t="s">
        <v>879</v>
      </c>
      <c r="AO7" s="104" t="s">
        <v>880</v>
      </c>
      <c r="AP7" s="105" t="s">
        <v>881</v>
      </c>
      <c r="AR7" s="90">
        <v>2022</v>
      </c>
      <c r="AS7" s="91">
        <v>2023</v>
      </c>
      <c r="AT7" s="91">
        <v>2024</v>
      </c>
      <c r="AU7" s="91">
        <v>2025</v>
      </c>
      <c r="AV7" s="92">
        <v>2026</v>
      </c>
    </row>
    <row r="8" spans="1:90">
      <c r="P8" s="67"/>
      <c r="Q8" s="67"/>
      <c r="R8" s="67"/>
      <c r="S8" s="67"/>
      <c r="T8" s="67"/>
      <c r="U8" s="67"/>
      <c r="V8" s="67"/>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s="1" customFormat="1" ht="17.649999999999999">
      <c r="B9" s="2"/>
      <c r="P9" s="115"/>
      <c r="Q9" s="115"/>
    </row>
    <row r="10" spans="1:9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1" customFormat="1">
      <c r="A11" s="66"/>
      <c r="B11" s="78" t="s">
        <v>970</v>
      </c>
      <c r="P11" s="115"/>
      <c r="Q11" s="115"/>
    </row>
    <row r="12" spans="1:90">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c r="H13" s="435" t="s">
        <v>995</v>
      </c>
      <c r="P13" s="116"/>
      <c r="Q13" s="116"/>
      <c r="V13" s="99"/>
      <c r="AC13" t="s">
        <v>993</v>
      </c>
      <c r="AE13" s="106"/>
      <c r="AF13" s="106"/>
      <c r="AG13" s="106"/>
      <c r="AH13" s="106"/>
      <c r="AI13" s="106"/>
      <c r="AJ13" s="106"/>
      <c r="AK13" s="106"/>
      <c r="AL13" s="106"/>
      <c r="AM13" s="106"/>
      <c r="AN13" s="106"/>
      <c r="AO13" s="106"/>
      <c r="AP13" s="106"/>
      <c r="AQ13"/>
      <c r="AR13" s="106"/>
      <c r="AS13" s="106"/>
      <c r="AT13" s="106"/>
      <c r="AU13" s="106"/>
      <c r="AV13" s="106"/>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c r="H14" t="s">
        <v>995</v>
      </c>
      <c r="P14" s="116"/>
      <c r="Q14" s="116"/>
      <c r="V14" s="99"/>
      <c r="AC14" t="s">
        <v>993</v>
      </c>
      <c r="AE14" s="106"/>
      <c r="AF14" s="106"/>
      <c r="AG14" s="106"/>
      <c r="AH14" s="106"/>
      <c r="AI14" s="106"/>
      <c r="AJ14" s="106"/>
      <c r="AK14" s="106"/>
      <c r="AL14" s="106"/>
      <c r="AM14" s="106"/>
      <c r="AN14" s="106"/>
      <c r="AO14" s="106"/>
      <c r="AP14" s="106"/>
      <c r="AQ14"/>
      <c r="AR14" s="106"/>
      <c r="AS14" s="106"/>
      <c r="AT14" s="106"/>
      <c r="AU14" s="106"/>
      <c r="AV14" s="106"/>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c r="H15" t="s">
        <v>995</v>
      </c>
      <c r="P15" s="116"/>
      <c r="Q15" s="116"/>
      <c r="V15" s="99"/>
      <c r="AC15" t="s">
        <v>993</v>
      </c>
      <c r="AE15" s="106"/>
      <c r="AF15" s="106"/>
      <c r="AG15" s="106"/>
      <c r="AH15" s="106"/>
      <c r="AI15" s="106"/>
      <c r="AJ15" s="106"/>
      <c r="AK15" s="106"/>
      <c r="AL15" s="106"/>
      <c r="AM15" s="106"/>
      <c r="AN15" s="106"/>
      <c r="AO15" s="106"/>
      <c r="AP15" s="106"/>
      <c r="AQ15"/>
      <c r="AR15" s="106"/>
      <c r="AS15" s="106"/>
      <c r="AT15" s="106"/>
      <c r="AU15" s="106"/>
      <c r="AV15" s="106"/>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c r="H16" t="s">
        <v>995</v>
      </c>
      <c r="P16" s="116"/>
      <c r="Q16" s="116"/>
      <c r="V16" s="99"/>
      <c r="AC16" t="s">
        <v>993</v>
      </c>
      <c r="AE16" s="106"/>
      <c r="AF16" s="106"/>
      <c r="AG16" s="106"/>
      <c r="AH16" s="106"/>
      <c r="AI16" s="106"/>
      <c r="AJ16" s="106"/>
      <c r="AK16" s="106"/>
      <c r="AL16" s="106"/>
      <c r="AM16" s="106"/>
      <c r="AN16" s="106"/>
      <c r="AO16" s="106"/>
      <c r="AP16" s="106"/>
      <c r="AQ16"/>
      <c r="AR16" s="106"/>
      <c r="AS16" s="106"/>
      <c r="AT16" s="106"/>
      <c r="AU16" s="106"/>
      <c r="AV16" s="10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8:90">
      <c r="H17" t="s">
        <v>995</v>
      </c>
      <c r="P17" s="116"/>
      <c r="Q17" s="116"/>
      <c r="V17" s="99"/>
      <c r="AC17" t="s">
        <v>993</v>
      </c>
      <c r="AE17" s="106"/>
      <c r="AF17" s="106"/>
      <c r="AG17" s="106"/>
      <c r="AH17" s="106"/>
      <c r="AI17" s="106"/>
      <c r="AJ17" s="106"/>
      <c r="AK17" s="106"/>
      <c r="AL17" s="106"/>
      <c r="AM17" s="106"/>
      <c r="AN17" s="106"/>
      <c r="AO17" s="106"/>
      <c r="AP17" s="106"/>
      <c r="AQ17"/>
      <c r="AR17" s="106"/>
      <c r="AS17" s="106"/>
      <c r="AT17" s="106"/>
      <c r="AU17" s="106"/>
      <c r="AV17" s="106"/>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8:90">
      <c r="H18" t="s">
        <v>995</v>
      </c>
      <c r="P18" s="116"/>
      <c r="Q18" s="116"/>
      <c r="V18" s="99"/>
      <c r="AC18" t="s">
        <v>993</v>
      </c>
      <c r="AE18" s="106"/>
      <c r="AF18" s="106"/>
      <c r="AG18" s="106"/>
      <c r="AH18" s="106"/>
      <c r="AI18" s="106"/>
      <c r="AJ18" s="106"/>
      <c r="AK18" s="106"/>
      <c r="AL18" s="106"/>
      <c r="AM18" s="106"/>
      <c r="AN18" s="106"/>
      <c r="AO18" s="106"/>
      <c r="AP18" s="106"/>
      <c r="AQ18"/>
      <c r="AR18" s="106"/>
      <c r="AS18" s="106"/>
      <c r="AT18" s="106"/>
      <c r="AU18" s="106"/>
      <c r="AV18" s="106"/>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8:90">
      <c r="H19" t="s">
        <v>995</v>
      </c>
      <c r="P19" s="116"/>
      <c r="Q19" s="116"/>
      <c r="V19" s="99"/>
      <c r="AC19" t="s">
        <v>993</v>
      </c>
      <c r="AE19" s="106"/>
      <c r="AF19" s="106"/>
      <c r="AG19" s="106"/>
      <c r="AH19" s="106"/>
      <c r="AI19" s="106"/>
      <c r="AJ19" s="106"/>
      <c r="AK19" s="106"/>
      <c r="AL19" s="106"/>
      <c r="AM19" s="106"/>
      <c r="AN19" s="106"/>
      <c r="AO19" s="106"/>
      <c r="AP19" s="106"/>
      <c r="AQ19"/>
      <c r="AR19" s="106"/>
      <c r="AS19" s="106"/>
      <c r="AT19" s="106"/>
      <c r="AU19" s="106"/>
      <c r="AV19" s="106"/>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8:90">
      <c r="H20" t="s">
        <v>995</v>
      </c>
      <c r="P20" s="116"/>
      <c r="Q20" s="116"/>
      <c r="V20" s="99"/>
      <c r="AC20" t="s">
        <v>993</v>
      </c>
      <c r="AE20" s="106"/>
      <c r="AF20" s="106"/>
      <c r="AG20" s="106"/>
      <c r="AH20" s="106"/>
      <c r="AI20" s="106"/>
      <c r="AJ20" s="106"/>
      <c r="AK20" s="106"/>
      <c r="AL20" s="106"/>
      <c r="AM20" s="106"/>
      <c r="AN20" s="106"/>
      <c r="AO20" s="106"/>
      <c r="AP20" s="106"/>
      <c r="AQ20"/>
      <c r="AR20" s="106"/>
      <c r="AS20" s="106"/>
      <c r="AT20" s="106"/>
      <c r="AU20" s="106"/>
      <c r="AV20" s="106"/>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8:90">
      <c r="H21" t="s">
        <v>995</v>
      </c>
      <c r="P21" s="116"/>
      <c r="Q21" s="116"/>
      <c r="V21" s="99"/>
      <c r="AC21" t="s">
        <v>993</v>
      </c>
      <c r="AE21" s="106"/>
      <c r="AF21" s="106"/>
      <c r="AG21" s="106"/>
      <c r="AH21" s="106"/>
      <c r="AI21" s="106"/>
      <c r="AJ21" s="106"/>
      <c r="AK21" s="106"/>
      <c r="AL21" s="106"/>
      <c r="AM21" s="106"/>
      <c r="AN21" s="106"/>
      <c r="AO21" s="106"/>
      <c r="AP21" s="106"/>
      <c r="AQ21"/>
      <c r="AR21" s="106"/>
      <c r="AS21" s="106"/>
      <c r="AT21" s="106"/>
      <c r="AU21" s="106"/>
      <c r="AV21" s="106"/>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8:90">
      <c r="H22" t="s">
        <v>995</v>
      </c>
      <c r="P22" s="116"/>
      <c r="Q22" s="116"/>
      <c r="V22" s="99"/>
      <c r="AC22" t="s">
        <v>993</v>
      </c>
      <c r="AE22" s="106"/>
      <c r="AF22" s="106"/>
      <c r="AG22" s="106"/>
      <c r="AH22" s="106"/>
      <c r="AI22" s="106"/>
      <c r="AJ22" s="106"/>
      <c r="AK22" s="106"/>
      <c r="AL22" s="106"/>
      <c r="AM22" s="106"/>
      <c r="AN22" s="106"/>
      <c r="AO22" s="106"/>
      <c r="AP22" s="106"/>
      <c r="AQ22"/>
      <c r="AR22" s="106"/>
      <c r="AS22" s="106"/>
      <c r="AT22" s="106"/>
      <c r="AU22" s="106"/>
      <c r="AV22" s="106"/>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8:90">
      <c r="H23" t="s">
        <v>995</v>
      </c>
      <c r="P23" s="116"/>
      <c r="Q23" s="116"/>
      <c r="V23" s="99"/>
      <c r="AC23" t="s">
        <v>993</v>
      </c>
      <c r="AE23" s="106"/>
      <c r="AF23" s="106"/>
      <c r="AG23" s="106"/>
      <c r="AH23" s="106"/>
      <c r="AI23" s="106"/>
      <c r="AJ23" s="106"/>
      <c r="AK23" s="106"/>
      <c r="AL23" s="106"/>
      <c r="AM23" s="106"/>
      <c r="AN23" s="106"/>
      <c r="AO23" s="106"/>
      <c r="AP23" s="106"/>
      <c r="AQ23"/>
      <c r="AR23" s="106"/>
      <c r="AS23" s="106"/>
      <c r="AT23" s="106"/>
      <c r="AU23" s="106"/>
      <c r="AV23" s="106"/>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8:90">
      <c r="H24" t="s">
        <v>995</v>
      </c>
      <c r="P24" s="116"/>
      <c r="Q24" s="116"/>
      <c r="V24" s="99"/>
      <c r="AC24" t="s">
        <v>993</v>
      </c>
      <c r="AE24" s="106"/>
      <c r="AF24" s="106"/>
      <c r="AG24" s="106"/>
      <c r="AH24" s="106"/>
      <c r="AI24" s="106"/>
      <c r="AJ24" s="106"/>
      <c r="AK24" s="106"/>
      <c r="AL24" s="106"/>
      <c r="AM24" s="106"/>
      <c r="AN24" s="106"/>
      <c r="AO24" s="106"/>
      <c r="AP24" s="106"/>
      <c r="AQ24"/>
      <c r="AR24" s="106"/>
      <c r="AS24" s="106"/>
      <c r="AT24" s="106"/>
      <c r="AU24" s="106"/>
      <c r="AV24" s="106"/>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8:90">
      <c r="H25" t="s">
        <v>995</v>
      </c>
      <c r="P25" s="116"/>
      <c r="Q25" s="116"/>
      <c r="V25" s="99"/>
      <c r="AC25" t="s">
        <v>993</v>
      </c>
      <c r="AE25" s="106"/>
      <c r="AF25" s="106"/>
      <c r="AG25" s="106"/>
      <c r="AH25" s="106"/>
      <c r="AI25" s="106"/>
      <c r="AJ25" s="106"/>
      <c r="AK25" s="106"/>
      <c r="AL25" s="106"/>
      <c r="AM25" s="106"/>
      <c r="AN25" s="106"/>
      <c r="AO25" s="106"/>
      <c r="AP25" s="106"/>
      <c r="AQ25"/>
      <c r="AR25" s="106"/>
      <c r="AS25" s="106"/>
      <c r="AT25" s="106"/>
      <c r="AU25" s="106"/>
      <c r="AV25" s="106"/>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8:90">
      <c r="H26" t="s">
        <v>995</v>
      </c>
      <c r="P26" s="116"/>
      <c r="Q26" s="116"/>
      <c r="V26" s="99"/>
      <c r="AC26" t="s">
        <v>993</v>
      </c>
      <c r="AE26" s="106"/>
      <c r="AF26" s="106"/>
      <c r="AG26" s="106"/>
      <c r="AH26" s="106"/>
      <c r="AI26" s="106"/>
      <c r="AJ26" s="106"/>
      <c r="AK26" s="106"/>
      <c r="AL26" s="106"/>
      <c r="AM26" s="106"/>
      <c r="AN26" s="106"/>
      <c r="AO26" s="106"/>
      <c r="AP26" s="106"/>
      <c r="AQ26"/>
      <c r="AR26" s="106"/>
      <c r="AS26" s="106"/>
      <c r="AT26" s="106"/>
      <c r="AU26" s="106"/>
      <c r="AV26" s="10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8:90">
      <c r="H27" t="s">
        <v>995</v>
      </c>
      <c r="P27" s="116"/>
      <c r="Q27" s="116"/>
      <c r="V27" s="99"/>
      <c r="AC27" t="s">
        <v>993</v>
      </c>
      <c r="AE27" s="106"/>
      <c r="AF27" s="106"/>
      <c r="AG27" s="106"/>
      <c r="AH27" s="106"/>
      <c r="AI27" s="106"/>
      <c r="AJ27" s="106"/>
      <c r="AK27" s="106"/>
      <c r="AL27" s="106"/>
      <c r="AM27" s="106"/>
      <c r="AN27" s="106"/>
      <c r="AO27" s="106"/>
      <c r="AP27" s="106"/>
      <c r="AQ27"/>
      <c r="AR27" s="106"/>
      <c r="AS27" s="106"/>
      <c r="AT27" s="106"/>
      <c r="AU27" s="106"/>
      <c r="AV27" s="106"/>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8:90">
      <c r="H28" t="s">
        <v>995</v>
      </c>
      <c r="P28" s="116"/>
      <c r="Q28" s="116"/>
      <c r="V28" s="99"/>
      <c r="AC28" t="s">
        <v>993</v>
      </c>
      <c r="AE28" s="106"/>
      <c r="AF28" s="106"/>
      <c r="AG28" s="106"/>
      <c r="AH28" s="106"/>
      <c r="AI28" s="106"/>
      <c r="AJ28" s="106"/>
      <c r="AK28" s="106"/>
      <c r="AL28" s="106"/>
      <c r="AM28" s="106"/>
      <c r="AN28" s="106"/>
      <c r="AO28" s="106"/>
      <c r="AP28" s="106"/>
      <c r="AQ28"/>
      <c r="AR28" s="106"/>
      <c r="AS28" s="106"/>
      <c r="AT28" s="106"/>
      <c r="AU28" s="106"/>
      <c r="AV28" s="106"/>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8:90">
      <c r="H29" t="s">
        <v>995</v>
      </c>
      <c r="P29" s="116"/>
      <c r="Q29" s="116"/>
      <c r="V29" s="99"/>
      <c r="AC29" t="s">
        <v>993</v>
      </c>
      <c r="AE29" s="106"/>
      <c r="AF29" s="106"/>
      <c r="AG29" s="106"/>
      <c r="AH29" s="106"/>
      <c r="AI29" s="106"/>
      <c r="AJ29" s="106"/>
      <c r="AK29" s="106"/>
      <c r="AL29" s="106"/>
      <c r="AM29" s="106"/>
      <c r="AN29" s="106"/>
      <c r="AO29" s="106"/>
      <c r="AP29" s="106"/>
      <c r="AQ29"/>
      <c r="AR29" s="106"/>
      <c r="AS29" s="106"/>
      <c r="AT29" s="106"/>
      <c r="AU29" s="106"/>
      <c r="AV29" s="106"/>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8:90">
      <c r="H30" t="s">
        <v>995</v>
      </c>
      <c r="P30" s="116"/>
      <c r="Q30" s="116"/>
      <c r="V30" s="99"/>
      <c r="AC30" t="s">
        <v>993</v>
      </c>
      <c r="AE30" s="106"/>
      <c r="AF30" s="106"/>
      <c r="AG30" s="106"/>
      <c r="AH30" s="106"/>
      <c r="AI30" s="106"/>
      <c r="AJ30" s="106"/>
      <c r="AK30" s="106"/>
      <c r="AL30" s="106"/>
      <c r="AM30" s="106"/>
      <c r="AN30" s="106"/>
      <c r="AO30" s="106"/>
      <c r="AP30" s="106"/>
      <c r="AQ30"/>
      <c r="AR30" s="106"/>
      <c r="AS30" s="106"/>
      <c r="AT30" s="106"/>
      <c r="AU30" s="106"/>
      <c r="AV30" s="106"/>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row>
    <row r="31" spans="8:90">
      <c r="H31" t="s">
        <v>995</v>
      </c>
      <c r="P31" s="116"/>
      <c r="Q31" s="116"/>
      <c r="V31" s="99"/>
      <c r="AC31" t="s">
        <v>993</v>
      </c>
      <c r="AE31" s="106"/>
      <c r="AF31" s="106"/>
      <c r="AG31" s="106"/>
      <c r="AH31" s="106"/>
      <c r="AI31" s="106"/>
      <c r="AJ31" s="106"/>
      <c r="AK31" s="106"/>
      <c r="AL31" s="106"/>
      <c r="AM31" s="106"/>
      <c r="AN31" s="106"/>
      <c r="AO31" s="106"/>
      <c r="AP31" s="106"/>
      <c r="AQ31"/>
      <c r="AR31" s="106"/>
      <c r="AS31" s="106"/>
      <c r="AT31" s="106"/>
      <c r="AU31" s="106"/>
      <c r="AV31" s="106"/>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8:90">
      <c r="H32" t="s">
        <v>995</v>
      </c>
      <c r="P32" s="116"/>
      <c r="Q32" s="116"/>
      <c r="V32" s="99"/>
      <c r="AC32" t="s">
        <v>993</v>
      </c>
      <c r="AE32" s="106"/>
      <c r="AF32" s="106"/>
      <c r="AG32" s="106"/>
      <c r="AH32" s="106"/>
      <c r="AI32" s="106"/>
      <c r="AJ32" s="106"/>
      <c r="AK32" s="106"/>
      <c r="AL32" s="106"/>
      <c r="AM32" s="106"/>
      <c r="AN32" s="106"/>
      <c r="AO32" s="106"/>
      <c r="AP32" s="106"/>
      <c r="AQ32"/>
      <c r="AR32" s="106"/>
      <c r="AS32" s="106"/>
      <c r="AT32" s="106"/>
      <c r="AU32" s="106"/>
      <c r="AV32" s="106"/>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8:90">
      <c r="H33" t="s">
        <v>995</v>
      </c>
      <c r="P33" s="116"/>
      <c r="Q33" s="116"/>
      <c r="V33" s="99"/>
      <c r="AC33" t="s">
        <v>993</v>
      </c>
      <c r="AE33" s="106"/>
      <c r="AF33" s="106"/>
      <c r="AG33" s="106"/>
      <c r="AH33" s="106"/>
      <c r="AI33" s="106"/>
      <c r="AJ33" s="106"/>
      <c r="AK33" s="106"/>
      <c r="AL33" s="106"/>
      <c r="AM33" s="106"/>
      <c r="AN33" s="106"/>
      <c r="AO33" s="106"/>
      <c r="AP33" s="106"/>
      <c r="AQ33"/>
      <c r="AR33" s="106"/>
      <c r="AS33" s="106"/>
      <c r="AT33" s="106"/>
      <c r="AU33" s="106"/>
      <c r="AV33" s="106"/>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8:90">
      <c r="H34" t="s">
        <v>995</v>
      </c>
      <c r="P34" s="116"/>
      <c r="Q34" s="116"/>
      <c r="V34" s="99"/>
      <c r="AC34" t="s">
        <v>993</v>
      </c>
      <c r="AE34" s="106"/>
      <c r="AF34" s="106"/>
      <c r="AG34" s="106"/>
      <c r="AH34" s="106"/>
      <c r="AI34" s="106"/>
      <c r="AJ34" s="106"/>
      <c r="AK34" s="106"/>
      <c r="AL34" s="106"/>
      <c r="AM34" s="106"/>
      <c r="AN34" s="106"/>
      <c r="AO34" s="106"/>
      <c r="AP34" s="106"/>
      <c r="AQ34"/>
      <c r="AR34" s="106"/>
      <c r="AS34" s="106"/>
      <c r="AT34" s="106"/>
      <c r="AU34" s="106"/>
      <c r="AV34" s="106"/>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8:90">
      <c r="H35" t="s">
        <v>995</v>
      </c>
      <c r="P35" s="116"/>
      <c r="Q35" s="116"/>
      <c r="V35" s="99"/>
      <c r="AC35" t="s">
        <v>993</v>
      </c>
      <c r="AE35" s="106"/>
      <c r="AF35" s="106"/>
      <c r="AG35" s="106"/>
      <c r="AH35" s="106"/>
      <c r="AI35" s="106"/>
      <c r="AJ35" s="106"/>
      <c r="AK35" s="106"/>
      <c r="AL35" s="106"/>
      <c r="AM35" s="106"/>
      <c r="AN35" s="106"/>
      <c r="AO35" s="106"/>
      <c r="AP35" s="106"/>
      <c r="AQ35"/>
      <c r="AR35" s="106"/>
      <c r="AS35" s="106"/>
      <c r="AT35" s="106"/>
      <c r="AU35" s="106"/>
      <c r="AV35" s="106"/>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8:90">
      <c r="H36" t="s">
        <v>995</v>
      </c>
      <c r="P36" s="116"/>
      <c r="Q36" s="116"/>
      <c r="V36" s="99"/>
      <c r="AC36" t="s">
        <v>993</v>
      </c>
      <c r="AE36" s="106"/>
      <c r="AF36" s="106"/>
      <c r="AG36" s="106"/>
      <c r="AH36" s="106"/>
      <c r="AI36" s="106"/>
      <c r="AJ36" s="106"/>
      <c r="AK36" s="106"/>
      <c r="AL36" s="106"/>
      <c r="AM36" s="106"/>
      <c r="AN36" s="106"/>
      <c r="AO36" s="106"/>
      <c r="AP36" s="106"/>
      <c r="AQ36"/>
      <c r="AR36" s="106"/>
      <c r="AS36" s="106"/>
      <c r="AT36" s="106"/>
      <c r="AU36" s="106"/>
      <c r="AV36" s="10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8:90">
      <c r="H37" t="s">
        <v>995</v>
      </c>
      <c r="P37" s="116"/>
      <c r="Q37" s="116"/>
      <c r="V37" s="99"/>
      <c r="AC37" t="s">
        <v>993</v>
      </c>
      <c r="AE37" s="106"/>
      <c r="AF37" s="106"/>
      <c r="AG37" s="106"/>
      <c r="AH37" s="106"/>
      <c r="AI37" s="106"/>
      <c r="AJ37" s="106"/>
      <c r="AK37" s="106"/>
      <c r="AL37" s="106"/>
      <c r="AM37" s="106"/>
      <c r="AN37" s="106"/>
      <c r="AO37" s="106"/>
      <c r="AP37" s="106"/>
      <c r="AQ37"/>
      <c r="AR37" s="106"/>
      <c r="AS37" s="106"/>
      <c r="AT37" s="106"/>
      <c r="AU37" s="106"/>
      <c r="AV37" s="106"/>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8:90">
      <c r="H38" t="s">
        <v>995</v>
      </c>
      <c r="P38" s="116"/>
      <c r="Q38" s="116"/>
      <c r="V38" s="99"/>
      <c r="AC38" t="s">
        <v>993</v>
      </c>
      <c r="AE38" s="106"/>
      <c r="AF38" s="106"/>
      <c r="AG38" s="106"/>
      <c r="AH38" s="106"/>
      <c r="AI38" s="106"/>
      <c r="AJ38" s="106"/>
      <c r="AK38" s="106"/>
      <c r="AL38" s="106"/>
      <c r="AM38" s="106"/>
      <c r="AN38" s="106"/>
      <c r="AO38" s="106"/>
      <c r="AP38" s="106"/>
      <c r="AQ38"/>
      <c r="AR38" s="106"/>
      <c r="AS38" s="106"/>
      <c r="AT38" s="106"/>
      <c r="AU38" s="106"/>
      <c r="AV38" s="106"/>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8:90">
      <c r="H39" t="s">
        <v>995</v>
      </c>
      <c r="P39" s="116"/>
      <c r="Q39" s="116"/>
      <c r="V39" s="99"/>
      <c r="AC39" t="s">
        <v>993</v>
      </c>
      <c r="AE39" s="106"/>
      <c r="AF39" s="106"/>
      <c r="AG39" s="106"/>
      <c r="AH39" s="106"/>
      <c r="AI39" s="106"/>
      <c r="AJ39" s="106"/>
      <c r="AK39" s="106"/>
      <c r="AL39" s="106"/>
      <c r="AM39" s="106"/>
      <c r="AN39" s="106"/>
      <c r="AO39" s="106"/>
      <c r="AP39" s="106"/>
      <c r="AQ39"/>
      <c r="AR39" s="106"/>
      <c r="AS39" s="106"/>
      <c r="AT39" s="106"/>
      <c r="AU39" s="106"/>
      <c r="AV39" s="106"/>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8:90">
      <c r="H40" t="s">
        <v>995</v>
      </c>
      <c r="P40" s="116"/>
      <c r="Q40" s="116"/>
      <c r="V40" s="99"/>
      <c r="AC40" t="s">
        <v>993</v>
      </c>
      <c r="AE40" s="106"/>
      <c r="AF40" s="106"/>
      <c r="AG40" s="106"/>
      <c r="AH40" s="106"/>
      <c r="AI40" s="106"/>
      <c r="AJ40" s="106"/>
      <c r="AK40" s="106"/>
      <c r="AL40" s="106"/>
      <c r="AM40" s="106"/>
      <c r="AN40" s="106"/>
      <c r="AO40" s="106"/>
      <c r="AP40" s="106"/>
      <c r="AQ40"/>
      <c r="AR40" s="106"/>
      <c r="AS40" s="106"/>
      <c r="AT40" s="106"/>
      <c r="AU40" s="106"/>
      <c r="AV40" s="106"/>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8:90">
      <c r="H41" t="s">
        <v>995</v>
      </c>
      <c r="P41" s="116"/>
      <c r="Q41" s="116"/>
      <c r="V41" s="99"/>
      <c r="AC41" t="s">
        <v>993</v>
      </c>
      <c r="AE41" s="106"/>
      <c r="AF41" s="106"/>
      <c r="AG41" s="106"/>
      <c r="AH41" s="106"/>
      <c r="AI41" s="106"/>
      <c r="AJ41" s="106"/>
      <c r="AK41" s="106"/>
      <c r="AL41" s="106"/>
      <c r="AM41" s="106"/>
      <c r="AN41" s="106"/>
      <c r="AO41" s="106"/>
      <c r="AP41" s="106"/>
      <c r="AQ41"/>
      <c r="AR41" s="106"/>
      <c r="AS41" s="106"/>
      <c r="AT41" s="106"/>
      <c r="AU41" s="106"/>
      <c r="AV41" s="106"/>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8:90">
      <c r="H42" t="s">
        <v>995</v>
      </c>
      <c r="P42" s="116"/>
      <c r="Q42" s="116"/>
      <c r="V42" s="99"/>
      <c r="AC42" t="s">
        <v>993</v>
      </c>
      <c r="AE42" s="106"/>
      <c r="AF42" s="106"/>
      <c r="AG42" s="106"/>
      <c r="AH42" s="106"/>
      <c r="AI42" s="106"/>
      <c r="AJ42" s="106"/>
      <c r="AK42" s="106"/>
      <c r="AL42" s="106"/>
      <c r="AM42" s="106"/>
      <c r="AN42" s="106"/>
      <c r="AO42" s="106"/>
      <c r="AP42" s="106"/>
      <c r="AQ42"/>
      <c r="AR42" s="106"/>
      <c r="AS42" s="106"/>
      <c r="AT42" s="106"/>
      <c r="AU42" s="106"/>
      <c r="AV42" s="106"/>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8:90">
      <c r="H43" t="s">
        <v>995</v>
      </c>
      <c r="P43" s="116"/>
      <c r="Q43" s="116"/>
      <c r="V43" s="99"/>
      <c r="AC43" t="s">
        <v>993</v>
      </c>
      <c r="AE43" s="106"/>
      <c r="AF43" s="106"/>
      <c r="AG43" s="106"/>
      <c r="AH43" s="106"/>
      <c r="AI43" s="106"/>
      <c r="AJ43" s="106"/>
      <c r="AK43" s="106"/>
      <c r="AL43" s="106"/>
      <c r="AM43" s="106"/>
      <c r="AN43" s="106"/>
      <c r="AO43" s="106"/>
      <c r="AP43" s="106"/>
      <c r="AQ43"/>
      <c r="AR43" s="106"/>
      <c r="AS43" s="106"/>
      <c r="AT43" s="106"/>
      <c r="AU43" s="106"/>
      <c r="AV43" s="106"/>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8:90">
      <c r="H44" t="s">
        <v>995</v>
      </c>
      <c r="P44" s="116"/>
      <c r="Q44" s="116"/>
      <c r="V44" s="99"/>
      <c r="AC44" t="s">
        <v>993</v>
      </c>
      <c r="AE44" s="106"/>
      <c r="AF44" s="106"/>
      <c r="AG44" s="106"/>
      <c r="AH44" s="106"/>
      <c r="AI44" s="106"/>
      <c r="AJ44" s="106"/>
      <c r="AK44" s="106"/>
      <c r="AL44" s="106"/>
      <c r="AM44" s="106"/>
      <c r="AN44" s="106"/>
      <c r="AO44" s="106"/>
      <c r="AP44" s="106"/>
      <c r="AQ44"/>
      <c r="AR44" s="106"/>
      <c r="AS44" s="106"/>
      <c r="AT44" s="106"/>
      <c r="AU44" s="106"/>
      <c r="AV44" s="106"/>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8:90">
      <c r="H45" t="s">
        <v>995</v>
      </c>
      <c r="P45" s="116"/>
      <c r="Q45" s="116"/>
      <c r="V45" s="99"/>
      <c r="AC45" t="s">
        <v>993</v>
      </c>
      <c r="AE45" s="106"/>
      <c r="AF45" s="106"/>
      <c r="AG45" s="106"/>
      <c r="AH45" s="106"/>
      <c r="AI45" s="106"/>
      <c r="AJ45" s="106"/>
      <c r="AK45" s="106"/>
      <c r="AL45" s="106"/>
      <c r="AM45" s="106"/>
      <c r="AN45" s="106"/>
      <c r="AO45" s="106"/>
      <c r="AP45" s="106"/>
      <c r="AQ45"/>
      <c r="AR45" s="106"/>
      <c r="AS45" s="106"/>
      <c r="AT45" s="106"/>
      <c r="AU45" s="106"/>
      <c r="AV45" s="106"/>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8:90">
      <c r="H46" t="s">
        <v>995</v>
      </c>
      <c r="P46" s="116"/>
      <c r="Q46" s="116"/>
      <c r="V46" s="99"/>
      <c r="AC46" t="s">
        <v>993</v>
      </c>
      <c r="AE46" s="106"/>
      <c r="AF46" s="106"/>
      <c r="AG46" s="106"/>
      <c r="AH46" s="106"/>
      <c r="AI46" s="106"/>
      <c r="AJ46" s="106"/>
      <c r="AK46" s="106"/>
      <c r="AL46" s="106"/>
      <c r="AM46" s="106"/>
      <c r="AN46" s="106"/>
      <c r="AO46" s="106"/>
      <c r="AP46" s="106"/>
      <c r="AQ46"/>
      <c r="AR46" s="106"/>
      <c r="AS46" s="106"/>
      <c r="AT46" s="106"/>
      <c r="AU46" s="106"/>
      <c r="AV46" s="10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8:90">
      <c r="H47" t="s">
        <v>995</v>
      </c>
      <c r="P47" s="116"/>
      <c r="Q47" s="116"/>
      <c r="V47" s="99"/>
      <c r="AC47" t="s">
        <v>993</v>
      </c>
      <c r="AE47" s="106"/>
      <c r="AF47" s="106"/>
      <c r="AG47" s="106"/>
      <c r="AH47" s="106"/>
      <c r="AI47" s="106"/>
      <c r="AJ47" s="106"/>
      <c r="AK47" s="106"/>
      <c r="AL47" s="106"/>
      <c r="AM47" s="106"/>
      <c r="AN47" s="106"/>
      <c r="AO47" s="106"/>
      <c r="AP47" s="106"/>
      <c r="AQ47"/>
      <c r="AR47" s="106"/>
      <c r="AS47" s="106"/>
      <c r="AT47" s="106"/>
      <c r="AU47" s="106"/>
      <c r="AV47" s="106"/>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8:90">
      <c r="H48" t="s">
        <v>995</v>
      </c>
      <c r="P48" s="116"/>
      <c r="Q48" s="116"/>
      <c r="V48" s="99"/>
      <c r="AC48" t="s">
        <v>993</v>
      </c>
      <c r="AE48" s="106"/>
      <c r="AF48" s="106"/>
      <c r="AG48" s="106"/>
      <c r="AH48" s="106"/>
      <c r="AI48" s="106"/>
      <c r="AJ48" s="106"/>
      <c r="AK48" s="106"/>
      <c r="AL48" s="106"/>
      <c r="AM48" s="106"/>
      <c r="AN48" s="106"/>
      <c r="AO48" s="106"/>
      <c r="AP48" s="106"/>
      <c r="AQ48"/>
      <c r="AR48" s="106"/>
      <c r="AS48" s="106"/>
      <c r="AT48" s="106"/>
      <c r="AU48" s="106"/>
      <c r="AV48" s="106"/>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8:90">
      <c r="H49" t="s">
        <v>995</v>
      </c>
      <c r="P49" s="116"/>
      <c r="Q49" s="116"/>
      <c r="V49" s="99"/>
      <c r="AC49" t="s">
        <v>993</v>
      </c>
      <c r="AE49" s="106"/>
      <c r="AF49" s="106"/>
      <c r="AG49" s="106"/>
      <c r="AH49" s="106"/>
      <c r="AI49" s="106"/>
      <c r="AJ49" s="106"/>
      <c r="AK49" s="106"/>
      <c r="AL49" s="106"/>
      <c r="AM49" s="106"/>
      <c r="AN49" s="106"/>
      <c r="AO49" s="106"/>
      <c r="AP49" s="106"/>
      <c r="AQ49"/>
      <c r="AR49" s="106"/>
      <c r="AS49" s="106"/>
      <c r="AT49" s="106"/>
      <c r="AU49" s="106"/>
      <c r="AV49" s="106"/>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8:90">
      <c r="H50" t="s">
        <v>995</v>
      </c>
      <c r="P50" s="116"/>
      <c r="Q50" s="116"/>
      <c r="V50" s="99"/>
      <c r="AC50" t="s">
        <v>993</v>
      </c>
      <c r="AE50" s="106"/>
      <c r="AF50" s="106"/>
      <c r="AG50" s="106"/>
      <c r="AH50" s="106"/>
      <c r="AI50" s="106"/>
      <c r="AJ50" s="106"/>
      <c r="AK50" s="106"/>
      <c r="AL50" s="106"/>
      <c r="AM50" s="106"/>
      <c r="AN50" s="106"/>
      <c r="AO50" s="106"/>
      <c r="AP50" s="106"/>
      <c r="AQ50"/>
      <c r="AR50" s="106"/>
      <c r="AS50" s="106"/>
      <c r="AT50" s="106"/>
      <c r="AU50" s="106"/>
      <c r="AV50" s="106"/>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8:90">
      <c r="H51" t="s">
        <v>995</v>
      </c>
      <c r="P51" s="116"/>
      <c r="Q51" s="116"/>
      <c r="V51" s="99"/>
      <c r="AC51" t="s">
        <v>993</v>
      </c>
      <c r="AE51" s="106"/>
      <c r="AF51" s="106"/>
      <c r="AG51" s="106"/>
      <c r="AH51" s="106"/>
      <c r="AI51" s="106"/>
      <c r="AJ51" s="106"/>
      <c r="AK51" s="106"/>
      <c r="AL51" s="106"/>
      <c r="AM51" s="106"/>
      <c r="AN51" s="106"/>
      <c r="AO51" s="106"/>
      <c r="AP51" s="106"/>
      <c r="AQ51"/>
      <c r="AR51" s="106"/>
      <c r="AS51" s="106"/>
      <c r="AT51" s="106"/>
      <c r="AU51" s="106"/>
      <c r="AV51" s="106"/>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8:90">
      <c r="H52" t="s">
        <v>995</v>
      </c>
      <c r="P52" s="116"/>
      <c r="Q52" s="116"/>
      <c r="V52" s="99"/>
      <c r="AC52" t="s">
        <v>993</v>
      </c>
      <c r="AE52" s="106"/>
      <c r="AF52" s="106"/>
      <c r="AG52" s="106"/>
      <c r="AH52" s="106"/>
      <c r="AI52" s="106"/>
      <c r="AJ52" s="106"/>
      <c r="AK52" s="106"/>
      <c r="AL52" s="106"/>
      <c r="AM52" s="106"/>
      <c r="AN52" s="106"/>
      <c r="AO52" s="106"/>
      <c r="AP52" s="106"/>
      <c r="AQ52"/>
      <c r="AR52" s="106"/>
      <c r="AS52" s="106"/>
      <c r="AT52" s="106"/>
      <c r="AU52" s="106"/>
      <c r="AV52" s="106"/>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8:90">
      <c r="H53" t="s">
        <v>995</v>
      </c>
      <c r="P53" s="116"/>
      <c r="Q53" s="116"/>
      <c r="V53" s="99"/>
      <c r="AC53" t="s">
        <v>993</v>
      </c>
      <c r="AE53" s="106"/>
      <c r="AF53" s="106"/>
      <c r="AG53" s="106"/>
      <c r="AH53" s="106"/>
      <c r="AI53" s="106"/>
      <c r="AJ53" s="106"/>
      <c r="AK53" s="106"/>
      <c r="AL53" s="106"/>
      <c r="AM53" s="106"/>
      <c r="AN53" s="106"/>
      <c r="AO53" s="106"/>
      <c r="AP53" s="106"/>
      <c r="AQ53"/>
      <c r="AR53" s="106"/>
      <c r="AS53" s="106"/>
      <c r="AT53" s="106"/>
      <c r="AU53" s="106"/>
      <c r="AV53" s="106"/>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8:90">
      <c r="H54" t="s">
        <v>995</v>
      </c>
      <c r="P54" s="116"/>
      <c r="Q54" s="116"/>
      <c r="V54" s="99"/>
      <c r="AC54" t="s">
        <v>993</v>
      </c>
      <c r="AE54" s="106"/>
      <c r="AF54" s="106"/>
      <c r="AG54" s="106"/>
      <c r="AH54" s="106"/>
      <c r="AI54" s="106"/>
      <c r="AJ54" s="106"/>
      <c r="AK54" s="106"/>
      <c r="AL54" s="106"/>
      <c r="AM54" s="106"/>
      <c r="AN54" s="106"/>
      <c r="AO54" s="106"/>
      <c r="AP54" s="106"/>
      <c r="AQ54"/>
      <c r="AR54" s="106"/>
      <c r="AS54" s="106"/>
      <c r="AT54" s="106"/>
      <c r="AU54" s="106"/>
      <c r="AV54" s="106"/>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8:90">
      <c r="H55" t="s">
        <v>995</v>
      </c>
      <c r="P55" s="116"/>
      <c r="Q55" s="116"/>
      <c r="V55" s="99"/>
      <c r="AC55" t="s">
        <v>993</v>
      </c>
      <c r="AE55" s="106"/>
      <c r="AF55" s="106"/>
      <c r="AG55" s="106"/>
      <c r="AH55" s="106"/>
      <c r="AI55" s="106"/>
      <c r="AJ55" s="106"/>
      <c r="AK55" s="106"/>
      <c r="AL55" s="106"/>
      <c r="AM55" s="106"/>
      <c r="AN55" s="106"/>
      <c r="AO55" s="106"/>
      <c r="AP55" s="106"/>
      <c r="AQ55"/>
      <c r="AR55" s="106"/>
      <c r="AS55" s="106"/>
      <c r="AT55" s="106"/>
      <c r="AU55" s="106"/>
      <c r="AV55" s="106"/>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8:90">
      <c r="H56" t="s">
        <v>995</v>
      </c>
      <c r="P56" s="116"/>
      <c r="Q56" s="116"/>
      <c r="V56" s="99"/>
      <c r="AC56" t="s">
        <v>993</v>
      </c>
      <c r="AE56" s="106"/>
      <c r="AF56" s="106"/>
      <c r="AG56" s="106"/>
      <c r="AH56" s="106"/>
      <c r="AI56" s="106"/>
      <c r="AJ56" s="106"/>
      <c r="AK56" s="106"/>
      <c r="AL56" s="106"/>
      <c r="AM56" s="106"/>
      <c r="AN56" s="106"/>
      <c r="AO56" s="106"/>
      <c r="AP56" s="106"/>
      <c r="AQ56"/>
      <c r="AR56" s="106"/>
      <c r="AS56" s="106"/>
      <c r="AT56" s="106"/>
      <c r="AU56" s="106"/>
      <c r="AV56" s="10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8:90">
      <c r="H57" t="s">
        <v>995</v>
      </c>
      <c r="P57" s="116"/>
      <c r="Q57" s="116"/>
      <c r="V57" s="99"/>
      <c r="AC57" t="s">
        <v>993</v>
      </c>
      <c r="AE57" s="106"/>
      <c r="AF57" s="106"/>
      <c r="AG57" s="106"/>
      <c r="AH57" s="106"/>
      <c r="AI57" s="106"/>
      <c r="AJ57" s="106"/>
      <c r="AK57" s="106"/>
      <c r="AL57" s="106"/>
      <c r="AM57" s="106"/>
      <c r="AN57" s="106"/>
      <c r="AO57" s="106"/>
      <c r="AP57" s="106"/>
      <c r="AQ57"/>
      <c r="AR57" s="106"/>
      <c r="AS57" s="106"/>
      <c r="AT57" s="106"/>
      <c r="AU57" s="106"/>
      <c r="AV57" s="106"/>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row>
    <row r="58" spans="8:90">
      <c r="H58" t="s">
        <v>995</v>
      </c>
      <c r="P58" s="116"/>
      <c r="Q58" s="116"/>
      <c r="V58" s="99"/>
      <c r="AC58" t="s">
        <v>993</v>
      </c>
      <c r="AE58" s="106"/>
      <c r="AF58" s="106"/>
      <c r="AG58" s="106"/>
      <c r="AH58" s="106"/>
      <c r="AI58" s="106"/>
      <c r="AJ58" s="106"/>
      <c r="AK58" s="106"/>
      <c r="AL58" s="106"/>
      <c r="AM58" s="106"/>
      <c r="AN58" s="106"/>
      <c r="AO58" s="106"/>
      <c r="AP58" s="106"/>
      <c r="AQ58"/>
      <c r="AR58" s="106"/>
      <c r="AS58" s="106"/>
      <c r="AT58" s="106"/>
      <c r="AU58" s="106"/>
      <c r="AV58" s="106"/>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8:90">
      <c r="H59" t="s">
        <v>995</v>
      </c>
      <c r="P59" s="116"/>
      <c r="Q59" s="116"/>
      <c r="V59" s="99"/>
      <c r="AC59" t="s">
        <v>993</v>
      </c>
      <c r="AE59" s="106"/>
      <c r="AF59" s="106"/>
      <c r="AG59" s="106"/>
      <c r="AH59" s="106"/>
      <c r="AI59" s="106"/>
      <c r="AJ59" s="106"/>
      <c r="AK59" s="106"/>
      <c r="AL59" s="106"/>
      <c r="AM59" s="106"/>
      <c r="AN59" s="106"/>
      <c r="AO59" s="106"/>
      <c r="AP59" s="106"/>
      <c r="AQ59"/>
      <c r="AR59" s="106"/>
      <c r="AS59" s="106"/>
      <c r="AT59" s="106"/>
      <c r="AU59" s="106"/>
      <c r="AV59" s="106"/>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row>
    <row r="60" spans="8:90">
      <c r="H60" t="s">
        <v>995</v>
      </c>
      <c r="P60" s="116"/>
      <c r="Q60" s="116"/>
      <c r="V60" s="99"/>
      <c r="AC60" t="s">
        <v>993</v>
      </c>
      <c r="AE60" s="106"/>
      <c r="AF60" s="106"/>
      <c r="AG60" s="106"/>
      <c r="AH60" s="106"/>
      <c r="AI60" s="106"/>
      <c r="AJ60" s="106"/>
      <c r="AK60" s="106"/>
      <c r="AL60" s="106"/>
      <c r="AM60" s="106"/>
      <c r="AN60" s="106"/>
      <c r="AO60" s="106"/>
      <c r="AP60" s="106"/>
      <c r="AQ60"/>
      <c r="AR60" s="106"/>
      <c r="AS60" s="106"/>
      <c r="AT60" s="106"/>
      <c r="AU60" s="106"/>
      <c r="AV60" s="106"/>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row>
    <row r="61" spans="8:90">
      <c r="H61" t="s">
        <v>995</v>
      </c>
      <c r="P61" s="116"/>
      <c r="Q61" s="116"/>
      <c r="V61" s="99"/>
      <c r="AC61" t="s">
        <v>993</v>
      </c>
      <c r="AE61" s="106"/>
      <c r="AF61" s="106"/>
      <c r="AG61" s="106"/>
      <c r="AH61" s="106"/>
      <c r="AI61" s="106"/>
      <c r="AJ61" s="106"/>
      <c r="AK61" s="106"/>
      <c r="AL61" s="106"/>
      <c r="AM61" s="106"/>
      <c r="AN61" s="106"/>
      <c r="AO61" s="106"/>
      <c r="AP61" s="106"/>
      <c r="AQ61"/>
      <c r="AR61" s="106"/>
      <c r="AS61" s="106"/>
      <c r="AT61" s="106"/>
      <c r="AU61" s="106"/>
      <c r="AV61" s="106"/>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row>
    <row r="62" spans="8:90">
      <c r="H62" t="s">
        <v>995</v>
      </c>
      <c r="P62" s="116"/>
      <c r="Q62" s="116"/>
      <c r="V62" s="99"/>
      <c r="AC62" t="s">
        <v>993</v>
      </c>
      <c r="AE62" s="106"/>
      <c r="AF62" s="106"/>
      <c r="AG62" s="106"/>
      <c r="AH62" s="106"/>
      <c r="AI62" s="106"/>
      <c r="AJ62" s="106"/>
      <c r="AK62" s="106"/>
      <c r="AL62" s="106"/>
      <c r="AM62" s="106"/>
      <c r="AN62" s="106"/>
      <c r="AO62" s="106"/>
      <c r="AP62" s="106"/>
      <c r="AQ62"/>
      <c r="AR62" s="106"/>
      <c r="AS62" s="106"/>
      <c r="AT62" s="106"/>
      <c r="AU62" s="106"/>
      <c r="AV62" s="106"/>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8:90">
      <c r="H63" t="s">
        <v>995</v>
      </c>
      <c r="P63" s="116"/>
      <c r="Q63" s="116"/>
      <c r="V63" s="99"/>
      <c r="AC63" t="s">
        <v>993</v>
      </c>
      <c r="AE63" s="106"/>
      <c r="AF63" s="106"/>
      <c r="AG63" s="106"/>
      <c r="AH63" s="106"/>
      <c r="AI63" s="106"/>
      <c r="AJ63" s="106"/>
      <c r="AK63" s="106"/>
      <c r="AL63" s="106"/>
      <c r="AM63" s="106"/>
      <c r="AN63" s="106"/>
      <c r="AO63" s="106"/>
      <c r="AP63" s="106"/>
      <c r="AQ63"/>
      <c r="AR63" s="106"/>
      <c r="AS63" s="106"/>
      <c r="AT63" s="106"/>
      <c r="AU63" s="106"/>
      <c r="AV63" s="106"/>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row>
    <row r="64" spans="8:90">
      <c r="H64" t="s">
        <v>995</v>
      </c>
      <c r="P64" s="116"/>
      <c r="Q64" s="116"/>
      <c r="V64" s="99"/>
      <c r="AC64" t="s">
        <v>993</v>
      </c>
      <c r="AE64" s="106"/>
      <c r="AF64" s="106"/>
      <c r="AG64" s="106"/>
      <c r="AH64" s="106"/>
      <c r="AI64" s="106"/>
      <c r="AJ64" s="106"/>
      <c r="AK64" s="106"/>
      <c r="AL64" s="106"/>
      <c r="AM64" s="106"/>
      <c r="AN64" s="106"/>
      <c r="AO64" s="106"/>
      <c r="AP64" s="106"/>
      <c r="AQ64"/>
      <c r="AR64" s="106"/>
      <c r="AS64" s="106"/>
      <c r="AT64" s="106"/>
      <c r="AU64" s="106"/>
      <c r="AV64" s="106"/>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8:90">
      <c r="H65" t="s">
        <v>995</v>
      </c>
      <c r="P65" s="116"/>
      <c r="Q65" s="116"/>
      <c r="V65" s="99"/>
      <c r="AC65" t="s">
        <v>993</v>
      </c>
      <c r="AE65" s="106"/>
      <c r="AF65" s="106"/>
      <c r="AG65" s="106"/>
      <c r="AH65" s="106"/>
      <c r="AI65" s="106"/>
      <c r="AJ65" s="106"/>
      <c r="AK65" s="106"/>
      <c r="AL65" s="106"/>
      <c r="AM65" s="106"/>
      <c r="AN65" s="106"/>
      <c r="AO65" s="106"/>
      <c r="AP65" s="106"/>
      <c r="AQ65"/>
      <c r="AR65" s="106"/>
      <c r="AS65" s="106"/>
      <c r="AT65" s="106"/>
      <c r="AU65" s="106"/>
      <c r="AV65" s="106"/>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row>
    <row r="66" spans="8:90">
      <c r="H66" t="s">
        <v>995</v>
      </c>
      <c r="P66" s="116"/>
      <c r="Q66" s="116"/>
      <c r="V66" s="99"/>
      <c r="AC66" t="s">
        <v>993</v>
      </c>
      <c r="AE66" s="106"/>
      <c r="AF66" s="106"/>
      <c r="AG66" s="106"/>
      <c r="AH66" s="106"/>
      <c r="AI66" s="106"/>
      <c r="AJ66" s="106"/>
      <c r="AK66" s="106"/>
      <c r="AL66" s="106"/>
      <c r="AM66" s="106"/>
      <c r="AN66" s="106"/>
      <c r="AO66" s="106"/>
      <c r="AP66" s="106"/>
      <c r="AQ66"/>
      <c r="AR66" s="106"/>
      <c r="AS66" s="106"/>
      <c r="AT66" s="106"/>
      <c r="AU66" s="106"/>
      <c r="AV66" s="10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row>
    <row r="67" spans="8:90">
      <c r="H67" t="s">
        <v>995</v>
      </c>
      <c r="P67" s="116"/>
      <c r="Q67" s="116"/>
      <c r="V67" s="99"/>
      <c r="AC67" t="s">
        <v>993</v>
      </c>
      <c r="AE67" s="106"/>
      <c r="AF67" s="106"/>
      <c r="AG67" s="106"/>
      <c r="AH67" s="106"/>
      <c r="AI67" s="106"/>
      <c r="AJ67" s="106"/>
      <c r="AK67" s="106"/>
      <c r="AL67" s="106"/>
      <c r="AM67" s="106"/>
      <c r="AN67" s="106"/>
      <c r="AO67" s="106"/>
      <c r="AP67" s="106"/>
      <c r="AQ67"/>
      <c r="AR67" s="106"/>
      <c r="AS67" s="106"/>
      <c r="AT67" s="106"/>
      <c r="AU67" s="106"/>
      <c r="AV67" s="106"/>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row>
    <row r="68" spans="8:90">
      <c r="H68" t="s">
        <v>995</v>
      </c>
      <c r="P68" s="116"/>
      <c r="Q68" s="116"/>
      <c r="V68" s="99"/>
      <c r="AC68" t="s">
        <v>993</v>
      </c>
      <c r="AE68" s="106"/>
      <c r="AF68" s="106"/>
      <c r="AG68" s="106"/>
      <c r="AH68" s="106"/>
      <c r="AI68" s="106"/>
      <c r="AJ68" s="106"/>
      <c r="AK68" s="106"/>
      <c r="AL68" s="106"/>
      <c r="AM68" s="106"/>
      <c r="AN68" s="106"/>
      <c r="AO68" s="106"/>
      <c r="AP68" s="106"/>
      <c r="AQ68"/>
      <c r="AR68" s="106"/>
      <c r="AS68" s="106"/>
      <c r="AT68" s="106"/>
      <c r="AU68" s="106"/>
      <c r="AV68" s="106"/>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row>
    <row r="69" spans="8:90">
      <c r="H69" t="s">
        <v>995</v>
      </c>
      <c r="P69" s="116"/>
      <c r="Q69" s="116"/>
      <c r="V69" s="99"/>
      <c r="AC69" t="s">
        <v>993</v>
      </c>
      <c r="AE69" s="106"/>
      <c r="AF69" s="106"/>
      <c r="AG69" s="106"/>
      <c r="AH69" s="106"/>
      <c r="AI69" s="106"/>
      <c r="AJ69" s="106"/>
      <c r="AK69" s="106"/>
      <c r="AL69" s="106"/>
      <c r="AM69" s="106"/>
      <c r="AN69" s="106"/>
      <c r="AO69" s="106"/>
      <c r="AP69" s="106"/>
      <c r="AQ69"/>
      <c r="AR69" s="106"/>
      <c r="AS69" s="106"/>
      <c r="AT69" s="106"/>
      <c r="AU69" s="106"/>
      <c r="AV69" s="106"/>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row>
    <row r="70" spans="8:90">
      <c r="H70" t="s">
        <v>995</v>
      </c>
      <c r="P70" s="116"/>
      <c r="Q70" s="116"/>
      <c r="V70" s="99"/>
      <c r="AC70" t="s">
        <v>993</v>
      </c>
      <c r="AE70" s="106"/>
      <c r="AF70" s="106"/>
      <c r="AG70" s="106"/>
      <c r="AH70" s="106"/>
      <c r="AI70" s="106"/>
      <c r="AJ70" s="106"/>
      <c r="AK70" s="106"/>
      <c r="AL70" s="106"/>
      <c r="AM70" s="106"/>
      <c r="AN70" s="106"/>
      <c r="AO70" s="106"/>
      <c r="AP70" s="106"/>
      <c r="AQ70"/>
      <c r="AR70" s="106"/>
      <c r="AS70" s="106"/>
      <c r="AT70" s="106"/>
      <c r="AU70" s="106"/>
      <c r="AV70" s="106"/>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row>
    <row r="71" spans="8:90">
      <c r="H71" t="s">
        <v>995</v>
      </c>
      <c r="P71" s="116"/>
      <c r="Q71" s="116"/>
      <c r="V71" s="99"/>
      <c r="AC71" t="s">
        <v>993</v>
      </c>
      <c r="AE71" s="106"/>
      <c r="AF71" s="106"/>
      <c r="AG71" s="106"/>
      <c r="AH71" s="106"/>
      <c r="AI71" s="106"/>
      <c r="AJ71" s="106"/>
      <c r="AK71" s="106"/>
      <c r="AL71" s="106"/>
      <c r="AM71" s="106"/>
      <c r="AN71" s="106"/>
      <c r="AO71" s="106"/>
      <c r="AP71" s="106"/>
      <c r="AQ71"/>
      <c r="AR71" s="106"/>
      <c r="AS71" s="106"/>
      <c r="AT71" s="106"/>
      <c r="AU71" s="106"/>
      <c r="AV71" s="106"/>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8:90">
      <c r="H72" t="s">
        <v>995</v>
      </c>
      <c r="P72" s="116"/>
      <c r="Q72" s="116"/>
      <c r="V72" s="99"/>
      <c r="AC72" t="s">
        <v>993</v>
      </c>
      <c r="AE72" s="106"/>
      <c r="AF72" s="106"/>
      <c r="AG72" s="106"/>
      <c r="AH72" s="106"/>
      <c r="AI72" s="106"/>
      <c r="AJ72" s="106"/>
      <c r="AK72" s="106"/>
      <c r="AL72" s="106"/>
      <c r="AM72" s="106"/>
      <c r="AN72" s="106"/>
      <c r="AO72" s="106"/>
      <c r="AP72" s="106"/>
      <c r="AQ72"/>
      <c r="AR72" s="106"/>
      <c r="AS72" s="106"/>
      <c r="AT72" s="106"/>
      <c r="AU72" s="106"/>
      <c r="AV72" s="106"/>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row>
    <row r="73" spans="8:90">
      <c r="H73" t="s">
        <v>995</v>
      </c>
      <c r="P73" s="116"/>
      <c r="Q73" s="116"/>
      <c r="V73" s="99"/>
      <c r="AC73" t="s">
        <v>993</v>
      </c>
      <c r="AE73" s="106"/>
      <c r="AF73" s="106"/>
      <c r="AG73" s="106"/>
      <c r="AH73" s="106"/>
      <c r="AI73" s="106"/>
      <c r="AJ73" s="106"/>
      <c r="AK73" s="106"/>
      <c r="AL73" s="106"/>
      <c r="AM73" s="106"/>
      <c r="AN73" s="106"/>
      <c r="AO73" s="106"/>
      <c r="AP73" s="106"/>
      <c r="AQ73"/>
      <c r="AR73" s="106"/>
      <c r="AS73" s="106"/>
      <c r="AT73" s="106"/>
      <c r="AU73" s="106"/>
      <c r="AV73" s="106"/>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row>
    <row r="74" spans="8:90">
      <c r="H74" t="s">
        <v>995</v>
      </c>
      <c r="P74" s="116"/>
      <c r="Q74" s="116"/>
      <c r="V74" s="99"/>
      <c r="AC74" t="s">
        <v>993</v>
      </c>
      <c r="AE74" s="106"/>
      <c r="AF74" s="106"/>
      <c r="AG74" s="106"/>
      <c r="AH74" s="106"/>
      <c r="AI74" s="106"/>
      <c r="AJ74" s="106"/>
      <c r="AK74" s="106"/>
      <c r="AL74" s="106"/>
      <c r="AM74" s="106"/>
      <c r="AN74" s="106"/>
      <c r="AO74" s="106"/>
      <c r="AP74" s="106"/>
      <c r="AQ74"/>
      <c r="AR74" s="106"/>
      <c r="AS74" s="106"/>
      <c r="AT74" s="106"/>
      <c r="AU74" s="106"/>
      <c r="AV74" s="106"/>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8:90">
      <c r="H75" t="s">
        <v>995</v>
      </c>
      <c r="P75" s="116"/>
      <c r="Q75" s="116"/>
      <c r="V75" s="99"/>
      <c r="AC75" t="s">
        <v>993</v>
      </c>
      <c r="AE75" s="106"/>
      <c r="AF75" s="106"/>
      <c r="AG75" s="106"/>
      <c r="AH75" s="106"/>
      <c r="AI75" s="106"/>
      <c r="AJ75" s="106"/>
      <c r="AK75" s="106"/>
      <c r="AL75" s="106"/>
      <c r="AM75" s="106"/>
      <c r="AN75" s="106"/>
      <c r="AO75" s="106"/>
      <c r="AP75" s="106"/>
      <c r="AQ75"/>
      <c r="AR75" s="106"/>
      <c r="AS75" s="106"/>
      <c r="AT75" s="106"/>
      <c r="AU75" s="106"/>
      <c r="AV75" s="106"/>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8:90">
      <c r="H76" t="s">
        <v>995</v>
      </c>
      <c r="P76" s="116"/>
      <c r="Q76" s="116"/>
      <c r="V76" s="99"/>
      <c r="AC76" t="s">
        <v>993</v>
      </c>
      <c r="AE76" s="106"/>
      <c r="AF76" s="106"/>
      <c r="AG76" s="106"/>
      <c r="AH76" s="106"/>
      <c r="AI76" s="106"/>
      <c r="AJ76" s="106"/>
      <c r="AK76" s="106"/>
      <c r="AL76" s="106"/>
      <c r="AM76" s="106"/>
      <c r="AN76" s="106"/>
      <c r="AO76" s="106"/>
      <c r="AP76" s="106"/>
      <c r="AQ76"/>
      <c r="AR76" s="106"/>
      <c r="AS76" s="106"/>
      <c r="AT76" s="106"/>
      <c r="AU76" s="106"/>
      <c r="AV76" s="10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row>
    <row r="77" spans="8:90">
      <c r="H77" t="s">
        <v>995</v>
      </c>
      <c r="P77" s="116"/>
      <c r="Q77" s="116"/>
      <c r="V77" s="99"/>
      <c r="AC77" t="s">
        <v>993</v>
      </c>
      <c r="AE77" s="106"/>
      <c r="AF77" s="106"/>
      <c r="AG77" s="106"/>
      <c r="AH77" s="106"/>
      <c r="AI77" s="106"/>
      <c r="AJ77" s="106"/>
      <c r="AK77" s="106"/>
      <c r="AL77" s="106"/>
      <c r="AM77" s="106"/>
      <c r="AN77" s="106"/>
      <c r="AO77" s="106"/>
      <c r="AP77" s="106"/>
      <c r="AQ77"/>
      <c r="AR77" s="106"/>
      <c r="AS77" s="106"/>
      <c r="AT77" s="106"/>
      <c r="AU77" s="106"/>
      <c r="AV77" s="106"/>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row>
    <row r="78" spans="8:90">
      <c r="H78" t="s">
        <v>995</v>
      </c>
      <c r="P78" s="116"/>
      <c r="Q78" s="116"/>
      <c r="V78" s="99"/>
      <c r="AC78" t="s">
        <v>993</v>
      </c>
      <c r="AE78" s="106"/>
      <c r="AF78" s="106"/>
      <c r="AG78" s="106"/>
      <c r="AH78" s="106"/>
      <c r="AI78" s="106"/>
      <c r="AJ78" s="106"/>
      <c r="AK78" s="106"/>
      <c r="AL78" s="106"/>
      <c r="AM78" s="106"/>
      <c r="AN78" s="106"/>
      <c r="AO78" s="106"/>
      <c r="AP78" s="106"/>
      <c r="AQ78"/>
      <c r="AR78" s="106"/>
      <c r="AS78" s="106"/>
      <c r="AT78" s="106"/>
      <c r="AU78" s="106"/>
      <c r="AV78" s="106"/>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8:90">
      <c r="H79" t="s">
        <v>995</v>
      </c>
      <c r="P79" s="116"/>
      <c r="Q79" s="116"/>
      <c r="V79" s="99"/>
      <c r="AC79" t="s">
        <v>993</v>
      </c>
      <c r="AE79" s="106"/>
      <c r="AF79" s="106"/>
      <c r="AG79" s="106"/>
      <c r="AH79" s="106"/>
      <c r="AI79" s="106"/>
      <c r="AJ79" s="106"/>
      <c r="AK79" s="106"/>
      <c r="AL79" s="106"/>
      <c r="AM79" s="106"/>
      <c r="AN79" s="106"/>
      <c r="AO79" s="106"/>
      <c r="AP79" s="106"/>
      <c r="AQ79"/>
      <c r="AR79" s="106"/>
      <c r="AS79" s="106"/>
      <c r="AT79" s="106"/>
      <c r="AU79" s="106"/>
      <c r="AV79" s="106"/>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row>
    <row r="80" spans="8:90">
      <c r="H80" t="s">
        <v>995</v>
      </c>
      <c r="P80" s="116"/>
      <c r="Q80" s="116"/>
      <c r="V80" s="99"/>
      <c r="AC80" t="s">
        <v>993</v>
      </c>
      <c r="AE80" s="106"/>
      <c r="AF80" s="106"/>
      <c r="AG80" s="106"/>
      <c r="AH80" s="106"/>
      <c r="AI80" s="106"/>
      <c r="AJ80" s="106"/>
      <c r="AK80" s="106"/>
      <c r="AL80" s="106"/>
      <c r="AM80" s="106"/>
      <c r="AN80" s="106"/>
      <c r="AO80" s="106"/>
      <c r="AP80" s="106"/>
      <c r="AQ80"/>
      <c r="AR80" s="106"/>
      <c r="AS80" s="106"/>
      <c r="AT80" s="106"/>
      <c r="AU80" s="106"/>
      <c r="AV80" s="106"/>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row>
    <row r="81" spans="1:90">
      <c r="H81" t="s">
        <v>995</v>
      </c>
      <c r="P81" s="116"/>
      <c r="Q81" s="116"/>
      <c r="V81" s="99"/>
      <c r="AC81" t="s">
        <v>993</v>
      </c>
      <c r="AE81" s="106"/>
      <c r="AF81" s="106"/>
      <c r="AG81" s="106"/>
      <c r="AH81" s="106"/>
      <c r="AI81" s="106"/>
      <c r="AJ81" s="106"/>
      <c r="AK81" s="106"/>
      <c r="AL81" s="106"/>
      <c r="AM81" s="106"/>
      <c r="AN81" s="106"/>
      <c r="AO81" s="106"/>
      <c r="AP81" s="106"/>
      <c r="AQ81"/>
      <c r="AR81" s="106"/>
      <c r="AS81" s="106"/>
      <c r="AT81" s="106"/>
      <c r="AU81" s="106"/>
      <c r="AV81" s="106"/>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c r="H82" t="s">
        <v>995</v>
      </c>
      <c r="P82" s="116"/>
      <c r="Q82" s="116"/>
      <c r="V82" s="99"/>
      <c r="AC82" t="s">
        <v>993</v>
      </c>
      <c r="AE82" s="106"/>
      <c r="AF82" s="106"/>
      <c r="AG82" s="106"/>
      <c r="AH82" s="106"/>
      <c r="AI82" s="106"/>
      <c r="AJ82" s="106"/>
      <c r="AK82" s="106"/>
      <c r="AL82" s="106"/>
      <c r="AM82" s="106"/>
      <c r="AN82" s="106"/>
      <c r="AO82" s="106"/>
      <c r="AP82" s="106"/>
      <c r="AQ82"/>
      <c r="AR82" s="106"/>
      <c r="AS82" s="106"/>
      <c r="AT82" s="106"/>
      <c r="AU82" s="106"/>
      <c r="AV82" s="106"/>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row>
    <row r="83" spans="1:90">
      <c r="H83" t="s">
        <v>995</v>
      </c>
      <c r="P83" s="116"/>
      <c r="Q83" s="116"/>
      <c r="V83" s="99"/>
      <c r="AC83" t="s">
        <v>993</v>
      </c>
      <c r="AE83" s="106"/>
      <c r="AF83" s="106"/>
      <c r="AG83" s="106"/>
      <c r="AH83" s="106"/>
      <c r="AI83" s="106"/>
      <c r="AJ83" s="106"/>
      <c r="AK83" s="106"/>
      <c r="AL83" s="106"/>
      <c r="AM83" s="106"/>
      <c r="AN83" s="106"/>
      <c r="AO83" s="106"/>
      <c r="AP83" s="106"/>
      <c r="AQ83"/>
      <c r="AR83" s="106"/>
      <c r="AS83" s="106"/>
      <c r="AT83" s="106"/>
      <c r="AU83" s="106"/>
      <c r="AV83" s="106"/>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row>
    <row r="84" spans="1:90">
      <c r="H84" t="s">
        <v>995</v>
      </c>
      <c r="P84" s="116"/>
      <c r="Q84" s="116"/>
      <c r="V84" s="99"/>
      <c r="AC84" t="s">
        <v>993</v>
      </c>
      <c r="AE84" s="106"/>
      <c r="AF84" s="106"/>
      <c r="AG84" s="106"/>
      <c r="AH84" s="106"/>
      <c r="AI84" s="106"/>
      <c r="AJ84" s="106"/>
      <c r="AK84" s="106"/>
      <c r="AL84" s="106"/>
      <c r="AM84" s="106"/>
      <c r="AN84" s="106"/>
      <c r="AO84" s="106"/>
      <c r="AP84" s="106"/>
      <c r="AQ84"/>
      <c r="AR84" s="106"/>
      <c r="AS84" s="106"/>
      <c r="AT84" s="106"/>
      <c r="AU84" s="106"/>
      <c r="AV84" s="106"/>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row>
    <row r="85" spans="1:90">
      <c r="H85" t="s">
        <v>995</v>
      </c>
      <c r="P85" s="116"/>
      <c r="Q85" s="116"/>
      <c r="V85" s="99"/>
      <c r="AC85" t="s">
        <v>993</v>
      </c>
      <c r="AE85" s="106"/>
      <c r="AF85" s="106"/>
      <c r="AG85" s="106"/>
      <c r="AH85" s="106"/>
      <c r="AI85" s="106"/>
      <c r="AJ85" s="106"/>
      <c r="AK85" s="106"/>
      <c r="AL85" s="106"/>
      <c r="AM85" s="106"/>
      <c r="AN85" s="106"/>
      <c r="AO85" s="106"/>
      <c r="AP85" s="106"/>
      <c r="AQ85"/>
      <c r="AR85" s="106"/>
      <c r="AS85" s="106"/>
      <c r="AT85" s="106"/>
      <c r="AU85" s="106"/>
      <c r="AV85" s="106"/>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c r="H86" t="s">
        <v>995</v>
      </c>
      <c r="P86" s="116"/>
      <c r="Q86" s="116"/>
      <c r="V86" s="99"/>
      <c r="AC86" t="s">
        <v>993</v>
      </c>
      <c r="AE86" s="106"/>
      <c r="AF86" s="106"/>
      <c r="AG86" s="106"/>
      <c r="AH86" s="106"/>
      <c r="AI86" s="106"/>
      <c r="AJ86" s="106"/>
      <c r="AK86" s="106"/>
      <c r="AL86" s="106"/>
      <c r="AM86" s="106"/>
      <c r="AN86" s="106"/>
      <c r="AO86" s="106"/>
      <c r="AP86" s="106"/>
      <c r="AQ86"/>
      <c r="AR86" s="106"/>
      <c r="AS86" s="106"/>
      <c r="AT86" s="106"/>
      <c r="AU86" s="106"/>
      <c r="AV86" s="10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row>
    <row r="87" spans="1:90">
      <c r="H87" t="s">
        <v>995</v>
      </c>
      <c r="P87" s="116"/>
      <c r="Q87" s="116"/>
      <c r="V87" s="99"/>
      <c r="AC87" t="s">
        <v>993</v>
      </c>
      <c r="AE87" s="106"/>
      <c r="AF87" s="106"/>
      <c r="AG87" s="106"/>
      <c r="AH87" s="106"/>
      <c r="AI87" s="106"/>
      <c r="AJ87" s="106"/>
      <c r="AK87" s="106"/>
      <c r="AL87" s="106"/>
      <c r="AM87" s="106"/>
      <c r="AN87" s="106"/>
      <c r="AO87" s="106"/>
      <c r="AP87" s="106"/>
      <c r="AQ87"/>
      <c r="AR87" s="106"/>
      <c r="AS87" s="106"/>
      <c r="AT87" s="106"/>
      <c r="AU87" s="106"/>
      <c r="AV87" s="106"/>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c r="H88" t="s">
        <v>995</v>
      </c>
      <c r="P88" s="116"/>
      <c r="Q88" s="116"/>
      <c r="V88" s="99"/>
      <c r="AC88" t="s">
        <v>993</v>
      </c>
      <c r="AE88" s="106"/>
      <c r="AF88" s="106"/>
      <c r="AG88" s="106"/>
      <c r="AH88" s="106"/>
      <c r="AI88" s="106"/>
      <c r="AJ88" s="106"/>
      <c r="AK88" s="106"/>
      <c r="AL88" s="106"/>
      <c r="AM88" s="106"/>
      <c r="AN88" s="106"/>
      <c r="AO88" s="106"/>
      <c r="AP88" s="106"/>
      <c r="AQ88"/>
      <c r="AR88" s="106"/>
      <c r="AS88" s="106"/>
      <c r="AT88" s="106"/>
      <c r="AU88" s="106"/>
      <c r="AV88" s="106"/>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c r="H89" t="s">
        <v>995</v>
      </c>
      <c r="P89" s="116"/>
      <c r="Q89" s="116"/>
      <c r="V89" s="99"/>
      <c r="AC89" t="s">
        <v>993</v>
      </c>
      <c r="AE89" s="106"/>
      <c r="AF89" s="106"/>
      <c r="AG89" s="106"/>
      <c r="AH89" s="106"/>
      <c r="AI89" s="106"/>
      <c r="AJ89" s="106"/>
      <c r="AK89" s="106"/>
      <c r="AL89" s="106"/>
      <c r="AM89" s="106"/>
      <c r="AN89" s="106"/>
      <c r="AO89" s="106"/>
      <c r="AP89" s="106"/>
      <c r="AQ89"/>
      <c r="AR89" s="106"/>
      <c r="AS89" s="106"/>
      <c r="AT89" s="106"/>
      <c r="AU89" s="106"/>
      <c r="AV89" s="106"/>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row>
    <row r="90" spans="1:90">
      <c r="H90" t="s">
        <v>995</v>
      </c>
      <c r="P90" s="116"/>
      <c r="Q90" s="116"/>
      <c r="V90" s="99"/>
      <c r="AC90" t="s">
        <v>993</v>
      </c>
      <c r="AE90" s="106"/>
      <c r="AF90" s="106"/>
      <c r="AG90" s="106"/>
      <c r="AH90" s="106"/>
      <c r="AI90" s="106"/>
      <c r="AJ90" s="106"/>
      <c r="AK90" s="106"/>
      <c r="AL90" s="106"/>
      <c r="AM90" s="106"/>
      <c r="AN90" s="106"/>
      <c r="AO90" s="106"/>
      <c r="AP90" s="106"/>
      <c r="AQ90"/>
      <c r="AR90" s="106"/>
      <c r="AS90" s="106"/>
      <c r="AT90" s="106"/>
      <c r="AU90" s="106"/>
      <c r="AV90" s="106"/>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row>
    <row r="91" spans="1:90">
      <c r="H91" t="s">
        <v>995</v>
      </c>
      <c r="P91" s="116"/>
      <c r="Q91" s="116"/>
      <c r="V91" s="99"/>
      <c r="AC91" t="s">
        <v>993</v>
      </c>
      <c r="AE91" s="106"/>
      <c r="AF91" s="106"/>
      <c r="AG91" s="106"/>
      <c r="AH91" s="106"/>
      <c r="AI91" s="106"/>
      <c r="AJ91" s="106"/>
      <c r="AK91" s="106"/>
      <c r="AL91" s="106"/>
      <c r="AM91" s="106"/>
      <c r="AN91" s="106"/>
      <c r="AO91" s="106"/>
      <c r="AP91" s="106"/>
      <c r="AQ91"/>
      <c r="AR91" s="106"/>
      <c r="AS91" s="106"/>
      <c r="AT91" s="106"/>
      <c r="AU91" s="106"/>
      <c r="AV91" s="106"/>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row>
    <row r="92" spans="1:90">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row>
    <row r="93" spans="1:90" s="1" customFormat="1">
      <c r="A93" s="66"/>
      <c r="B93" s="78" t="s">
        <v>3074</v>
      </c>
      <c r="P93" s="115"/>
      <c r="Q93" s="115"/>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row>
    <row r="94" spans="1:90">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row>
    <row r="95" spans="1:90">
      <c r="H95" t="s">
        <v>2742</v>
      </c>
      <c r="P95" s="117" t="str">
        <f>IF(P13="","",P13)</f>
        <v/>
      </c>
      <c r="Q95" s="117" t="str">
        <f>IF(Q13="","",Q13)</f>
        <v/>
      </c>
      <c r="V95" s="99"/>
      <c r="AC95" t="s">
        <v>993</v>
      </c>
      <c r="AE95" s="106"/>
      <c r="AF95" s="106"/>
      <c r="AG95" s="106"/>
      <c r="AH95" s="106"/>
      <c r="AI95" s="106"/>
      <c r="AJ95" s="106"/>
      <c r="AK95" s="106"/>
      <c r="AL95" s="106"/>
      <c r="AM95" s="106"/>
      <c r="AN95" s="106"/>
      <c r="AO95" s="106"/>
      <c r="AP95" s="106"/>
    </row>
    <row r="96" spans="1:90">
      <c r="H96" s="435" t="s">
        <v>2742</v>
      </c>
      <c r="P96" s="117" t="str">
        <f t="shared" ref="P96:Q96" si="0">IF(P14="","",P14)</f>
        <v/>
      </c>
      <c r="Q96" s="117" t="str">
        <f t="shared" si="0"/>
        <v/>
      </c>
      <c r="V96" s="99"/>
      <c r="AC96" t="s">
        <v>993</v>
      </c>
      <c r="AE96" s="106"/>
      <c r="AF96" s="106"/>
      <c r="AG96" s="106"/>
      <c r="AH96" s="106"/>
      <c r="AI96" s="106"/>
      <c r="AJ96" s="106"/>
      <c r="AK96" s="106"/>
      <c r="AL96" s="106"/>
      <c r="AM96" s="106"/>
      <c r="AN96" s="106"/>
      <c r="AO96" s="106"/>
      <c r="AP96" s="106"/>
    </row>
    <row r="97" spans="8:42">
      <c r="H97" s="435" t="s">
        <v>2742</v>
      </c>
      <c r="P97" s="117" t="str">
        <f t="shared" ref="P97:Q97" si="1">IF(P15="","",P15)</f>
        <v/>
      </c>
      <c r="Q97" s="117" t="str">
        <f t="shared" si="1"/>
        <v/>
      </c>
      <c r="V97" s="99"/>
      <c r="AC97" t="s">
        <v>993</v>
      </c>
      <c r="AE97" s="106"/>
      <c r="AF97" s="106"/>
      <c r="AG97" s="106"/>
      <c r="AH97" s="106"/>
      <c r="AI97" s="106"/>
      <c r="AJ97" s="106"/>
      <c r="AK97" s="106"/>
      <c r="AL97" s="106"/>
      <c r="AM97" s="106"/>
      <c r="AN97" s="106"/>
      <c r="AO97" s="106"/>
      <c r="AP97" s="106"/>
    </row>
    <row r="98" spans="8:42">
      <c r="H98" s="435" t="s">
        <v>2742</v>
      </c>
      <c r="P98" s="117" t="str">
        <f t="shared" ref="P98:Q98" si="2">IF(P16="","",P16)</f>
        <v/>
      </c>
      <c r="Q98" s="117" t="str">
        <f t="shared" si="2"/>
        <v/>
      </c>
      <c r="V98" s="99"/>
      <c r="AC98" t="s">
        <v>993</v>
      </c>
      <c r="AE98" s="106"/>
      <c r="AF98" s="106"/>
      <c r="AG98" s="106"/>
      <c r="AH98" s="106"/>
      <c r="AI98" s="106"/>
      <c r="AJ98" s="106"/>
      <c r="AK98" s="106"/>
      <c r="AL98" s="106"/>
      <c r="AM98" s="106"/>
      <c r="AN98" s="106"/>
      <c r="AO98" s="106"/>
      <c r="AP98" s="106"/>
    </row>
    <row r="99" spans="8:42">
      <c r="H99" s="435" t="s">
        <v>2742</v>
      </c>
      <c r="P99" s="117" t="str">
        <f t="shared" ref="P99:Q99" si="3">IF(P17="","",P17)</f>
        <v/>
      </c>
      <c r="Q99" s="117" t="str">
        <f t="shared" si="3"/>
        <v/>
      </c>
      <c r="V99" s="99"/>
      <c r="AC99" t="s">
        <v>993</v>
      </c>
      <c r="AE99" s="106"/>
      <c r="AF99" s="106"/>
      <c r="AG99" s="106"/>
      <c r="AH99" s="106"/>
      <c r="AI99" s="106"/>
      <c r="AJ99" s="106"/>
      <c r="AK99" s="106"/>
      <c r="AL99" s="106"/>
      <c r="AM99" s="106"/>
      <c r="AN99" s="106"/>
      <c r="AO99" s="106"/>
      <c r="AP99" s="106"/>
    </row>
    <row r="100" spans="8:42">
      <c r="H100" s="435" t="s">
        <v>2742</v>
      </c>
      <c r="P100" s="117" t="str">
        <f t="shared" ref="P100:Q100" si="4">IF(P18="","",P18)</f>
        <v/>
      </c>
      <c r="Q100" s="117" t="str">
        <f t="shared" si="4"/>
        <v/>
      </c>
      <c r="V100" s="99"/>
      <c r="AC100" t="s">
        <v>993</v>
      </c>
      <c r="AE100" s="106"/>
      <c r="AF100" s="106"/>
      <c r="AG100" s="106"/>
      <c r="AH100" s="106"/>
      <c r="AI100" s="106"/>
      <c r="AJ100" s="106"/>
      <c r="AK100" s="106"/>
      <c r="AL100" s="106"/>
      <c r="AM100" s="106"/>
      <c r="AN100" s="106"/>
      <c r="AO100" s="106"/>
      <c r="AP100" s="106"/>
    </row>
    <row r="101" spans="8:42">
      <c r="H101" s="435" t="s">
        <v>2742</v>
      </c>
      <c r="P101" s="117" t="str">
        <f t="shared" ref="P101:Q101" si="5">IF(P19="","",P19)</f>
        <v/>
      </c>
      <c r="Q101" s="117" t="str">
        <f t="shared" si="5"/>
        <v/>
      </c>
      <c r="V101" s="99"/>
      <c r="AC101" t="s">
        <v>993</v>
      </c>
      <c r="AE101" s="106"/>
      <c r="AF101" s="106"/>
      <c r="AG101" s="106"/>
      <c r="AH101" s="106"/>
      <c r="AI101" s="106"/>
      <c r="AJ101" s="106"/>
      <c r="AK101" s="106"/>
      <c r="AL101" s="106"/>
      <c r="AM101" s="106"/>
      <c r="AN101" s="106"/>
      <c r="AO101" s="106"/>
      <c r="AP101" s="106"/>
    </row>
    <row r="102" spans="8:42">
      <c r="H102" s="435" t="s">
        <v>2742</v>
      </c>
      <c r="P102" s="117" t="str">
        <f t="shared" ref="P102:Q102" si="6">IF(P20="","",P20)</f>
        <v/>
      </c>
      <c r="Q102" s="117" t="str">
        <f t="shared" si="6"/>
        <v/>
      </c>
      <c r="V102" s="99"/>
      <c r="AC102" t="s">
        <v>993</v>
      </c>
      <c r="AE102" s="106"/>
      <c r="AF102" s="106"/>
      <c r="AG102" s="106"/>
      <c r="AH102" s="106"/>
      <c r="AI102" s="106"/>
      <c r="AJ102" s="106"/>
      <c r="AK102" s="106"/>
      <c r="AL102" s="106"/>
      <c r="AM102" s="106"/>
      <c r="AN102" s="106"/>
      <c r="AO102" s="106"/>
      <c r="AP102" s="106"/>
    </row>
    <row r="103" spans="8:42">
      <c r="H103" s="435" t="s">
        <v>2742</v>
      </c>
      <c r="P103" s="117" t="str">
        <f t="shared" ref="P103:Q103" si="7">IF(P21="","",P21)</f>
        <v/>
      </c>
      <c r="Q103" s="117" t="str">
        <f t="shared" si="7"/>
        <v/>
      </c>
      <c r="V103" s="99"/>
      <c r="AC103" t="s">
        <v>993</v>
      </c>
      <c r="AE103" s="106"/>
      <c r="AF103" s="106"/>
      <c r="AG103" s="106"/>
      <c r="AH103" s="106"/>
      <c r="AI103" s="106"/>
      <c r="AJ103" s="106"/>
      <c r="AK103" s="106"/>
      <c r="AL103" s="106"/>
      <c r="AM103" s="106"/>
      <c r="AN103" s="106"/>
      <c r="AO103" s="106"/>
      <c r="AP103" s="106"/>
    </row>
    <row r="104" spans="8:42">
      <c r="H104" s="435" t="s">
        <v>2742</v>
      </c>
      <c r="P104" s="117" t="str">
        <f t="shared" ref="P104:Q104" si="8">IF(P22="","",P22)</f>
        <v/>
      </c>
      <c r="Q104" s="117" t="str">
        <f t="shared" si="8"/>
        <v/>
      </c>
      <c r="V104" s="99"/>
      <c r="AC104" t="s">
        <v>993</v>
      </c>
      <c r="AE104" s="106"/>
      <c r="AF104" s="106"/>
      <c r="AG104" s="106"/>
      <c r="AH104" s="106"/>
      <c r="AI104" s="106"/>
      <c r="AJ104" s="106"/>
      <c r="AK104" s="106"/>
      <c r="AL104" s="106"/>
      <c r="AM104" s="106"/>
      <c r="AN104" s="106"/>
      <c r="AO104" s="106"/>
      <c r="AP104" s="106"/>
    </row>
    <row r="105" spans="8:42">
      <c r="H105" s="435" t="s">
        <v>2742</v>
      </c>
      <c r="P105" s="117" t="str">
        <f t="shared" ref="P105:Q105" si="9">IF(P23="","",P23)</f>
        <v/>
      </c>
      <c r="Q105" s="117" t="str">
        <f t="shared" si="9"/>
        <v/>
      </c>
      <c r="V105" s="99"/>
      <c r="AC105" t="s">
        <v>993</v>
      </c>
      <c r="AE105" s="106"/>
      <c r="AF105" s="106"/>
      <c r="AG105" s="106"/>
      <c r="AH105" s="106"/>
      <c r="AI105" s="106"/>
      <c r="AJ105" s="106"/>
      <c r="AK105" s="106"/>
      <c r="AL105" s="106"/>
      <c r="AM105" s="106"/>
      <c r="AN105" s="106"/>
      <c r="AO105" s="106"/>
      <c r="AP105" s="106"/>
    </row>
    <row r="106" spans="8:42">
      <c r="H106" s="435" t="s">
        <v>2742</v>
      </c>
      <c r="P106" s="117" t="str">
        <f t="shared" ref="P106:Q106" si="10">IF(P24="","",P24)</f>
        <v/>
      </c>
      <c r="Q106" s="117" t="str">
        <f t="shared" si="10"/>
        <v/>
      </c>
      <c r="V106" s="99"/>
      <c r="AC106" t="s">
        <v>993</v>
      </c>
      <c r="AE106" s="106"/>
      <c r="AF106" s="106"/>
      <c r="AG106" s="106"/>
      <c r="AH106" s="106"/>
      <c r="AI106" s="106"/>
      <c r="AJ106" s="106"/>
      <c r="AK106" s="106"/>
      <c r="AL106" s="106"/>
      <c r="AM106" s="106"/>
      <c r="AN106" s="106"/>
      <c r="AO106" s="106"/>
      <c r="AP106" s="106"/>
    </row>
    <row r="107" spans="8:42">
      <c r="H107" s="435" t="s">
        <v>2742</v>
      </c>
      <c r="P107" s="117" t="str">
        <f t="shared" ref="P107:Q107" si="11">IF(P25="","",P25)</f>
        <v/>
      </c>
      <c r="Q107" s="117" t="str">
        <f t="shared" si="11"/>
        <v/>
      </c>
      <c r="V107" s="99"/>
      <c r="AC107" t="s">
        <v>993</v>
      </c>
      <c r="AE107" s="106"/>
      <c r="AF107" s="106"/>
      <c r="AG107" s="106"/>
      <c r="AH107" s="106"/>
      <c r="AI107" s="106"/>
      <c r="AJ107" s="106"/>
      <c r="AK107" s="106"/>
      <c r="AL107" s="106"/>
      <c r="AM107" s="106"/>
      <c r="AN107" s="106"/>
      <c r="AO107" s="106"/>
      <c r="AP107" s="106"/>
    </row>
    <row r="108" spans="8:42">
      <c r="H108" s="435" t="s">
        <v>2742</v>
      </c>
      <c r="P108" s="117" t="str">
        <f t="shared" ref="P108:Q108" si="12">IF(P26="","",P26)</f>
        <v/>
      </c>
      <c r="Q108" s="117" t="str">
        <f t="shared" si="12"/>
        <v/>
      </c>
      <c r="V108" s="99"/>
      <c r="AC108" t="s">
        <v>993</v>
      </c>
      <c r="AE108" s="106"/>
      <c r="AF108" s="106"/>
      <c r="AG108" s="106"/>
      <c r="AH108" s="106"/>
      <c r="AI108" s="106"/>
      <c r="AJ108" s="106"/>
      <c r="AK108" s="106"/>
      <c r="AL108" s="106"/>
      <c r="AM108" s="106"/>
      <c r="AN108" s="106"/>
      <c r="AO108" s="106"/>
      <c r="AP108" s="106"/>
    </row>
    <row r="109" spans="8:42">
      <c r="H109" s="435" t="s">
        <v>2742</v>
      </c>
      <c r="P109" s="117" t="str">
        <f t="shared" ref="P109:Q109" si="13">IF(P27="","",P27)</f>
        <v/>
      </c>
      <c r="Q109" s="117" t="str">
        <f t="shared" si="13"/>
        <v/>
      </c>
      <c r="V109" s="99"/>
      <c r="AC109" t="s">
        <v>993</v>
      </c>
      <c r="AE109" s="106"/>
      <c r="AF109" s="106"/>
      <c r="AG109" s="106"/>
      <c r="AH109" s="106"/>
      <c r="AI109" s="106"/>
      <c r="AJ109" s="106"/>
      <c r="AK109" s="106"/>
      <c r="AL109" s="106"/>
      <c r="AM109" s="106"/>
      <c r="AN109" s="106"/>
      <c r="AO109" s="106"/>
      <c r="AP109" s="106"/>
    </row>
    <row r="110" spans="8:42">
      <c r="H110" s="435" t="s">
        <v>2742</v>
      </c>
      <c r="P110" s="117" t="str">
        <f t="shared" ref="P110:Q110" si="14">IF(P28="","",P28)</f>
        <v/>
      </c>
      <c r="Q110" s="117" t="str">
        <f t="shared" si="14"/>
        <v/>
      </c>
      <c r="V110" s="99"/>
      <c r="AC110" t="s">
        <v>993</v>
      </c>
      <c r="AE110" s="106"/>
      <c r="AF110" s="106"/>
      <c r="AG110" s="106"/>
      <c r="AH110" s="106"/>
      <c r="AI110" s="106"/>
      <c r="AJ110" s="106"/>
      <c r="AK110" s="106"/>
      <c r="AL110" s="106"/>
      <c r="AM110" s="106"/>
      <c r="AN110" s="106"/>
      <c r="AO110" s="106"/>
      <c r="AP110" s="106"/>
    </row>
    <row r="111" spans="8:42">
      <c r="H111" s="435" t="s">
        <v>2742</v>
      </c>
      <c r="P111" s="117" t="str">
        <f t="shared" ref="P111:Q111" si="15">IF(P29="","",P29)</f>
        <v/>
      </c>
      <c r="Q111" s="117" t="str">
        <f t="shared" si="15"/>
        <v/>
      </c>
      <c r="V111" s="99"/>
      <c r="AC111" t="s">
        <v>993</v>
      </c>
      <c r="AE111" s="106"/>
      <c r="AF111" s="106"/>
      <c r="AG111" s="106"/>
      <c r="AH111" s="106"/>
      <c r="AI111" s="106"/>
      <c r="AJ111" s="106"/>
      <c r="AK111" s="106"/>
      <c r="AL111" s="106"/>
      <c r="AM111" s="106"/>
      <c r="AN111" s="106"/>
      <c r="AO111" s="106"/>
      <c r="AP111" s="106"/>
    </row>
    <row r="112" spans="8:42">
      <c r="H112" s="435" t="s">
        <v>2742</v>
      </c>
      <c r="P112" s="117" t="str">
        <f t="shared" ref="P112:Q112" si="16">IF(P30="","",P30)</f>
        <v/>
      </c>
      <c r="Q112" s="117" t="str">
        <f t="shared" si="16"/>
        <v/>
      </c>
      <c r="V112" s="99"/>
      <c r="AC112" t="s">
        <v>993</v>
      </c>
      <c r="AE112" s="106"/>
      <c r="AF112" s="106"/>
      <c r="AG112" s="106"/>
      <c r="AH112" s="106"/>
      <c r="AI112" s="106"/>
      <c r="AJ112" s="106"/>
      <c r="AK112" s="106"/>
      <c r="AL112" s="106"/>
      <c r="AM112" s="106"/>
      <c r="AN112" s="106"/>
      <c r="AO112" s="106"/>
      <c r="AP112" s="106"/>
    </row>
    <row r="113" spans="8:42">
      <c r="H113" s="435" t="s">
        <v>2742</v>
      </c>
      <c r="P113" s="117" t="str">
        <f t="shared" ref="P113:Q113" si="17">IF(P31="","",P31)</f>
        <v/>
      </c>
      <c r="Q113" s="117" t="str">
        <f t="shared" si="17"/>
        <v/>
      </c>
      <c r="V113" s="99"/>
      <c r="AC113" t="s">
        <v>993</v>
      </c>
      <c r="AE113" s="106"/>
      <c r="AF113" s="106"/>
      <c r="AG113" s="106"/>
      <c r="AH113" s="106"/>
      <c r="AI113" s="106"/>
      <c r="AJ113" s="106"/>
      <c r="AK113" s="106"/>
      <c r="AL113" s="106"/>
      <c r="AM113" s="106"/>
      <c r="AN113" s="106"/>
      <c r="AO113" s="106"/>
      <c r="AP113" s="106"/>
    </row>
    <row r="114" spans="8:42">
      <c r="H114" s="435" t="s">
        <v>2742</v>
      </c>
      <c r="P114" s="117" t="str">
        <f t="shared" ref="P114:Q114" si="18">IF(P32="","",P32)</f>
        <v/>
      </c>
      <c r="Q114" s="117" t="str">
        <f t="shared" si="18"/>
        <v/>
      </c>
      <c r="V114" s="99"/>
      <c r="AC114" t="s">
        <v>993</v>
      </c>
      <c r="AE114" s="106"/>
      <c r="AF114" s="106"/>
      <c r="AG114" s="106"/>
      <c r="AH114" s="106"/>
      <c r="AI114" s="106"/>
      <c r="AJ114" s="106"/>
      <c r="AK114" s="106"/>
      <c r="AL114" s="106"/>
      <c r="AM114" s="106"/>
      <c r="AN114" s="106"/>
      <c r="AO114" s="106"/>
      <c r="AP114" s="106"/>
    </row>
    <row r="115" spans="8:42">
      <c r="H115" s="435" t="s">
        <v>2742</v>
      </c>
      <c r="P115" s="117" t="str">
        <f t="shared" ref="P115:Q115" si="19">IF(P33="","",P33)</f>
        <v/>
      </c>
      <c r="Q115" s="117" t="str">
        <f t="shared" si="19"/>
        <v/>
      </c>
      <c r="V115" s="99"/>
      <c r="AC115" t="s">
        <v>993</v>
      </c>
      <c r="AE115" s="106"/>
      <c r="AF115" s="106"/>
      <c r="AG115" s="106"/>
      <c r="AH115" s="106"/>
      <c r="AI115" s="106"/>
      <c r="AJ115" s="106"/>
      <c r="AK115" s="106"/>
      <c r="AL115" s="106"/>
      <c r="AM115" s="106"/>
      <c r="AN115" s="106"/>
      <c r="AO115" s="106"/>
      <c r="AP115" s="106"/>
    </row>
    <row r="116" spans="8:42">
      <c r="H116" s="435" t="s">
        <v>2742</v>
      </c>
      <c r="P116" s="117" t="str">
        <f t="shared" ref="P116:Q116" si="20">IF(P34="","",P34)</f>
        <v/>
      </c>
      <c r="Q116" s="117" t="str">
        <f t="shared" si="20"/>
        <v/>
      </c>
      <c r="V116" s="99"/>
      <c r="AC116" t="s">
        <v>993</v>
      </c>
      <c r="AE116" s="106"/>
      <c r="AF116" s="106"/>
      <c r="AG116" s="106"/>
      <c r="AH116" s="106"/>
      <c r="AI116" s="106"/>
      <c r="AJ116" s="106"/>
      <c r="AK116" s="106"/>
      <c r="AL116" s="106"/>
      <c r="AM116" s="106"/>
      <c r="AN116" s="106"/>
      <c r="AO116" s="106"/>
      <c r="AP116" s="106"/>
    </row>
    <row r="117" spans="8:42">
      <c r="H117" s="435" t="s">
        <v>2742</v>
      </c>
      <c r="P117" s="117" t="str">
        <f t="shared" ref="P117:Q117" si="21">IF(P35="","",P35)</f>
        <v/>
      </c>
      <c r="Q117" s="117" t="str">
        <f t="shared" si="21"/>
        <v/>
      </c>
      <c r="V117" s="99"/>
      <c r="AC117" t="s">
        <v>993</v>
      </c>
      <c r="AE117" s="106"/>
      <c r="AF117" s="106"/>
      <c r="AG117" s="106"/>
      <c r="AH117" s="106"/>
      <c r="AI117" s="106"/>
      <c r="AJ117" s="106"/>
      <c r="AK117" s="106"/>
      <c r="AL117" s="106"/>
      <c r="AM117" s="106"/>
      <c r="AN117" s="106"/>
      <c r="AO117" s="106"/>
      <c r="AP117" s="106"/>
    </row>
    <row r="118" spans="8:42">
      <c r="H118" s="435" t="s">
        <v>2742</v>
      </c>
      <c r="P118" s="117" t="str">
        <f t="shared" ref="P118:Q118" si="22">IF(P36="","",P36)</f>
        <v/>
      </c>
      <c r="Q118" s="117" t="str">
        <f t="shared" si="22"/>
        <v/>
      </c>
      <c r="V118" s="99"/>
      <c r="AC118" t="s">
        <v>993</v>
      </c>
      <c r="AE118" s="106"/>
      <c r="AF118" s="106"/>
      <c r="AG118" s="106"/>
      <c r="AH118" s="106"/>
      <c r="AI118" s="106"/>
      <c r="AJ118" s="106"/>
      <c r="AK118" s="106"/>
      <c r="AL118" s="106"/>
      <c r="AM118" s="106"/>
      <c r="AN118" s="106"/>
      <c r="AO118" s="106"/>
      <c r="AP118" s="106"/>
    </row>
    <row r="119" spans="8:42">
      <c r="H119" s="435" t="s">
        <v>2742</v>
      </c>
      <c r="P119" s="117" t="str">
        <f t="shared" ref="P119:Q119" si="23">IF(P37="","",P37)</f>
        <v/>
      </c>
      <c r="Q119" s="117" t="str">
        <f t="shared" si="23"/>
        <v/>
      </c>
      <c r="V119" s="99"/>
      <c r="AC119" t="s">
        <v>993</v>
      </c>
      <c r="AE119" s="106"/>
      <c r="AF119" s="106"/>
      <c r="AG119" s="106"/>
      <c r="AH119" s="106"/>
      <c r="AI119" s="106"/>
      <c r="AJ119" s="106"/>
      <c r="AK119" s="106"/>
      <c r="AL119" s="106"/>
      <c r="AM119" s="106"/>
      <c r="AN119" s="106"/>
      <c r="AO119" s="106"/>
      <c r="AP119" s="106"/>
    </row>
    <row r="120" spans="8:42">
      <c r="H120" s="435" t="s">
        <v>2742</v>
      </c>
      <c r="P120" s="117" t="str">
        <f t="shared" ref="P120:Q120" si="24">IF(P38="","",P38)</f>
        <v/>
      </c>
      <c r="Q120" s="117" t="str">
        <f t="shared" si="24"/>
        <v/>
      </c>
      <c r="V120" s="99"/>
      <c r="AC120" t="s">
        <v>993</v>
      </c>
      <c r="AE120" s="106"/>
      <c r="AF120" s="106"/>
      <c r="AG120" s="106"/>
      <c r="AH120" s="106"/>
      <c r="AI120" s="106"/>
      <c r="AJ120" s="106"/>
      <c r="AK120" s="106"/>
      <c r="AL120" s="106"/>
      <c r="AM120" s="106"/>
      <c r="AN120" s="106"/>
      <c r="AO120" s="106"/>
      <c r="AP120" s="106"/>
    </row>
    <row r="121" spans="8:42">
      <c r="H121" s="435" t="s">
        <v>2742</v>
      </c>
      <c r="P121" s="117" t="str">
        <f t="shared" ref="P121:Q121" si="25">IF(P39="","",P39)</f>
        <v/>
      </c>
      <c r="Q121" s="117" t="str">
        <f t="shared" si="25"/>
        <v/>
      </c>
      <c r="V121" s="99"/>
      <c r="AC121" t="s">
        <v>993</v>
      </c>
      <c r="AE121" s="106"/>
      <c r="AF121" s="106"/>
      <c r="AG121" s="106"/>
      <c r="AH121" s="106"/>
      <c r="AI121" s="106"/>
      <c r="AJ121" s="106"/>
      <c r="AK121" s="106"/>
      <c r="AL121" s="106"/>
      <c r="AM121" s="106"/>
      <c r="AN121" s="106"/>
      <c r="AO121" s="106"/>
      <c r="AP121" s="106"/>
    </row>
    <row r="122" spans="8:42">
      <c r="H122" s="435" t="s">
        <v>2742</v>
      </c>
      <c r="P122" s="117" t="str">
        <f t="shared" ref="P122:Q122" si="26">IF(P40="","",P40)</f>
        <v/>
      </c>
      <c r="Q122" s="117" t="str">
        <f t="shared" si="26"/>
        <v/>
      </c>
      <c r="V122" s="99"/>
      <c r="AC122" t="s">
        <v>993</v>
      </c>
      <c r="AE122" s="106"/>
      <c r="AF122" s="106"/>
      <c r="AG122" s="106"/>
      <c r="AH122" s="106"/>
      <c r="AI122" s="106"/>
      <c r="AJ122" s="106"/>
      <c r="AK122" s="106"/>
      <c r="AL122" s="106"/>
      <c r="AM122" s="106"/>
      <c r="AN122" s="106"/>
      <c r="AO122" s="106"/>
      <c r="AP122" s="106"/>
    </row>
    <row r="123" spans="8:42">
      <c r="H123" s="435" t="s">
        <v>2742</v>
      </c>
      <c r="P123" s="117" t="str">
        <f t="shared" ref="P123:Q123" si="27">IF(P41="","",P41)</f>
        <v/>
      </c>
      <c r="Q123" s="117" t="str">
        <f t="shared" si="27"/>
        <v/>
      </c>
      <c r="V123" s="99"/>
      <c r="AC123" t="s">
        <v>993</v>
      </c>
      <c r="AE123" s="106"/>
      <c r="AF123" s="106"/>
      <c r="AG123" s="106"/>
      <c r="AH123" s="106"/>
      <c r="AI123" s="106"/>
      <c r="AJ123" s="106"/>
      <c r="AK123" s="106"/>
      <c r="AL123" s="106"/>
      <c r="AM123" s="106"/>
      <c r="AN123" s="106"/>
      <c r="AO123" s="106"/>
      <c r="AP123" s="106"/>
    </row>
    <row r="124" spans="8:42">
      <c r="H124" s="435" t="s">
        <v>2742</v>
      </c>
      <c r="P124" s="117" t="str">
        <f t="shared" ref="P124:Q124" si="28">IF(P42="","",P42)</f>
        <v/>
      </c>
      <c r="Q124" s="117" t="str">
        <f t="shared" si="28"/>
        <v/>
      </c>
      <c r="V124" s="99"/>
      <c r="AC124" t="s">
        <v>993</v>
      </c>
      <c r="AE124" s="106"/>
      <c r="AF124" s="106"/>
      <c r="AG124" s="106"/>
      <c r="AH124" s="106"/>
      <c r="AI124" s="106"/>
      <c r="AJ124" s="106"/>
      <c r="AK124" s="106"/>
      <c r="AL124" s="106"/>
      <c r="AM124" s="106"/>
      <c r="AN124" s="106"/>
      <c r="AO124" s="106"/>
      <c r="AP124" s="106"/>
    </row>
    <row r="125" spans="8:42">
      <c r="H125" s="435" t="s">
        <v>2742</v>
      </c>
      <c r="P125" s="117" t="str">
        <f t="shared" ref="P125:Q125" si="29">IF(P43="","",P43)</f>
        <v/>
      </c>
      <c r="Q125" s="117" t="str">
        <f t="shared" si="29"/>
        <v/>
      </c>
      <c r="V125" s="99"/>
      <c r="AC125" t="s">
        <v>993</v>
      </c>
      <c r="AE125" s="106"/>
      <c r="AF125" s="106"/>
      <c r="AG125" s="106"/>
      <c r="AH125" s="106"/>
      <c r="AI125" s="106"/>
      <c r="AJ125" s="106"/>
      <c r="AK125" s="106"/>
      <c r="AL125" s="106"/>
      <c r="AM125" s="106"/>
      <c r="AN125" s="106"/>
      <c r="AO125" s="106"/>
      <c r="AP125" s="106"/>
    </row>
    <row r="126" spans="8:42">
      <c r="H126" s="435" t="s">
        <v>2742</v>
      </c>
      <c r="P126" s="117" t="str">
        <f t="shared" ref="P126:Q126" si="30">IF(P44="","",P44)</f>
        <v/>
      </c>
      <c r="Q126" s="117" t="str">
        <f t="shared" si="30"/>
        <v/>
      </c>
      <c r="V126" s="99"/>
      <c r="AC126" t="s">
        <v>993</v>
      </c>
      <c r="AE126" s="106"/>
      <c r="AF126" s="106"/>
      <c r="AG126" s="106"/>
      <c r="AH126" s="106"/>
      <c r="AI126" s="106"/>
      <c r="AJ126" s="106"/>
      <c r="AK126" s="106"/>
      <c r="AL126" s="106"/>
      <c r="AM126" s="106"/>
      <c r="AN126" s="106"/>
      <c r="AO126" s="106"/>
      <c r="AP126" s="106"/>
    </row>
    <row r="127" spans="8:42">
      <c r="H127" s="435" t="s">
        <v>2742</v>
      </c>
      <c r="P127" s="117" t="str">
        <f t="shared" ref="P127:Q127" si="31">IF(P45="","",P45)</f>
        <v/>
      </c>
      <c r="Q127" s="117" t="str">
        <f t="shared" si="31"/>
        <v/>
      </c>
      <c r="V127" s="99"/>
      <c r="AC127" t="s">
        <v>993</v>
      </c>
      <c r="AE127" s="106"/>
      <c r="AF127" s="106"/>
      <c r="AG127" s="106"/>
      <c r="AH127" s="106"/>
      <c r="AI127" s="106"/>
      <c r="AJ127" s="106"/>
      <c r="AK127" s="106"/>
      <c r="AL127" s="106"/>
      <c r="AM127" s="106"/>
      <c r="AN127" s="106"/>
      <c r="AO127" s="106"/>
      <c r="AP127" s="106"/>
    </row>
    <row r="128" spans="8:42">
      <c r="H128" s="435" t="s">
        <v>2742</v>
      </c>
      <c r="P128" s="117" t="str">
        <f t="shared" ref="P128:Q128" si="32">IF(P46="","",P46)</f>
        <v/>
      </c>
      <c r="Q128" s="117" t="str">
        <f t="shared" si="32"/>
        <v/>
      </c>
      <c r="V128" s="99"/>
      <c r="AC128" t="s">
        <v>993</v>
      </c>
      <c r="AE128" s="106"/>
      <c r="AF128" s="106"/>
      <c r="AG128" s="106"/>
      <c r="AH128" s="106"/>
      <c r="AI128" s="106"/>
      <c r="AJ128" s="106"/>
      <c r="AK128" s="106"/>
      <c r="AL128" s="106"/>
      <c r="AM128" s="106"/>
      <c r="AN128" s="106"/>
      <c r="AO128" s="106"/>
      <c r="AP128" s="106"/>
    </row>
    <row r="129" spans="8:42">
      <c r="H129" s="435" t="s">
        <v>2742</v>
      </c>
      <c r="P129" s="117" t="str">
        <f t="shared" ref="P129:Q129" si="33">IF(P47="","",P47)</f>
        <v/>
      </c>
      <c r="Q129" s="117" t="str">
        <f t="shared" si="33"/>
        <v/>
      </c>
      <c r="V129" s="99"/>
      <c r="AC129" t="s">
        <v>993</v>
      </c>
      <c r="AE129" s="106"/>
      <c r="AF129" s="106"/>
      <c r="AG129" s="106"/>
      <c r="AH129" s="106"/>
      <c r="AI129" s="106"/>
      <c r="AJ129" s="106"/>
      <c r="AK129" s="106"/>
      <c r="AL129" s="106"/>
      <c r="AM129" s="106"/>
      <c r="AN129" s="106"/>
      <c r="AO129" s="106"/>
      <c r="AP129" s="106"/>
    </row>
    <row r="130" spans="8:42">
      <c r="H130" s="435" t="s">
        <v>2742</v>
      </c>
      <c r="P130" s="117" t="str">
        <f t="shared" ref="P130:Q130" si="34">IF(P48="","",P48)</f>
        <v/>
      </c>
      <c r="Q130" s="117" t="str">
        <f t="shared" si="34"/>
        <v/>
      </c>
      <c r="V130" s="99"/>
      <c r="AC130" t="s">
        <v>993</v>
      </c>
      <c r="AE130" s="106"/>
      <c r="AF130" s="106"/>
      <c r="AG130" s="106"/>
      <c r="AH130" s="106"/>
      <c r="AI130" s="106"/>
      <c r="AJ130" s="106"/>
      <c r="AK130" s="106"/>
      <c r="AL130" s="106"/>
      <c r="AM130" s="106"/>
      <c r="AN130" s="106"/>
      <c r="AO130" s="106"/>
      <c r="AP130" s="106"/>
    </row>
    <row r="131" spans="8:42">
      <c r="H131" s="435" t="s">
        <v>2742</v>
      </c>
      <c r="P131" s="117" t="str">
        <f t="shared" ref="P131:Q131" si="35">IF(P49="","",P49)</f>
        <v/>
      </c>
      <c r="Q131" s="117" t="str">
        <f t="shared" si="35"/>
        <v/>
      </c>
      <c r="V131" s="99"/>
      <c r="AC131" t="s">
        <v>993</v>
      </c>
      <c r="AE131" s="106"/>
      <c r="AF131" s="106"/>
      <c r="AG131" s="106"/>
      <c r="AH131" s="106"/>
      <c r="AI131" s="106"/>
      <c r="AJ131" s="106"/>
      <c r="AK131" s="106"/>
      <c r="AL131" s="106"/>
      <c r="AM131" s="106"/>
      <c r="AN131" s="106"/>
      <c r="AO131" s="106"/>
      <c r="AP131" s="106"/>
    </row>
    <row r="132" spans="8:42">
      <c r="H132" s="435" t="s">
        <v>2742</v>
      </c>
      <c r="P132" s="117" t="str">
        <f t="shared" ref="P132:Q132" si="36">IF(P50="","",P50)</f>
        <v/>
      </c>
      <c r="Q132" s="117" t="str">
        <f t="shared" si="36"/>
        <v/>
      </c>
      <c r="V132" s="99"/>
      <c r="AC132" t="s">
        <v>993</v>
      </c>
      <c r="AE132" s="106"/>
      <c r="AF132" s="106"/>
      <c r="AG132" s="106"/>
      <c r="AH132" s="106"/>
      <c r="AI132" s="106"/>
      <c r="AJ132" s="106"/>
      <c r="AK132" s="106"/>
      <c r="AL132" s="106"/>
      <c r="AM132" s="106"/>
      <c r="AN132" s="106"/>
      <c r="AO132" s="106"/>
      <c r="AP132" s="106"/>
    </row>
    <row r="133" spans="8:42">
      <c r="H133" s="435" t="s">
        <v>2742</v>
      </c>
      <c r="P133" s="117" t="str">
        <f t="shared" ref="P133:Q133" si="37">IF(P51="","",P51)</f>
        <v/>
      </c>
      <c r="Q133" s="117" t="str">
        <f t="shared" si="37"/>
        <v/>
      </c>
      <c r="V133" s="99"/>
      <c r="AC133" t="s">
        <v>993</v>
      </c>
      <c r="AE133" s="106"/>
      <c r="AF133" s="106"/>
      <c r="AG133" s="106"/>
      <c r="AH133" s="106"/>
      <c r="AI133" s="106"/>
      <c r="AJ133" s="106"/>
      <c r="AK133" s="106"/>
      <c r="AL133" s="106"/>
      <c r="AM133" s="106"/>
      <c r="AN133" s="106"/>
      <c r="AO133" s="106"/>
      <c r="AP133" s="106"/>
    </row>
    <row r="134" spans="8:42">
      <c r="H134" s="435" t="s">
        <v>2742</v>
      </c>
      <c r="P134" s="117" t="str">
        <f t="shared" ref="P134:Q134" si="38">IF(P52="","",P52)</f>
        <v/>
      </c>
      <c r="Q134" s="117" t="str">
        <f t="shared" si="38"/>
        <v/>
      </c>
      <c r="V134" s="99"/>
      <c r="AC134" t="s">
        <v>993</v>
      </c>
      <c r="AE134" s="106"/>
      <c r="AF134" s="106"/>
      <c r="AG134" s="106"/>
      <c r="AH134" s="106"/>
      <c r="AI134" s="106"/>
      <c r="AJ134" s="106"/>
      <c r="AK134" s="106"/>
      <c r="AL134" s="106"/>
      <c r="AM134" s="106"/>
      <c r="AN134" s="106"/>
      <c r="AO134" s="106"/>
      <c r="AP134" s="106"/>
    </row>
    <row r="135" spans="8:42">
      <c r="H135" s="435" t="s">
        <v>2742</v>
      </c>
      <c r="P135" s="117" t="str">
        <f t="shared" ref="P135:Q135" si="39">IF(P53="","",P53)</f>
        <v/>
      </c>
      <c r="Q135" s="117" t="str">
        <f t="shared" si="39"/>
        <v/>
      </c>
      <c r="V135" s="99"/>
      <c r="AC135" t="s">
        <v>993</v>
      </c>
      <c r="AE135" s="106"/>
      <c r="AF135" s="106"/>
      <c r="AG135" s="106"/>
      <c r="AH135" s="106"/>
      <c r="AI135" s="106"/>
      <c r="AJ135" s="106"/>
      <c r="AK135" s="106"/>
      <c r="AL135" s="106"/>
      <c r="AM135" s="106"/>
      <c r="AN135" s="106"/>
      <c r="AO135" s="106"/>
      <c r="AP135" s="106"/>
    </row>
    <row r="136" spans="8:42">
      <c r="H136" s="435" t="s">
        <v>2742</v>
      </c>
      <c r="P136" s="117" t="str">
        <f t="shared" ref="P136:Q136" si="40">IF(P54="","",P54)</f>
        <v/>
      </c>
      <c r="Q136" s="117" t="str">
        <f t="shared" si="40"/>
        <v/>
      </c>
      <c r="V136" s="99"/>
      <c r="AC136" t="s">
        <v>993</v>
      </c>
      <c r="AE136" s="106"/>
      <c r="AF136" s="106"/>
      <c r="AG136" s="106"/>
      <c r="AH136" s="106"/>
      <c r="AI136" s="106"/>
      <c r="AJ136" s="106"/>
      <c r="AK136" s="106"/>
      <c r="AL136" s="106"/>
      <c r="AM136" s="106"/>
      <c r="AN136" s="106"/>
      <c r="AO136" s="106"/>
      <c r="AP136" s="106"/>
    </row>
    <row r="137" spans="8:42">
      <c r="H137" s="435" t="s">
        <v>2742</v>
      </c>
      <c r="P137" s="117" t="str">
        <f t="shared" ref="P137:Q137" si="41">IF(P55="","",P55)</f>
        <v/>
      </c>
      <c r="Q137" s="117" t="str">
        <f t="shared" si="41"/>
        <v/>
      </c>
      <c r="V137" s="99"/>
      <c r="AC137" t="s">
        <v>993</v>
      </c>
      <c r="AE137" s="106"/>
      <c r="AF137" s="106"/>
      <c r="AG137" s="106"/>
      <c r="AH137" s="106"/>
      <c r="AI137" s="106"/>
      <c r="AJ137" s="106"/>
      <c r="AK137" s="106"/>
      <c r="AL137" s="106"/>
      <c r="AM137" s="106"/>
      <c r="AN137" s="106"/>
      <c r="AO137" s="106"/>
      <c r="AP137" s="106"/>
    </row>
    <row r="138" spans="8:42">
      <c r="H138" s="435" t="s">
        <v>2742</v>
      </c>
      <c r="P138" s="117" t="str">
        <f t="shared" ref="P138:Q138" si="42">IF(P56="","",P56)</f>
        <v/>
      </c>
      <c r="Q138" s="117" t="str">
        <f t="shared" si="42"/>
        <v/>
      </c>
      <c r="V138" s="99"/>
      <c r="AC138" t="s">
        <v>993</v>
      </c>
      <c r="AE138" s="106"/>
      <c r="AF138" s="106"/>
      <c r="AG138" s="106"/>
      <c r="AH138" s="106"/>
      <c r="AI138" s="106"/>
      <c r="AJ138" s="106"/>
      <c r="AK138" s="106"/>
      <c r="AL138" s="106"/>
      <c r="AM138" s="106"/>
      <c r="AN138" s="106"/>
      <c r="AO138" s="106"/>
      <c r="AP138" s="106"/>
    </row>
    <row r="139" spans="8:42">
      <c r="H139" s="435" t="s">
        <v>2742</v>
      </c>
      <c r="P139" s="117" t="str">
        <f t="shared" ref="P139:Q139" si="43">IF(P57="","",P57)</f>
        <v/>
      </c>
      <c r="Q139" s="117" t="str">
        <f t="shared" si="43"/>
        <v/>
      </c>
      <c r="V139" s="99"/>
      <c r="AC139" t="s">
        <v>993</v>
      </c>
      <c r="AE139" s="106"/>
      <c r="AF139" s="106"/>
      <c r="AG139" s="106"/>
      <c r="AH139" s="106"/>
      <c r="AI139" s="106"/>
      <c r="AJ139" s="106"/>
      <c r="AK139" s="106"/>
      <c r="AL139" s="106"/>
      <c r="AM139" s="106"/>
      <c r="AN139" s="106"/>
      <c r="AO139" s="106"/>
      <c r="AP139" s="106"/>
    </row>
    <row r="140" spans="8:42">
      <c r="H140" s="435" t="s">
        <v>2742</v>
      </c>
      <c r="P140" s="117" t="str">
        <f t="shared" ref="P140:Q140" si="44">IF(P58="","",P58)</f>
        <v/>
      </c>
      <c r="Q140" s="117" t="str">
        <f t="shared" si="44"/>
        <v/>
      </c>
      <c r="V140" s="99"/>
      <c r="AC140" t="s">
        <v>993</v>
      </c>
      <c r="AE140" s="106"/>
      <c r="AF140" s="106"/>
      <c r="AG140" s="106"/>
      <c r="AH140" s="106"/>
      <c r="AI140" s="106"/>
      <c r="AJ140" s="106"/>
      <c r="AK140" s="106"/>
      <c r="AL140" s="106"/>
      <c r="AM140" s="106"/>
      <c r="AN140" s="106"/>
      <c r="AO140" s="106"/>
      <c r="AP140" s="106"/>
    </row>
    <row r="141" spans="8:42">
      <c r="H141" s="435" t="s">
        <v>2742</v>
      </c>
      <c r="P141" s="117" t="str">
        <f t="shared" ref="P141:Q141" si="45">IF(P59="","",P59)</f>
        <v/>
      </c>
      <c r="Q141" s="117" t="str">
        <f t="shared" si="45"/>
        <v/>
      </c>
      <c r="V141" s="99"/>
      <c r="AC141" t="s">
        <v>993</v>
      </c>
      <c r="AE141" s="106"/>
      <c r="AF141" s="106"/>
      <c r="AG141" s="106"/>
      <c r="AH141" s="106"/>
      <c r="AI141" s="106"/>
      <c r="AJ141" s="106"/>
      <c r="AK141" s="106"/>
      <c r="AL141" s="106"/>
      <c r="AM141" s="106"/>
      <c r="AN141" s="106"/>
      <c r="AO141" s="106"/>
      <c r="AP141" s="106"/>
    </row>
    <row r="142" spans="8:42">
      <c r="H142" s="435" t="s">
        <v>2742</v>
      </c>
      <c r="P142" s="117" t="str">
        <f t="shared" ref="P142:Q142" si="46">IF(P60="","",P60)</f>
        <v/>
      </c>
      <c r="Q142" s="117" t="str">
        <f t="shared" si="46"/>
        <v/>
      </c>
      <c r="V142" s="99"/>
      <c r="AC142" t="s">
        <v>993</v>
      </c>
      <c r="AE142" s="106"/>
      <c r="AF142" s="106"/>
      <c r="AG142" s="106"/>
      <c r="AH142" s="106"/>
      <c r="AI142" s="106"/>
      <c r="AJ142" s="106"/>
      <c r="AK142" s="106"/>
      <c r="AL142" s="106"/>
      <c r="AM142" s="106"/>
      <c r="AN142" s="106"/>
      <c r="AO142" s="106"/>
      <c r="AP142" s="106"/>
    </row>
    <row r="143" spans="8:42">
      <c r="H143" s="435" t="s">
        <v>2742</v>
      </c>
      <c r="P143" s="117" t="str">
        <f t="shared" ref="P143:Q143" si="47">IF(P61="","",P61)</f>
        <v/>
      </c>
      <c r="Q143" s="117" t="str">
        <f t="shared" si="47"/>
        <v/>
      </c>
      <c r="V143" s="99"/>
      <c r="AC143" t="s">
        <v>993</v>
      </c>
      <c r="AE143" s="106"/>
      <c r="AF143" s="106"/>
      <c r="AG143" s="106"/>
      <c r="AH143" s="106"/>
      <c r="AI143" s="106"/>
      <c r="AJ143" s="106"/>
      <c r="AK143" s="106"/>
      <c r="AL143" s="106"/>
      <c r="AM143" s="106"/>
      <c r="AN143" s="106"/>
      <c r="AO143" s="106"/>
      <c r="AP143" s="106"/>
    </row>
    <row r="144" spans="8:42">
      <c r="H144" s="435" t="s">
        <v>2742</v>
      </c>
      <c r="P144" s="117" t="str">
        <f t="shared" ref="P144:Q144" si="48">IF(P62="","",P62)</f>
        <v/>
      </c>
      <c r="Q144" s="117" t="str">
        <f t="shared" si="48"/>
        <v/>
      </c>
      <c r="V144" s="99"/>
      <c r="AC144" t="s">
        <v>993</v>
      </c>
      <c r="AE144" s="106"/>
      <c r="AF144" s="106"/>
      <c r="AG144" s="106"/>
      <c r="AH144" s="106"/>
      <c r="AI144" s="106"/>
      <c r="AJ144" s="106"/>
      <c r="AK144" s="106"/>
      <c r="AL144" s="106"/>
      <c r="AM144" s="106"/>
      <c r="AN144" s="106"/>
      <c r="AO144" s="106"/>
      <c r="AP144" s="106"/>
    </row>
    <row r="145" spans="8:42">
      <c r="H145" s="435" t="s">
        <v>2742</v>
      </c>
      <c r="P145" s="117" t="str">
        <f t="shared" ref="P145:Q145" si="49">IF(P63="","",P63)</f>
        <v/>
      </c>
      <c r="Q145" s="117" t="str">
        <f t="shared" si="49"/>
        <v/>
      </c>
      <c r="V145" s="99"/>
      <c r="AC145" t="s">
        <v>993</v>
      </c>
      <c r="AE145" s="106"/>
      <c r="AF145" s="106"/>
      <c r="AG145" s="106"/>
      <c r="AH145" s="106"/>
      <c r="AI145" s="106"/>
      <c r="AJ145" s="106"/>
      <c r="AK145" s="106"/>
      <c r="AL145" s="106"/>
      <c r="AM145" s="106"/>
      <c r="AN145" s="106"/>
      <c r="AO145" s="106"/>
      <c r="AP145" s="106"/>
    </row>
    <row r="146" spans="8:42">
      <c r="H146" s="435" t="s">
        <v>2742</v>
      </c>
      <c r="P146" s="117" t="str">
        <f t="shared" ref="P146:Q146" si="50">IF(P64="","",P64)</f>
        <v/>
      </c>
      <c r="Q146" s="117" t="str">
        <f t="shared" si="50"/>
        <v/>
      </c>
      <c r="V146" s="99"/>
      <c r="AC146" t="s">
        <v>993</v>
      </c>
      <c r="AE146" s="106"/>
      <c r="AF146" s="106"/>
      <c r="AG146" s="106"/>
      <c r="AH146" s="106"/>
      <c r="AI146" s="106"/>
      <c r="AJ146" s="106"/>
      <c r="AK146" s="106"/>
      <c r="AL146" s="106"/>
      <c r="AM146" s="106"/>
      <c r="AN146" s="106"/>
      <c r="AO146" s="106"/>
      <c r="AP146" s="106"/>
    </row>
    <row r="147" spans="8:42">
      <c r="H147" s="435" t="s">
        <v>2742</v>
      </c>
      <c r="P147" s="117" t="str">
        <f t="shared" ref="P147:Q147" si="51">IF(P65="","",P65)</f>
        <v/>
      </c>
      <c r="Q147" s="117" t="str">
        <f t="shared" si="51"/>
        <v/>
      </c>
      <c r="V147" s="99"/>
      <c r="AC147" t="s">
        <v>993</v>
      </c>
      <c r="AE147" s="106"/>
      <c r="AF147" s="106"/>
      <c r="AG147" s="106"/>
      <c r="AH147" s="106"/>
      <c r="AI147" s="106"/>
      <c r="AJ147" s="106"/>
      <c r="AK147" s="106"/>
      <c r="AL147" s="106"/>
      <c r="AM147" s="106"/>
      <c r="AN147" s="106"/>
      <c r="AO147" s="106"/>
      <c r="AP147" s="106"/>
    </row>
    <row r="148" spans="8:42">
      <c r="H148" s="435" t="s">
        <v>2742</v>
      </c>
      <c r="P148" s="117" t="str">
        <f t="shared" ref="P148:Q148" si="52">IF(P66="","",P66)</f>
        <v/>
      </c>
      <c r="Q148" s="117" t="str">
        <f t="shared" si="52"/>
        <v/>
      </c>
      <c r="V148" s="99"/>
      <c r="AC148" t="s">
        <v>993</v>
      </c>
      <c r="AE148" s="106"/>
      <c r="AF148" s="106"/>
      <c r="AG148" s="106"/>
      <c r="AH148" s="106"/>
      <c r="AI148" s="106"/>
      <c r="AJ148" s="106"/>
      <c r="AK148" s="106"/>
      <c r="AL148" s="106"/>
      <c r="AM148" s="106"/>
      <c r="AN148" s="106"/>
      <c r="AO148" s="106"/>
      <c r="AP148" s="106"/>
    </row>
    <row r="149" spans="8:42">
      <c r="H149" s="435" t="s">
        <v>2742</v>
      </c>
      <c r="P149" s="117" t="str">
        <f t="shared" ref="P149:Q149" si="53">IF(P67="","",P67)</f>
        <v/>
      </c>
      <c r="Q149" s="117" t="str">
        <f t="shared" si="53"/>
        <v/>
      </c>
      <c r="V149" s="99"/>
      <c r="AC149" t="s">
        <v>993</v>
      </c>
      <c r="AE149" s="106"/>
      <c r="AF149" s="106"/>
      <c r="AG149" s="106"/>
      <c r="AH149" s="106"/>
      <c r="AI149" s="106"/>
      <c r="AJ149" s="106"/>
      <c r="AK149" s="106"/>
      <c r="AL149" s="106"/>
      <c r="AM149" s="106"/>
      <c r="AN149" s="106"/>
      <c r="AO149" s="106"/>
      <c r="AP149" s="106"/>
    </row>
    <row r="150" spans="8:42">
      <c r="H150" s="435" t="s">
        <v>2742</v>
      </c>
      <c r="P150" s="117" t="str">
        <f t="shared" ref="P150:Q150" si="54">IF(P68="","",P68)</f>
        <v/>
      </c>
      <c r="Q150" s="117" t="str">
        <f t="shared" si="54"/>
        <v/>
      </c>
      <c r="V150" s="99"/>
      <c r="AC150" t="s">
        <v>993</v>
      </c>
      <c r="AE150" s="106"/>
      <c r="AF150" s="106"/>
      <c r="AG150" s="106"/>
      <c r="AH150" s="106"/>
      <c r="AI150" s="106"/>
      <c r="AJ150" s="106"/>
      <c r="AK150" s="106"/>
      <c r="AL150" s="106"/>
      <c r="AM150" s="106"/>
      <c r="AN150" s="106"/>
      <c r="AO150" s="106"/>
      <c r="AP150" s="106"/>
    </row>
    <row r="151" spans="8:42">
      <c r="H151" s="435" t="s">
        <v>2742</v>
      </c>
      <c r="P151" s="117" t="str">
        <f t="shared" ref="P151:Q151" si="55">IF(P69="","",P69)</f>
        <v/>
      </c>
      <c r="Q151" s="117" t="str">
        <f t="shared" si="55"/>
        <v/>
      </c>
      <c r="V151" s="99"/>
      <c r="AC151" t="s">
        <v>993</v>
      </c>
      <c r="AE151" s="106"/>
      <c r="AF151" s="106"/>
      <c r="AG151" s="106"/>
      <c r="AH151" s="106"/>
      <c r="AI151" s="106"/>
      <c r="AJ151" s="106"/>
      <c r="AK151" s="106"/>
      <c r="AL151" s="106"/>
      <c r="AM151" s="106"/>
      <c r="AN151" s="106"/>
      <c r="AO151" s="106"/>
      <c r="AP151" s="106"/>
    </row>
    <row r="152" spans="8:42">
      <c r="H152" s="435" t="s">
        <v>2742</v>
      </c>
      <c r="P152" s="117" t="str">
        <f t="shared" ref="P152:Q152" si="56">IF(P70="","",P70)</f>
        <v/>
      </c>
      <c r="Q152" s="117" t="str">
        <f t="shared" si="56"/>
        <v/>
      </c>
      <c r="V152" s="99"/>
      <c r="AC152" t="s">
        <v>993</v>
      </c>
      <c r="AE152" s="106"/>
      <c r="AF152" s="106"/>
      <c r="AG152" s="106"/>
      <c r="AH152" s="106"/>
      <c r="AI152" s="106"/>
      <c r="AJ152" s="106"/>
      <c r="AK152" s="106"/>
      <c r="AL152" s="106"/>
      <c r="AM152" s="106"/>
      <c r="AN152" s="106"/>
      <c r="AO152" s="106"/>
      <c r="AP152" s="106"/>
    </row>
    <row r="153" spans="8:42">
      <c r="H153" s="435" t="s">
        <v>2742</v>
      </c>
      <c r="P153" s="117" t="str">
        <f t="shared" ref="P153:Q153" si="57">IF(P71="","",P71)</f>
        <v/>
      </c>
      <c r="Q153" s="117" t="str">
        <f t="shared" si="57"/>
        <v/>
      </c>
      <c r="V153" s="99"/>
      <c r="AC153" t="s">
        <v>993</v>
      </c>
      <c r="AE153" s="106"/>
      <c r="AF153" s="106"/>
      <c r="AG153" s="106"/>
      <c r="AH153" s="106"/>
      <c r="AI153" s="106"/>
      <c r="AJ153" s="106"/>
      <c r="AK153" s="106"/>
      <c r="AL153" s="106"/>
      <c r="AM153" s="106"/>
      <c r="AN153" s="106"/>
      <c r="AO153" s="106"/>
      <c r="AP153" s="106"/>
    </row>
    <row r="154" spans="8:42">
      <c r="H154" s="435" t="s">
        <v>2742</v>
      </c>
      <c r="P154" s="117" t="str">
        <f t="shared" ref="P154:Q154" si="58">IF(P72="","",P72)</f>
        <v/>
      </c>
      <c r="Q154" s="117" t="str">
        <f t="shared" si="58"/>
        <v/>
      </c>
      <c r="V154" s="99"/>
      <c r="AC154" t="s">
        <v>993</v>
      </c>
      <c r="AE154" s="106"/>
      <c r="AF154" s="106"/>
      <c r="AG154" s="106"/>
      <c r="AH154" s="106"/>
      <c r="AI154" s="106"/>
      <c r="AJ154" s="106"/>
      <c r="AK154" s="106"/>
      <c r="AL154" s="106"/>
      <c r="AM154" s="106"/>
      <c r="AN154" s="106"/>
      <c r="AO154" s="106"/>
      <c r="AP154" s="106"/>
    </row>
    <row r="155" spans="8:42">
      <c r="H155" s="435" t="s">
        <v>2742</v>
      </c>
      <c r="P155" s="117" t="str">
        <f t="shared" ref="P155:Q155" si="59">IF(P73="","",P73)</f>
        <v/>
      </c>
      <c r="Q155" s="117" t="str">
        <f t="shared" si="59"/>
        <v/>
      </c>
      <c r="V155" s="99"/>
      <c r="AC155" t="s">
        <v>993</v>
      </c>
      <c r="AE155" s="106"/>
      <c r="AF155" s="106"/>
      <c r="AG155" s="106"/>
      <c r="AH155" s="106"/>
      <c r="AI155" s="106"/>
      <c r="AJ155" s="106"/>
      <c r="AK155" s="106"/>
      <c r="AL155" s="106"/>
      <c r="AM155" s="106"/>
      <c r="AN155" s="106"/>
      <c r="AO155" s="106"/>
      <c r="AP155" s="106"/>
    </row>
    <row r="156" spans="8:42">
      <c r="H156" s="435" t="s">
        <v>2742</v>
      </c>
      <c r="P156" s="117" t="str">
        <f t="shared" ref="P156:Q156" si="60">IF(P74="","",P74)</f>
        <v/>
      </c>
      <c r="Q156" s="117" t="str">
        <f t="shared" si="60"/>
        <v/>
      </c>
      <c r="V156" s="99"/>
      <c r="AC156" t="s">
        <v>993</v>
      </c>
      <c r="AE156" s="106"/>
      <c r="AF156" s="106"/>
      <c r="AG156" s="106"/>
      <c r="AH156" s="106"/>
      <c r="AI156" s="106"/>
      <c r="AJ156" s="106"/>
      <c r="AK156" s="106"/>
      <c r="AL156" s="106"/>
      <c r="AM156" s="106"/>
      <c r="AN156" s="106"/>
      <c r="AO156" s="106"/>
      <c r="AP156" s="106"/>
    </row>
    <row r="157" spans="8:42">
      <c r="H157" s="435" t="s">
        <v>2742</v>
      </c>
      <c r="P157" s="117" t="str">
        <f t="shared" ref="P157:Q157" si="61">IF(P75="","",P75)</f>
        <v/>
      </c>
      <c r="Q157" s="117" t="str">
        <f t="shared" si="61"/>
        <v/>
      </c>
      <c r="V157" s="99"/>
      <c r="AC157" t="s">
        <v>993</v>
      </c>
      <c r="AE157" s="106"/>
      <c r="AF157" s="106"/>
      <c r="AG157" s="106"/>
      <c r="AH157" s="106"/>
      <c r="AI157" s="106"/>
      <c r="AJ157" s="106"/>
      <c r="AK157" s="106"/>
      <c r="AL157" s="106"/>
      <c r="AM157" s="106"/>
      <c r="AN157" s="106"/>
      <c r="AO157" s="106"/>
      <c r="AP157" s="106"/>
    </row>
    <row r="158" spans="8:42">
      <c r="H158" s="435" t="s">
        <v>2742</v>
      </c>
      <c r="P158" s="117" t="str">
        <f t="shared" ref="P158:Q158" si="62">IF(P76="","",P76)</f>
        <v/>
      </c>
      <c r="Q158" s="117" t="str">
        <f t="shared" si="62"/>
        <v/>
      </c>
      <c r="V158" s="99"/>
      <c r="AC158" t="s">
        <v>993</v>
      </c>
      <c r="AE158" s="106"/>
      <c r="AF158" s="106"/>
      <c r="AG158" s="106"/>
      <c r="AH158" s="106"/>
      <c r="AI158" s="106"/>
      <c r="AJ158" s="106"/>
      <c r="AK158" s="106"/>
      <c r="AL158" s="106"/>
      <c r="AM158" s="106"/>
      <c r="AN158" s="106"/>
      <c r="AO158" s="106"/>
      <c r="AP158" s="106"/>
    </row>
    <row r="159" spans="8:42">
      <c r="H159" s="435" t="s">
        <v>2742</v>
      </c>
      <c r="P159" s="117" t="str">
        <f t="shared" ref="P159:Q159" si="63">IF(P77="","",P77)</f>
        <v/>
      </c>
      <c r="Q159" s="117" t="str">
        <f t="shared" si="63"/>
        <v/>
      </c>
      <c r="V159" s="99"/>
      <c r="AC159" t="s">
        <v>993</v>
      </c>
      <c r="AE159" s="106"/>
      <c r="AF159" s="106"/>
      <c r="AG159" s="106"/>
      <c r="AH159" s="106"/>
      <c r="AI159" s="106"/>
      <c r="AJ159" s="106"/>
      <c r="AK159" s="106"/>
      <c r="AL159" s="106"/>
      <c r="AM159" s="106"/>
      <c r="AN159" s="106"/>
      <c r="AO159" s="106"/>
      <c r="AP159" s="106"/>
    </row>
    <row r="160" spans="8:42">
      <c r="H160" s="435" t="s">
        <v>2742</v>
      </c>
      <c r="P160" s="117" t="str">
        <f t="shared" ref="P160:Q160" si="64">IF(P78="","",P78)</f>
        <v/>
      </c>
      <c r="Q160" s="117" t="str">
        <f t="shared" si="64"/>
        <v/>
      </c>
      <c r="V160" s="99"/>
      <c r="AC160" t="s">
        <v>993</v>
      </c>
      <c r="AE160" s="106"/>
      <c r="AF160" s="106"/>
      <c r="AG160" s="106"/>
      <c r="AH160" s="106"/>
      <c r="AI160" s="106"/>
      <c r="AJ160" s="106"/>
      <c r="AK160" s="106"/>
      <c r="AL160" s="106"/>
      <c r="AM160" s="106"/>
      <c r="AN160" s="106"/>
      <c r="AO160" s="106"/>
      <c r="AP160" s="106"/>
    </row>
    <row r="161" spans="1:90">
      <c r="H161" s="435" t="s">
        <v>2742</v>
      </c>
      <c r="P161" s="117" t="str">
        <f t="shared" ref="P161:Q161" si="65">IF(P79="","",P79)</f>
        <v/>
      </c>
      <c r="Q161" s="117" t="str">
        <f t="shared" si="65"/>
        <v/>
      </c>
      <c r="V161" s="99"/>
      <c r="AC161" t="s">
        <v>993</v>
      </c>
      <c r="AE161" s="106"/>
      <c r="AF161" s="106"/>
      <c r="AG161" s="106"/>
      <c r="AH161" s="106"/>
      <c r="AI161" s="106"/>
      <c r="AJ161" s="106"/>
      <c r="AK161" s="106"/>
      <c r="AL161" s="106"/>
      <c r="AM161" s="106"/>
      <c r="AN161" s="106"/>
      <c r="AO161" s="106"/>
      <c r="AP161" s="106"/>
    </row>
    <row r="162" spans="1:90">
      <c r="H162" s="435" t="s">
        <v>2742</v>
      </c>
      <c r="P162" s="117" t="str">
        <f t="shared" ref="P162:Q162" si="66">IF(P80="","",P80)</f>
        <v/>
      </c>
      <c r="Q162" s="117" t="str">
        <f t="shared" si="66"/>
        <v/>
      </c>
      <c r="V162" s="99"/>
      <c r="AC162" t="s">
        <v>993</v>
      </c>
      <c r="AE162" s="106"/>
      <c r="AF162" s="106"/>
      <c r="AG162" s="106"/>
      <c r="AH162" s="106"/>
      <c r="AI162" s="106"/>
      <c r="AJ162" s="106"/>
      <c r="AK162" s="106"/>
      <c r="AL162" s="106"/>
      <c r="AM162" s="106"/>
      <c r="AN162" s="106"/>
      <c r="AO162" s="106"/>
      <c r="AP162" s="106"/>
    </row>
    <row r="163" spans="1:90">
      <c r="H163" s="435" t="s">
        <v>2742</v>
      </c>
      <c r="P163" s="117" t="str">
        <f t="shared" ref="P163:Q163" si="67">IF(P81="","",P81)</f>
        <v/>
      </c>
      <c r="Q163" s="117" t="str">
        <f t="shared" si="67"/>
        <v/>
      </c>
      <c r="V163" s="99"/>
      <c r="AC163" t="s">
        <v>993</v>
      </c>
      <c r="AE163" s="106"/>
      <c r="AF163" s="106"/>
      <c r="AG163" s="106"/>
      <c r="AH163" s="106"/>
      <c r="AI163" s="106"/>
      <c r="AJ163" s="106"/>
      <c r="AK163" s="106"/>
      <c r="AL163" s="106"/>
      <c r="AM163" s="106"/>
      <c r="AN163" s="106"/>
      <c r="AO163" s="106"/>
      <c r="AP163" s="106"/>
    </row>
    <row r="164" spans="1:90">
      <c r="H164" s="435" t="s">
        <v>2742</v>
      </c>
      <c r="P164" s="117"/>
      <c r="Q164" s="117"/>
      <c r="V164" s="99"/>
      <c r="AC164" t="s">
        <v>993</v>
      </c>
      <c r="AE164" s="106"/>
      <c r="AF164" s="106"/>
      <c r="AG164" s="106"/>
      <c r="AH164" s="106"/>
      <c r="AI164" s="106"/>
      <c r="AJ164" s="106"/>
      <c r="AK164" s="106"/>
      <c r="AL164" s="106"/>
      <c r="AM164" s="106"/>
      <c r="AN164" s="106"/>
      <c r="AO164" s="106"/>
      <c r="AP164" s="106"/>
    </row>
    <row r="165" spans="1:90">
      <c r="H165" s="435" t="s">
        <v>2742</v>
      </c>
      <c r="P165" s="117"/>
      <c r="Q165" s="117"/>
      <c r="V165" s="99"/>
      <c r="AC165" t="s">
        <v>993</v>
      </c>
      <c r="AE165" s="106"/>
      <c r="AF165" s="106"/>
      <c r="AG165" s="106"/>
      <c r="AH165" s="106"/>
      <c r="AI165" s="106"/>
      <c r="AJ165" s="106"/>
      <c r="AK165" s="106"/>
      <c r="AL165" s="106"/>
      <c r="AM165" s="106"/>
      <c r="AN165" s="106"/>
      <c r="AO165" s="106"/>
      <c r="AP165" s="106"/>
    </row>
    <row r="166" spans="1:90">
      <c r="H166" s="435" t="s">
        <v>2742</v>
      </c>
      <c r="P166" s="117"/>
      <c r="Q166" s="117"/>
      <c r="V166" s="99"/>
      <c r="AC166" t="s">
        <v>993</v>
      </c>
      <c r="AE166" s="106"/>
      <c r="AF166" s="106"/>
      <c r="AG166" s="106"/>
      <c r="AH166" s="106"/>
      <c r="AI166" s="106"/>
      <c r="AJ166" s="106"/>
      <c r="AK166" s="106"/>
      <c r="AL166" s="106"/>
      <c r="AM166" s="106"/>
      <c r="AN166" s="106"/>
      <c r="AO166" s="106"/>
      <c r="AP166" s="106"/>
    </row>
    <row r="167" spans="1:90">
      <c r="H167" s="435" t="s">
        <v>2742</v>
      </c>
      <c r="P167" s="117"/>
      <c r="Q167" s="117"/>
      <c r="V167" s="99"/>
      <c r="AC167" t="s">
        <v>993</v>
      </c>
      <c r="AE167" s="106"/>
      <c r="AF167" s="106"/>
      <c r="AG167" s="106"/>
      <c r="AH167" s="106"/>
      <c r="AI167" s="106"/>
      <c r="AJ167" s="106"/>
      <c r="AK167" s="106"/>
      <c r="AL167" s="106"/>
      <c r="AM167" s="106"/>
      <c r="AN167" s="106"/>
      <c r="AO167" s="106"/>
      <c r="AP167" s="106"/>
    </row>
    <row r="168" spans="1:90">
      <c r="H168" s="435" t="s">
        <v>2742</v>
      </c>
      <c r="P168" s="117"/>
      <c r="Q168" s="117"/>
      <c r="V168" s="99"/>
      <c r="AC168" t="s">
        <v>993</v>
      </c>
      <c r="AE168" s="106"/>
      <c r="AF168" s="106"/>
      <c r="AG168" s="106"/>
      <c r="AH168" s="106"/>
      <c r="AI168" s="106"/>
      <c r="AJ168" s="106"/>
      <c r="AK168" s="106"/>
      <c r="AL168" s="106"/>
      <c r="AM168" s="106"/>
      <c r="AN168" s="106"/>
      <c r="AO168" s="106"/>
      <c r="AP168" s="106"/>
    </row>
    <row r="169" spans="1:90">
      <c r="H169" s="435" t="s">
        <v>2742</v>
      </c>
      <c r="P169" s="117"/>
      <c r="Q169" s="117"/>
      <c r="V169" s="99"/>
      <c r="AC169" t="s">
        <v>993</v>
      </c>
      <c r="AE169" s="106"/>
      <c r="AF169" s="106"/>
      <c r="AG169" s="106"/>
      <c r="AH169" s="106"/>
      <c r="AI169" s="106"/>
      <c r="AJ169" s="106"/>
      <c r="AK169" s="106"/>
      <c r="AL169" s="106"/>
      <c r="AM169" s="106"/>
      <c r="AN169" s="106"/>
      <c r="AO169" s="106"/>
      <c r="AP169" s="106"/>
    </row>
    <row r="170" spans="1:90">
      <c r="H170" s="435" t="s">
        <v>2742</v>
      </c>
      <c r="P170" s="117"/>
      <c r="Q170" s="117"/>
      <c r="V170" s="99"/>
      <c r="AC170" t="s">
        <v>993</v>
      </c>
      <c r="AE170" s="106"/>
      <c r="AF170" s="106"/>
      <c r="AG170" s="106"/>
      <c r="AH170" s="106"/>
      <c r="AI170" s="106"/>
      <c r="AJ170" s="106"/>
      <c r="AK170" s="106"/>
      <c r="AL170" s="106"/>
      <c r="AM170" s="106"/>
      <c r="AN170" s="106"/>
      <c r="AO170" s="106"/>
      <c r="AP170" s="106"/>
    </row>
    <row r="171" spans="1:90">
      <c r="H171" s="435" t="s">
        <v>2742</v>
      </c>
      <c r="P171" s="117"/>
      <c r="Q171" s="117"/>
      <c r="V171" s="99"/>
      <c r="AC171" t="s">
        <v>993</v>
      </c>
      <c r="AE171" s="106"/>
      <c r="AF171" s="106"/>
      <c r="AG171" s="106"/>
      <c r="AH171" s="106"/>
      <c r="AI171" s="106"/>
      <c r="AJ171" s="106"/>
      <c r="AK171" s="106"/>
      <c r="AL171" s="106"/>
      <c r="AM171" s="106"/>
      <c r="AN171" s="106"/>
      <c r="AO171" s="106"/>
      <c r="AP171" s="106"/>
    </row>
    <row r="172" spans="1:90">
      <c r="H172" s="435" t="s">
        <v>2742</v>
      </c>
      <c r="P172" s="117"/>
      <c r="Q172" s="117"/>
      <c r="V172" s="99"/>
      <c r="AC172" t="s">
        <v>993</v>
      </c>
      <c r="AE172" s="106"/>
      <c r="AF172" s="106"/>
      <c r="AG172" s="106"/>
      <c r="AH172" s="106"/>
      <c r="AI172" s="106"/>
      <c r="AJ172" s="106"/>
      <c r="AK172" s="106"/>
      <c r="AL172" s="106"/>
      <c r="AM172" s="106"/>
      <c r="AN172" s="106"/>
      <c r="AO172" s="106"/>
      <c r="AP172" s="106"/>
    </row>
    <row r="173" spans="1:90">
      <c r="H173" s="435" t="s">
        <v>2742</v>
      </c>
      <c r="P173" s="117"/>
      <c r="Q173" s="117"/>
      <c r="V173" s="99"/>
      <c r="AC173" t="s">
        <v>993</v>
      </c>
      <c r="AE173" s="106"/>
      <c r="AF173" s="106"/>
      <c r="AG173" s="106"/>
      <c r="AH173" s="106"/>
      <c r="AI173" s="106"/>
      <c r="AJ173" s="106"/>
      <c r="AK173" s="106"/>
      <c r="AL173" s="106"/>
      <c r="AM173" s="106"/>
      <c r="AN173" s="106"/>
      <c r="AO173" s="106"/>
      <c r="AP173" s="106"/>
    </row>
    <row r="174" spans="1:90">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row>
    <row r="175" spans="1:90" s="1" customFormat="1">
      <c r="A175" s="66"/>
      <c r="B175" s="78" t="s">
        <v>1046</v>
      </c>
      <c r="P175" s="115"/>
      <c r="Q175" s="115"/>
    </row>
    <row r="177" spans="8:42">
      <c r="H177" t="s">
        <v>1046</v>
      </c>
      <c r="P177" s="117" t="str">
        <f>IF(P13="","",P13)</f>
        <v/>
      </c>
      <c r="Q177" s="117" t="str">
        <f>IF(Q13="","",Q13)</f>
        <v/>
      </c>
      <c r="V177" s="99"/>
      <c r="AC177" t="s">
        <v>993</v>
      </c>
      <c r="AE177" s="106"/>
      <c r="AF177" s="106"/>
      <c r="AG177" s="106"/>
      <c r="AH177" s="106"/>
      <c r="AI177" s="106"/>
      <c r="AJ177" s="106"/>
      <c r="AK177" s="106"/>
      <c r="AL177" s="106"/>
      <c r="AM177" s="106"/>
      <c r="AN177" s="106"/>
      <c r="AO177" s="106"/>
      <c r="AP177" s="106"/>
    </row>
    <row r="178" spans="8:42">
      <c r="H178" t="s">
        <v>1046</v>
      </c>
      <c r="P178" s="117" t="str">
        <f t="shared" ref="P178:Q178" si="68">IF(P14="","",P14)</f>
        <v/>
      </c>
      <c r="Q178" s="117" t="str">
        <f t="shared" si="68"/>
        <v/>
      </c>
      <c r="V178" s="99"/>
      <c r="AC178" t="s">
        <v>993</v>
      </c>
      <c r="AE178" s="106"/>
      <c r="AF178" s="106"/>
      <c r="AG178" s="106"/>
      <c r="AH178" s="106"/>
      <c r="AI178" s="106"/>
      <c r="AJ178" s="106"/>
      <c r="AK178" s="106"/>
      <c r="AL178" s="106"/>
      <c r="AM178" s="106"/>
      <c r="AN178" s="106"/>
      <c r="AO178" s="106"/>
      <c r="AP178" s="106"/>
    </row>
    <row r="179" spans="8:42">
      <c r="H179" t="s">
        <v>1046</v>
      </c>
      <c r="P179" s="117" t="str">
        <f t="shared" ref="P179:Q179" si="69">IF(P15="","",P15)</f>
        <v/>
      </c>
      <c r="Q179" s="117" t="str">
        <f t="shared" si="69"/>
        <v/>
      </c>
      <c r="V179" s="99"/>
      <c r="AC179" t="s">
        <v>993</v>
      </c>
      <c r="AE179" s="106"/>
      <c r="AF179" s="106"/>
      <c r="AG179" s="106"/>
      <c r="AH179" s="106"/>
      <c r="AI179" s="106"/>
      <c r="AJ179" s="106"/>
      <c r="AK179" s="106"/>
      <c r="AL179" s="106"/>
      <c r="AM179" s="106"/>
      <c r="AN179" s="106"/>
      <c r="AO179" s="106"/>
      <c r="AP179" s="106"/>
    </row>
    <row r="180" spans="8:42">
      <c r="H180" t="s">
        <v>1046</v>
      </c>
      <c r="P180" s="117" t="str">
        <f t="shared" ref="P180:Q180" si="70">IF(P16="","",P16)</f>
        <v/>
      </c>
      <c r="Q180" s="117" t="str">
        <f t="shared" si="70"/>
        <v/>
      </c>
      <c r="V180" s="99"/>
      <c r="AC180" t="s">
        <v>993</v>
      </c>
      <c r="AE180" s="106"/>
      <c r="AF180" s="106"/>
      <c r="AG180" s="106"/>
      <c r="AH180" s="106"/>
      <c r="AI180" s="106"/>
      <c r="AJ180" s="106"/>
      <c r="AK180" s="106"/>
      <c r="AL180" s="106"/>
      <c r="AM180" s="106"/>
      <c r="AN180" s="106"/>
      <c r="AO180" s="106"/>
      <c r="AP180" s="106"/>
    </row>
    <row r="181" spans="8:42">
      <c r="H181" t="s">
        <v>1046</v>
      </c>
      <c r="P181" s="117" t="str">
        <f t="shared" ref="P181:Q181" si="71">IF(P17="","",P17)</f>
        <v/>
      </c>
      <c r="Q181" s="117" t="str">
        <f t="shared" si="71"/>
        <v/>
      </c>
      <c r="V181" s="99"/>
      <c r="AC181" t="s">
        <v>993</v>
      </c>
      <c r="AE181" s="106"/>
      <c r="AF181" s="106"/>
      <c r="AG181" s="106"/>
      <c r="AH181" s="106"/>
      <c r="AI181" s="106"/>
      <c r="AJ181" s="106"/>
      <c r="AK181" s="106"/>
      <c r="AL181" s="106"/>
      <c r="AM181" s="106"/>
      <c r="AN181" s="106"/>
      <c r="AO181" s="106"/>
      <c r="AP181" s="106"/>
    </row>
    <row r="182" spans="8:42">
      <c r="H182" t="s">
        <v>1046</v>
      </c>
      <c r="P182" s="117" t="str">
        <f t="shared" ref="P182:Q182" si="72">IF(P18="","",P18)</f>
        <v/>
      </c>
      <c r="Q182" s="117" t="str">
        <f t="shared" si="72"/>
        <v/>
      </c>
      <c r="V182" s="99"/>
      <c r="AC182" t="s">
        <v>993</v>
      </c>
      <c r="AE182" s="106"/>
      <c r="AF182" s="106"/>
      <c r="AG182" s="106"/>
      <c r="AH182" s="106"/>
      <c r="AI182" s="106"/>
      <c r="AJ182" s="106"/>
      <c r="AK182" s="106"/>
      <c r="AL182" s="106"/>
      <c r="AM182" s="106"/>
      <c r="AN182" s="106"/>
      <c r="AO182" s="106"/>
      <c r="AP182" s="106"/>
    </row>
    <row r="183" spans="8:42">
      <c r="H183" t="s">
        <v>1046</v>
      </c>
      <c r="P183" s="117" t="str">
        <f t="shared" ref="P183:Q183" si="73">IF(P19="","",P19)</f>
        <v/>
      </c>
      <c r="Q183" s="117" t="str">
        <f t="shared" si="73"/>
        <v/>
      </c>
      <c r="V183" s="99"/>
      <c r="AC183" t="s">
        <v>993</v>
      </c>
      <c r="AE183" s="106"/>
      <c r="AF183" s="106"/>
      <c r="AG183" s="106"/>
      <c r="AH183" s="106"/>
      <c r="AI183" s="106"/>
      <c r="AJ183" s="106"/>
      <c r="AK183" s="106"/>
      <c r="AL183" s="106"/>
      <c r="AM183" s="106"/>
      <c r="AN183" s="106"/>
      <c r="AO183" s="106"/>
      <c r="AP183" s="106"/>
    </row>
    <row r="184" spans="8:42">
      <c r="H184" t="s">
        <v>1046</v>
      </c>
      <c r="P184" s="117" t="str">
        <f t="shared" ref="P184:Q184" si="74">IF(P20="","",P20)</f>
        <v/>
      </c>
      <c r="Q184" s="117" t="str">
        <f t="shared" si="74"/>
        <v/>
      </c>
      <c r="V184" s="99"/>
      <c r="AC184" t="s">
        <v>993</v>
      </c>
      <c r="AE184" s="106"/>
      <c r="AF184" s="106"/>
      <c r="AG184" s="106"/>
      <c r="AH184" s="106"/>
      <c r="AI184" s="106"/>
      <c r="AJ184" s="106"/>
      <c r="AK184" s="106"/>
      <c r="AL184" s="106"/>
      <c r="AM184" s="106"/>
      <c r="AN184" s="106"/>
      <c r="AO184" s="106"/>
      <c r="AP184" s="106"/>
    </row>
    <row r="185" spans="8:42">
      <c r="H185" t="s">
        <v>1046</v>
      </c>
      <c r="P185" s="117" t="str">
        <f t="shared" ref="P185:Q185" si="75">IF(P21="","",P21)</f>
        <v/>
      </c>
      <c r="Q185" s="117" t="str">
        <f t="shared" si="75"/>
        <v/>
      </c>
      <c r="V185" s="99"/>
      <c r="AC185" t="s">
        <v>993</v>
      </c>
      <c r="AE185" s="106"/>
      <c r="AF185" s="106"/>
      <c r="AG185" s="106"/>
      <c r="AH185" s="106"/>
      <c r="AI185" s="106"/>
      <c r="AJ185" s="106"/>
      <c r="AK185" s="106"/>
      <c r="AL185" s="106"/>
      <c r="AM185" s="106"/>
      <c r="AN185" s="106"/>
      <c r="AO185" s="106"/>
      <c r="AP185" s="106"/>
    </row>
    <row r="186" spans="8:42">
      <c r="H186" t="s">
        <v>1046</v>
      </c>
      <c r="P186" s="117" t="str">
        <f t="shared" ref="P186:Q186" si="76">IF(P22="","",P22)</f>
        <v/>
      </c>
      <c r="Q186" s="117" t="str">
        <f t="shared" si="76"/>
        <v/>
      </c>
      <c r="V186" s="99"/>
      <c r="AC186" t="s">
        <v>993</v>
      </c>
      <c r="AE186" s="106"/>
      <c r="AF186" s="106"/>
      <c r="AG186" s="106"/>
      <c r="AH186" s="106"/>
      <c r="AI186" s="106"/>
      <c r="AJ186" s="106"/>
      <c r="AK186" s="106"/>
      <c r="AL186" s="106"/>
      <c r="AM186" s="106"/>
      <c r="AN186" s="106"/>
      <c r="AO186" s="106"/>
      <c r="AP186" s="106"/>
    </row>
    <row r="187" spans="8:42">
      <c r="H187" t="s">
        <v>1046</v>
      </c>
      <c r="P187" s="117" t="str">
        <f t="shared" ref="P187:Q187" si="77">IF(P23="","",P23)</f>
        <v/>
      </c>
      <c r="Q187" s="117" t="str">
        <f t="shared" si="77"/>
        <v/>
      </c>
      <c r="V187" s="99"/>
      <c r="AC187" t="s">
        <v>993</v>
      </c>
      <c r="AE187" s="106"/>
      <c r="AF187" s="106"/>
      <c r="AG187" s="106"/>
      <c r="AH187" s="106"/>
      <c r="AI187" s="106"/>
      <c r="AJ187" s="106"/>
      <c r="AK187" s="106"/>
      <c r="AL187" s="106"/>
      <c r="AM187" s="106"/>
      <c r="AN187" s="106"/>
      <c r="AO187" s="106"/>
      <c r="AP187" s="106"/>
    </row>
    <row r="188" spans="8:42">
      <c r="H188" t="s">
        <v>1046</v>
      </c>
      <c r="P188" s="117" t="str">
        <f t="shared" ref="P188:Q188" si="78">IF(P24="","",P24)</f>
        <v/>
      </c>
      <c r="Q188" s="117" t="str">
        <f t="shared" si="78"/>
        <v/>
      </c>
      <c r="V188" s="99"/>
      <c r="AC188" t="s">
        <v>993</v>
      </c>
      <c r="AE188" s="106"/>
      <c r="AF188" s="106"/>
      <c r="AG188" s="106"/>
      <c r="AH188" s="106"/>
      <c r="AI188" s="106"/>
      <c r="AJ188" s="106"/>
      <c r="AK188" s="106"/>
      <c r="AL188" s="106"/>
      <c r="AM188" s="106"/>
      <c r="AN188" s="106"/>
      <c r="AO188" s="106"/>
      <c r="AP188" s="106"/>
    </row>
    <row r="189" spans="8:42">
      <c r="H189" t="s">
        <v>1046</v>
      </c>
      <c r="P189" s="117" t="str">
        <f t="shared" ref="P189:Q189" si="79">IF(P25="","",P25)</f>
        <v/>
      </c>
      <c r="Q189" s="117" t="str">
        <f t="shared" si="79"/>
        <v/>
      </c>
      <c r="V189" s="99"/>
      <c r="AC189" t="s">
        <v>993</v>
      </c>
      <c r="AE189" s="106"/>
      <c r="AF189" s="106"/>
      <c r="AG189" s="106"/>
      <c r="AH189" s="106"/>
      <c r="AI189" s="106"/>
      <c r="AJ189" s="106"/>
      <c r="AK189" s="106"/>
      <c r="AL189" s="106"/>
      <c r="AM189" s="106"/>
      <c r="AN189" s="106"/>
      <c r="AO189" s="106"/>
      <c r="AP189" s="106"/>
    </row>
    <row r="190" spans="8:42">
      <c r="H190" t="s">
        <v>1046</v>
      </c>
      <c r="P190" s="117" t="str">
        <f t="shared" ref="P190:Q190" si="80">IF(P26="","",P26)</f>
        <v/>
      </c>
      <c r="Q190" s="117" t="str">
        <f t="shared" si="80"/>
        <v/>
      </c>
      <c r="V190" s="99"/>
      <c r="AC190" t="s">
        <v>993</v>
      </c>
      <c r="AE190" s="106"/>
      <c r="AF190" s="106"/>
      <c r="AG190" s="106"/>
      <c r="AH190" s="106"/>
      <c r="AI190" s="106"/>
      <c r="AJ190" s="106"/>
      <c r="AK190" s="106"/>
      <c r="AL190" s="106"/>
      <c r="AM190" s="106"/>
      <c r="AN190" s="106"/>
      <c r="AO190" s="106"/>
      <c r="AP190" s="106"/>
    </row>
    <row r="191" spans="8:42">
      <c r="H191" t="s">
        <v>1046</v>
      </c>
      <c r="P191" s="117" t="str">
        <f t="shared" ref="P191:Q191" si="81">IF(P27="","",P27)</f>
        <v/>
      </c>
      <c r="Q191" s="117" t="str">
        <f t="shared" si="81"/>
        <v/>
      </c>
      <c r="V191" s="99"/>
      <c r="AC191" t="s">
        <v>993</v>
      </c>
      <c r="AE191" s="106"/>
      <c r="AF191" s="106"/>
      <c r="AG191" s="106"/>
      <c r="AH191" s="106"/>
      <c r="AI191" s="106"/>
      <c r="AJ191" s="106"/>
      <c r="AK191" s="106"/>
      <c r="AL191" s="106"/>
      <c r="AM191" s="106"/>
      <c r="AN191" s="106"/>
      <c r="AO191" s="106"/>
      <c r="AP191" s="106"/>
    </row>
    <row r="192" spans="8:42">
      <c r="H192" t="s">
        <v>1046</v>
      </c>
      <c r="P192" s="117" t="str">
        <f t="shared" ref="P192:Q192" si="82">IF(P28="","",P28)</f>
        <v/>
      </c>
      <c r="Q192" s="117" t="str">
        <f t="shared" si="82"/>
        <v/>
      </c>
      <c r="V192" s="99"/>
      <c r="AC192" t="s">
        <v>993</v>
      </c>
      <c r="AE192" s="106"/>
      <c r="AF192" s="106"/>
      <c r="AG192" s="106"/>
      <c r="AH192" s="106"/>
      <c r="AI192" s="106"/>
      <c r="AJ192" s="106"/>
      <c r="AK192" s="106"/>
      <c r="AL192" s="106"/>
      <c r="AM192" s="106"/>
      <c r="AN192" s="106"/>
      <c r="AO192" s="106"/>
      <c r="AP192" s="106"/>
    </row>
    <row r="193" spans="8:42">
      <c r="H193" t="s">
        <v>1046</v>
      </c>
      <c r="P193" s="117" t="str">
        <f t="shared" ref="P193:Q193" si="83">IF(P29="","",P29)</f>
        <v/>
      </c>
      <c r="Q193" s="117" t="str">
        <f t="shared" si="83"/>
        <v/>
      </c>
      <c r="V193" s="99"/>
      <c r="AC193" t="s">
        <v>993</v>
      </c>
      <c r="AE193" s="106"/>
      <c r="AF193" s="106"/>
      <c r="AG193" s="106"/>
      <c r="AH193" s="106"/>
      <c r="AI193" s="106"/>
      <c r="AJ193" s="106"/>
      <c r="AK193" s="106"/>
      <c r="AL193" s="106"/>
      <c r="AM193" s="106"/>
      <c r="AN193" s="106"/>
      <c r="AO193" s="106"/>
      <c r="AP193" s="106"/>
    </row>
    <row r="194" spans="8:42">
      <c r="H194" t="s">
        <v>1046</v>
      </c>
      <c r="P194" s="117" t="str">
        <f t="shared" ref="P194:Q194" si="84">IF(P30="","",P30)</f>
        <v/>
      </c>
      <c r="Q194" s="117" t="str">
        <f t="shared" si="84"/>
        <v/>
      </c>
      <c r="V194" s="99"/>
      <c r="AC194" t="s">
        <v>993</v>
      </c>
      <c r="AE194" s="106"/>
      <c r="AF194" s="106"/>
      <c r="AG194" s="106"/>
      <c r="AH194" s="106"/>
      <c r="AI194" s="106"/>
      <c r="AJ194" s="106"/>
      <c r="AK194" s="106"/>
      <c r="AL194" s="106"/>
      <c r="AM194" s="106"/>
      <c r="AN194" s="106"/>
      <c r="AO194" s="106"/>
      <c r="AP194" s="106"/>
    </row>
    <row r="195" spans="8:42">
      <c r="H195" t="s">
        <v>1046</v>
      </c>
      <c r="P195" s="117" t="str">
        <f t="shared" ref="P195:Q195" si="85">IF(P31="","",P31)</f>
        <v/>
      </c>
      <c r="Q195" s="117" t="str">
        <f t="shared" si="85"/>
        <v/>
      </c>
      <c r="V195" s="99"/>
      <c r="AC195" t="s">
        <v>993</v>
      </c>
      <c r="AE195" s="106"/>
      <c r="AF195" s="106"/>
      <c r="AG195" s="106"/>
      <c r="AH195" s="106"/>
      <c r="AI195" s="106"/>
      <c r="AJ195" s="106"/>
      <c r="AK195" s="106"/>
      <c r="AL195" s="106"/>
      <c r="AM195" s="106"/>
      <c r="AN195" s="106"/>
      <c r="AO195" s="106"/>
      <c r="AP195" s="106"/>
    </row>
    <row r="196" spans="8:42">
      <c r="H196" t="s">
        <v>1046</v>
      </c>
      <c r="P196" s="117" t="str">
        <f t="shared" ref="P196:Q196" si="86">IF(P32="","",P32)</f>
        <v/>
      </c>
      <c r="Q196" s="117" t="str">
        <f t="shared" si="86"/>
        <v/>
      </c>
      <c r="V196" s="99"/>
      <c r="AC196" t="s">
        <v>993</v>
      </c>
      <c r="AE196" s="106"/>
      <c r="AF196" s="106"/>
      <c r="AG196" s="106"/>
      <c r="AH196" s="106"/>
      <c r="AI196" s="106"/>
      <c r="AJ196" s="106"/>
      <c r="AK196" s="106"/>
      <c r="AL196" s="106"/>
      <c r="AM196" s="106"/>
      <c r="AN196" s="106"/>
      <c r="AO196" s="106"/>
      <c r="AP196" s="106"/>
    </row>
    <row r="197" spans="8:42">
      <c r="H197" t="s">
        <v>1046</v>
      </c>
      <c r="P197" s="117" t="str">
        <f t="shared" ref="P197:Q197" si="87">IF(P33="","",P33)</f>
        <v/>
      </c>
      <c r="Q197" s="117" t="str">
        <f t="shared" si="87"/>
        <v/>
      </c>
      <c r="V197" s="99"/>
      <c r="AC197" t="s">
        <v>993</v>
      </c>
      <c r="AE197" s="106"/>
      <c r="AF197" s="106"/>
      <c r="AG197" s="106"/>
      <c r="AH197" s="106"/>
      <c r="AI197" s="106"/>
      <c r="AJ197" s="106"/>
      <c r="AK197" s="106"/>
      <c r="AL197" s="106"/>
      <c r="AM197" s="106"/>
      <c r="AN197" s="106"/>
      <c r="AO197" s="106"/>
      <c r="AP197" s="106"/>
    </row>
    <row r="198" spans="8:42">
      <c r="H198" t="s">
        <v>1046</v>
      </c>
      <c r="P198" s="117" t="str">
        <f t="shared" ref="P198:Q198" si="88">IF(P34="","",P34)</f>
        <v/>
      </c>
      <c r="Q198" s="117" t="str">
        <f t="shared" si="88"/>
        <v/>
      </c>
      <c r="V198" s="99"/>
      <c r="AC198" t="s">
        <v>993</v>
      </c>
      <c r="AE198" s="106"/>
      <c r="AF198" s="106"/>
      <c r="AG198" s="106"/>
      <c r="AH198" s="106"/>
      <c r="AI198" s="106"/>
      <c r="AJ198" s="106"/>
      <c r="AK198" s="106"/>
      <c r="AL198" s="106"/>
      <c r="AM198" s="106"/>
      <c r="AN198" s="106"/>
      <c r="AO198" s="106"/>
      <c r="AP198" s="106"/>
    </row>
    <row r="199" spans="8:42">
      <c r="H199" t="s">
        <v>1046</v>
      </c>
      <c r="P199" s="117" t="str">
        <f t="shared" ref="P199:Q199" si="89">IF(P35="","",P35)</f>
        <v/>
      </c>
      <c r="Q199" s="117" t="str">
        <f t="shared" si="89"/>
        <v/>
      </c>
      <c r="V199" s="99"/>
      <c r="AC199" t="s">
        <v>993</v>
      </c>
      <c r="AE199" s="106"/>
      <c r="AF199" s="106"/>
      <c r="AG199" s="106"/>
      <c r="AH199" s="106"/>
      <c r="AI199" s="106"/>
      <c r="AJ199" s="106"/>
      <c r="AK199" s="106"/>
      <c r="AL199" s="106"/>
      <c r="AM199" s="106"/>
      <c r="AN199" s="106"/>
      <c r="AO199" s="106"/>
      <c r="AP199" s="106"/>
    </row>
    <row r="200" spans="8:42">
      <c r="H200" t="s">
        <v>1046</v>
      </c>
      <c r="P200" s="117" t="str">
        <f t="shared" ref="P200:Q200" si="90">IF(P36="","",P36)</f>
        <v/>
      </c>
      <c r="Q200" s="117" t="str">
        <f t="shared" si="90"/>
        <v/>
      </c>
      <c r="V200" s="99"/>
      <c r="AC200" t="s">
        <v>993</v>
      </c>
      <c r="AE200" s="106"/>
      <c r="AF200" s="106"/>
      <c r="AG200" s="106"/>
      <c r="AH200" s="106"/>
      <c r="AI200" s="106"/>
      <c r="AJ200" s="106"/>
      <c r="AK200" s="106"/>
      <c r="AL200" s="106"/>
      <c r="AM200" s="106"/>
      <c r="AN200" s="106"/>
      <c r="AO200" s="106"/>
      <c r="AP200" s="106"/>
    </row>
    <row r="201" spans="8:42">
      <c r="H201" t="s">
        <v>1046</v>
      </c>
      <c r="P201" s="117" t="str">
        <f t="shared" ref="P201:Q201" si="91">IF(P37="","",P37)</f>
        <v/>
      </c>
      <c r="Q201" s="117" t="str">
        <f t="shared" si="91"/>
        <v/>
      </c>
      <c r="V201" s="99"/>
      <c r="AC201" t="s">
        <v>993</v>
      </c>
      <c r="AE201" s="106"/>
      <c r="AF201" s="106"/>
      <c r="AG201" s="106"/>
      <c r="AH201" s="106"/>
      <c r="AI201" s="106"/>
      <c r="AJ201" s="106"/>
      <c r="AK201" s="106"/>
      <c r="AL201" s="106"/>
      <c r="AM201" s="106"/>
      <c r="AN201" s="106"/>
      <c r="AO201" s="106"/>
      <c r="AP201" s="106"/>
    </row>
    <row r="202" spans="8:42">
      <c r="H202" t="s">
        <v>1046</v>
      </c>
      <c r="P202" s="117" t="str">
        <f t="shared" ref="P202:Q202" si="92">IF(P38="","",P38)</f>
        <v/>
      </c>
      <c r="Q202" s="117" t="str">
        <f t="shared" si="92"/>
        <v/>
      </c>
      <c r="V202" s="99"/>
      <c r="AC202" t="s">
        <v>993</v>
      </c>
      <c r="AE202" s="106"/>
      <c r="AF202" s="106"/>
      <c r="AG202" s="106"/>
      <c r="AH202" s="106"/>
      <c r="AI202" s="106"/>
      <c r="AJ202" s="106"/>
      <c r="AK202" s="106"/>
      <c r="AL202" s="106"/>
      <c r="AM202" s="106"/>
      <c r="AN202" s="106"/>
      <c r="AO202" s="106"/>
      <c r="AP202" s="106"/>
    </row>
    <row r="203" spans="8:42">
      <c r="H203" t="s">
        <v>1046</v>
      </c>
      <c r="P203" s="117" t="str">
        <f t="shared" ref="P203:Q203" si="93">IF(P39="","",P39)</f>
        <v/>
      </c>
      <c r="Q203" s="117" t="str">
        <f t="shared" si="93"/>
        <v/>
      </c>
      <c r="V203" s="99"/>
      <c r="AC203" t="s">
        <v>993</v>
      </c>
      <c r="AE203" s="106"/>
      <c r="AF203" s="106"/>
      <c r="AG203" s="106"/>
      <c r="AH203" s="106"/>
      <c r="AI203" s="106"/>
      <c r="AJ203" s="106"/>
      <c r="AK203" s="106"/>
      <c r="AL203" s="106"/>
      <c r="AM203" s="106"/>
      <c r="AN203" s="106"/>
      <c r="AO203" s="106"/>
      <c r="AP203" s="106"/>
    </row>
    <row r="204" spans="8:42">
      <c r="H204" t="s">
        <v>1046</v>
      </c>
      <c r="P204" s="117" t="str">
        <f t="shared" ref="P204:Q204" si="94">IF(P40="","",P40)</f>
        <v/>
      </c>
      <c r="Q204" s="117" t="str">
        <f t="shared" si="94"/>
        <v/>
      </c>
      <c r="V204" s="99"/>
      <c r="AC204" t="s">
        <v>993</v>
      </c>
      <c r="AE204" s="106"/>
      <c r="AF204" s="106"/>
      <c r="AG204" s="106"/>
      <c r="AH204" s="106"/>
      <c r="AI204" s="106"/>
      <c r="AJ204" s="106"/>
      <c r="AK204" s="106"/>
      <c r="AL204" s="106"/>
      <c r="AM204" s="106"/>
      <c r="AN204" s="106"/>
      <c r="AO204" s="106"/>
      <c r="AP204" s="106"/>
    </row>
    <row r="205" spans="8:42">
      <c r="H205" t="s">
        <v>1046</v>
      </c>
      <c r="P205" s="117" t="str">
        <f t="shared" ref="P205:Q205" si="95">IF(P41="","",P41)</f>
        <v/>
      </c>
      <c r="Q205" s="117" t="str">
        <f t="shared" si="95"/>
        <v/>
      </c>
      <c r="V205" s="99"/>
      <c r="AC205" t="s">
        <v>993</v>
      </c>
      <c r="AE205" s="106"/>
      <c r="AF205" s="106"/>
      <c r="AG205" s="106"/>
      <c r="AH205" s="106"/>
      <c r="AI205" s="106"/>
      <c r="AJ205" s="106"/>
      <c r="AK205" s="106"/>
      <c r="AL205" s="106"/>
      <c r="AM205" s="106"/>
      <c r="AN205" s="106"/>
      <c r="AO205" s="106"/>
      <c r="AP205" s="106"/>
    </row>
    <row r="206" spans="8:42">
      <c r="H206" t="s">
        <v>1046</v>
      </c>
      <c r="P206" s="117" t="str">
        <f t="shared" ref="P206:Q206" si="96">IF(P42="","",P42)</f>
        <v/>
      </c>
      <c r="Q206" s="117" t="str">
        <f t="shared" si="96"/>
        <v/>
      </c>
      <c r="V206" s="99"/>
      <c r="AC206" t="s">
        <v>993</v>
      </c>
      <c r="AE206" s="106"/>
      <c r="AF206" s="106"/>
      <c r="AG206" s="106"/>
      <c r="AH206" s="106"/>
      <c r="AI206" s="106"/>
      <c r="AJ206" s="106"/>
      <c r="AK206" s="106"/>
      <c r="AL206" s="106"/>
      <c r="AM206" s="106"/>
      <c r="AN206" s="106"/>
      <c r="AO206" s="106"/>
      <c r="AP206" s="106"/>
    </row>
    <row r="207" spans="8:42">
      <c r="H207" t="s">
        <v>1046</v>
      </c>
      <c r="P207" s="117" t="str">
        <f t="shared" ref="P207:Q207" si="97">IF(P43="","",P43)</f>
        <v/>
      </c>
      <c r="Q207" s="117" t="str">
        <f t="shared" si="97"/>
        <v/>
      </c>
      <c r="V207" s="99"/>
      <c r="AC207" t="s">
        <v>993</v>
      </c>
      <c r="AE207" s="106"/>
      <c r="AF207" s="106"/>
      <c r="AG207" s="106"/>
      <c r="AH207" s="106"/>
      <c r="AI207" s="106"/>
      <c r="AJ207" s="106"/>
      <c r="AK207" s="106"/>
      <c r="AL207" s="106"/>
      <c r="AM207" s="106"/>
      <c r="AN207" s="106"/>
      <c r="AO207" s="106"/>
      <c r="AP207" s="106"/>
    </row>
    <row r="208" spans="8:42">
      <c r="H208" t="s">
        <v>1046</v>
      </c>
      <c r="P208" s="117" t="str">
        <f t="shared" ref="P208:Q208" si="98">IF(P44="","",P44)</f>
        <v/>
      </c>
      <c r="Q208" s="117" t="str">
        <f t="shared" si="98"/>
        <v/>
      </c>
      <c r="V208" s="99"/>
      <c r="AC208" t="s">
        <v>993</v>
      </c>
      <c r="AE208" s="106"/>
      <c r="AF208" s="106"/>
      <c r="AG208" s="106"/>
      <c r="AH208" s="106"/>
      <c r="AI208" s="106"/>
      <c r="AJ208" s="106"/>
      <c r="AK208" s="106"/>
      <c r="AL208" s="106"/>
      <c r="AM208" s="106"/>
      <c r="AN208" s="106"/>
      <c r="AO208" s="106"/>
      <c r="AP208" s="106"/>
    </row>
    <row r="209" spans="8:42">
      <c r="H209" t="s">
        <v>1046</v>
      </c>
      <c r="P209" s="117" t="str">
        <f t="shared" ref="P209:Q209" si="99">IF(P45="","",P45)</f>
        <v/>
      </c>
      <c r="Q209" s="117" t="str">
        <f t="shared" si="99"/>
        <v/>
      </c>
      <c r="V209" s="99"/>
      <c r="AC209" t="s">
        <v>993</v>
      </c>
      <c r="AE209" s="106"/>
      <c r="AF209" s="106"/>
      <c r="AG209" s="106"/>
      <c r="AH209" s="106"/>
      <c r="AI209" s="106"/>
      <c r="AJ209" s="106"/>
      <c r="AK209" s="106"/>
      <c r="AL209" s="106"/>
      <c r="AM209" s="106"/>
      <c r="AN209" s="106"/>
      <c r="AO209" s="106"/>
      <c r="AP209" s="106"/>
    </row>
    <row r="210" spans="8:42">
      <c r="H210" t="s">
        <v>1046</v>
      </c>
      <c r="P210" s="117" t="str">
        <f t="shared" ref="P210:Q210" si="100">IF(P46="","",P46)</f>
        <v/>
      </c>
      <c r="Q210" s="117" t="str">
        <f t="shared" si="100"/>
        <v/>
      </c>
      <c r="V210" s="99"/>
      <c r="AC210" t="s">
        <v>993</v>
      </c>
      <c r="AE210" s="106"/>
      <c r="AF210" s="106"/>
      <c r="AG210" s="106"/>
      <c r="AH210" s="106"/>
      <c r="AI210" s="106"/>
      <c r="AJ210" s="106"/>
      <c r="AK210" s="106"/>
      <c r="AL210" s="106"/>
      <c r="AM210" s="106"/>
      <c r="AN210" s="106"/>
      <c r="AO210" s="106"/>
      <c r="AP210" s="106"/>
    </row>
    <row r="211" spans="8:42">
      <c r="H211" t="s">
        <v>1046</v>
      </c>
      <c r="P211" s="117" t="str">
        <f t="shared" ref="P211:Q211" si="101">IF(P47="","",P47)</f>
        <v/>
      </c>
      <c r="Q211" s="117" t="str">
        <f t="shared" si="101"/>
        <v/>
      </c>
      <c r="V211" s="99"/>
      <c r="AC211" t="s">
        <v>993</v>
      </c>
      <c r="AE211" s="106"/>
      <c r="AF211" s="106"/>
      <c r="AG211" s="106"/>
      <c r="AH211" s="106"/>
      <c r="AI211" s="106"/>
      <c r="AJ211" s="106"/>
      <c r="AK211" s="106"/>
      <c r="AL211" s="106"/>
      <c r="AM211" s="106"/>
      <c r="AN211" s="106"/>
      <c r="AO211" s="106"/>
      <c r="AP211" s="106"/>
    </row>
    <row r="212" spans="8:42">
      <c r="H212" t="s">
        <v>1046</v>
      </c>
      <c r="P212" s="117" t="str">
        <f t="shared" ref="P212:Q212" si="102">IF(P48="","",P48)</f>
        <v/>
      </c>
      <c r="Q212" s="117" t="str">
        <f t="shared" si="102"/>
        <v/>
      </c>
      <c r="V212" s="99"/>
      <c r="AC212" t="s">
        <v>993</v>
      </c>
      <c r="AE212" s="106"/>
      <c r="AF212" s="106"/>
      <c r="AG212" s="106"/>
      <c r="AH212" s="106"/>
      <c r="AI212" s="106"/>
      <c r="AJ212" s="106"/>
      <c r="AK212" s="106"/>
      <c r="AL212" s="106"/>
      <c r="AM212" s="106"/>
      <c r="AN212" s="106"/>
      <c r="AO212" s="106"/>
      <c r="AP212" s="106"/>
    </row>
    <row r="213" spans="8:42">
      <c r="H213" t="s">
        <v>1046</v>
      </c>
      <c r="P213" s="117" t="str">
        <f t="shared" ref="P213:Q213" si="103">IF(P49="","",P49)</f>
        <v/>
      </c>
      <c r="Q213" s="117" t="str">
        <f t="shared" si="103"/>
        <v/>
      </c>
      <c r="V213" s="99"/>
      <c r="AC213" t="s">
        <v>993</v>
      </c>
      <c r="AE213" s="106"/>
      <c r="AF213" s="106"/>
      <c r="AG213" s="106"/>
      <c r="AH213" s="106"/>
      <c r="AI213" s="106"/>
      <c r="AJ213" s="106"/>
      <c r="AK213" s="106"/>
      <c r="AL213" s="106"/>
      <c r="AM213" s="106"/>
      <c r="AN213" s="106"/>
      <c r="AO213" s="106"/>
      <c r="AP213" s="106"/>
    </row>
    <row r="214" spans="8:42">
      <c r="H214" t="s">
        <v>1046</v>
      </c>
      <c r="P214" s="117" t="str">
        <f t="shared" ref="P214:Q214" si="104">IF(P50="","",P50)</f>
        <v/>
      </c>
      <c r="Q214" s="117" t="str">
        <f t="shared" si="104"/>
        <v/>
      </c>
      <c r="V214" s="99"/>
      <c r="AC214" t="s">
        <v>993</v>
      </c>
      <c r="AE214" s="106"/>
      <c r="AF214" s="106"/>
      <c r="AG214" s="106"/>
      <c r="AH214" s="106"/>
      <c r="AI214" s="106"/>
      <c r="AJ214" s="106"/>
      <c r="AK214" s="106"/>
      <c r="AL214" s="106"/>
      <c r="AM214" s="106"/>
      <c r="AN214" s="106"/>
      <c r="AO214" s="106"/>
      <c r="AP214" s="106"/>
    </row>
    <row r="215" spans="8:42">
      <c r="H215" t="s">
        <v>1046</v>
      </c>
      <c r="P215" s="117" t="str">
        <f t="shared" ref="P215:Q215" si="105">IF(P51="","",P51)</f>
        <v/>
      </c>
      <c r="Q215" s="117" t="str">
        <f t="shared" si="105"/>
        <v/>
      </c>
      <c r="V215" s="99"/>
      <c r="AC215" t="s">
        <v>993</v>
      </c>
      <c r="AE215" s="106"/>
      <c r="AF215" s="106"/>
      <c r="AG215" s="106"/>
      <c r="AH215" s="106"/>
      <c r="AI215" s="106"/>
      <c r="AJ215" s="106"/>
      <c r="AK215" s="106"/>
      <c r="AL215" s="106"/>
      <c r="AM215" s="106"/>
      <c r="AN215" s="106"/>
      <c r="AO215" s="106"/>
      <c r="AP215" s="106"/>
    </row>
    <row r="216" spans="8:42">
      <c r="H216" t="s">
        <v>1046</v>
      </c>
      <c r="P216" s="117" t="str">
        <f t="shared" ref="P216:Q216" si="106">IF(P52="","",P52)</f>
        <v/>
      </c>
      <c r="Q216" s="117" t="str">
        <f t="shared" si="106"/>
        <v/>
      </c>
      <c r="V216" s="99"/>
      <c r="AC216" t="s">
        <v>993</v>
      </c>
      <c r="AE216" s="106"/>
      <c r="AF216" s="106"/>
      <c r="AG216" s="106"/>
      <c r="AH216" s="106"/>
      <c r="AI216" s="106"/>
      <c r="AJ216" s="106"/>
      <c r="AK216" s="106"/>
      <c r="AL216" s="106"/>
      <c r="AM216" s="106"/>
      <c r="AN216" s="106"/>
      <c r="AO216" s="106"/>
      <c r="AP216" s="106"/>
    </row>
    <row r="217" spans="8:42">
      <c r="H217" t="s">
        <v>1046</v>
      </c>
      <c r="P217" s="117" t="str">
        <f t="shared" ref="P217:Q217" si="107">IF(P53="","",P53)</f>
        <v/>
      </c>
      <c r="Q217" s="117" t="str">
        <f t="shared" si="107"/>
        <v/>
      </c>
      <c r="V217" s="99"/>
      <c r="AC217" t="s">
        <v>993</v>
      </c>
      <c r="AE217" s="106"/>
      <c r="AF217" s="106"/>
      <c r="AG217" s="106"/>
      <c r="AH217" s="106"/>
      <c r="AI217" s="106"/>
      <c r="AJ217" s="106"/>
      <c r="AK217" s="106"/>
      <c r="AL217" s="106"/>
      <c r="AM217" s="106"/>
      <c r="AN217" s="106"/>
      <c r="AO217" s="106"/>
      <c r="AP217" s="106"/>
    </row>
    <row r="218" spans="8:42">
      <c r="H218" t="s">
        <v>1046</v>
      </c>
      <c r="P218" s="117" t="str">
        <f t="shared" ref="P218:Q218" si="108">IF(P54="","",P54)</f>
        <v/>
      </c>
      <c r="Q218" s="117" t="str">
        <f t="shared" si="108"/>
        <v/>
      </c>
      <c r="V218" s="99"/>
      <c r="AC218" t="s">
        <v>993</v>
      </c>
      <c r="AE218" s="106"/>
      <c r="AF218" s="106"/>
      <c r="AG218" s="106"/>
      <c r="AH218" s="106"/>
      <c r="AI218" s="106"/>
      <c r="AJ218" s="106"/>
      <c r="AK218" s="106"/>
      <c r="AL218" s="106"/>
      <c r="AM218" s="106"/>
      <c r="AN218" s="106"/>
      <c r="AO218" s="106"/>
      <c r="AP218" s="106"/>
    </row>
    <row r="219" spans="8:42">
      <c r="H219" t="s">
        <v>1046</v>
      </c>
      <c r="P219" s="117" t="str">
        <f t="shared" ref="P219:Q219" si="109">IF(P55="","",P55)</f>
        <v/>
      </c>
      <c r="Q219" s="117" t="str">
        <f t="shared" si="109"/>
        <v/>
      </c>
      <c r="V219" s="99"/>
      <c r="AC219" t="s">
        <v>993</v>
      </c>
      <c r="AE219" s="106"/>
      <c r="AF219" s="106"/>
      <c r="AG219" s="106"/>
      <c r="AH219" s="106"/>
      <c r="AI219" s="106"/>
      <c r="AJ219" s="106"/>
      <c r="AK219" s="106"/>
      <c r="AL219" s="106"/>
      <c r="AM219" s="106"/>
      <c r="AN219" s="106"/>
      <c r="AO219" s="106"/>
      <c r="AP219" s="106"/>
    </row>
    <row r="220" spans="8:42">
      <c r="H220" t="s">
        <v>1046</v>
      </c>
      <c r="P220" s="117" t="str">
        <f t="shared" ref="P220:Q220" si="110">IF(P56="","",P56)</f>
        <v/>
      </c>
      <c r="Q220" s="117" t="str">
        <f t="shared" si="110"/>
        <v/>
      </c>
      <c r="V220" s="99"/>
      <c r="AC220" t="s">
        <v>993</v>
      </c>
      <c r="AE220" s="106"/>
      <c r="AF220" s="106"/>
      <c r="AG220" s="106"/>
      <c r="AH220" s="106"/>
      <c r="AI220" s="106"/>
      <c r="AJ220" s="106"/>
      <c r="AK220" s="106"/>
      <c r="AL220" s="106"/>
      <c r="AM220" s="106"/>
      <c r="AN220" s="106"/>
      <c r="AO220" s="106"/>
      <c r="AP220" s="106"/>
    </row>
    <row r="221" spans="8:42">
      <c r="H221" t="s">
        <v>1046</v>
      </c>
      <c r="P221" s="117" t="str">
        <f t="shared" ref="P221:Q221" si="111">IF(P57="","",P57)</f>
        <v/>
      </c>
      <c r="Q221" s="117" t="str">
        <f t="shared" si="111"/>
        <v/>
      </c>
      <c r="V221" s="99"/>
      <c r="AC221" t="s">
        <v>993</v>
      </c>
      <c r="AE221" s="106"/>
      <c r="AF221" s="106"/>
      <c r="AG221" s="106"/>
      <c r="AH221" s="106"/>
      <c r="AI221" s="106"/>
      <c r="AJ221" s="106"/>
      <c r="AK221" s="106"/>
      <c r="AL221" s="106"/>
      <c r="AM221" s="106"/>
      <c r="AN221" s="106"/>
      <c r="AO221" s="106"/>
      <c r="AP221" s="106"/>
    </row>
    <row r="222" spans="8:42">
      <c r="H222" t="s">
        <v>1046</v>
      </c>
      <c r="P222" s="117" t="str">
        <f t="shared" ref="P222:Q222" si="112">IF(P58="","",P58)</f>
        <v/>
      </c>
      <c r="Q222" s="117" t="str">
        <f t="shared" si="112"/>
        <v/>
      </c>
      <c r="V222" s="99"/>
      <c r="AC222" t="s">
        <v>993</v>
      </c>
      <c r="AE222" s="106"/>
      <c r="AF222" s="106"/>
      <c r="AG222" s="106"/>
      <c r="AH222" s="106"/>
      <c r="AI222" s="106"/>
      <c r="AJ222" s="106"/>
      <c r="AK222" s="106"/>
      <c r="AL222" s="106"/>
      <c r="AM222" s="106"/>
      <c r="AN222" s="106"/>
      <c r="AO222" s="106"/>
      <c r="AP222" s="106"/>
    </row>
    <row r="223" spans="8:42">
      <c r="H223" t="s">
        <v>1046</v>
      </c>
      <c r="P223" s="117" t="str">
        <f t="shared" ref="P223:Q223" si="113">IF(P59="","",P59)</f>
        <v/>
      </c>
      <c r="Q223" s="117" t="str">
        <f t="shared" si="113"/>
        <v/>
      </c>
      <c r="V223" s="99"/>
      <c r="AC223" t="s">
        <v>993</v>
      </c>
      <c r="AE223" s="106"/>
      <c r="AF223" s="106"/>
      <c r="AG223" s="106"/>
      <c r="AH223" s="106"/>
      <c r="AI223" s="106"/>
      <c r="AJ223" s="106"/>
      <c r="AK223" s="106"/>
      <c r="AL223" s="106"/>
      <c r="AM223" s="106"/>
      <c r="AN223" s="106"/>
      <c r="AO223" s="106"/>
      <c r="AP223" s="106"/>
    </row>
    <row r="224" spans="8:42">
      <c r="H224" t="s">
        <v>1046</v>
      </c>
      <c r="P224" s="117" t="str">
        <f t="shared" ref="P224:Q224" si="114">IF(P60="","",P60)</f>
        <v/>
      </c>
      <c r="Q224" s="117" t="str">
        <f t="shared" si="114"/>
        <v/>
      </c>
      <c r="V224" s="99"/>
      <c r="AC224" t="s">
        <v>993</v>
      </c>
      <c r="AE224" s="106"/>
      <c r="AF224" s="106"/>
      <c r="AG224" s="106"/>
      <c r="AH224" s="106"/>
      <c r="AI224" s="106"/>
      <c r="AJ224" s="106"/>
      <c r="AK224" s="106"/>
      <c r="AL224" s="106"/>
      <c r="AM224" s="106"/>
      <c r="AN224" s="106"/>
      <c r="AO224" s="106"/>
      <c r="AP224" s="106"/>
    </row>
    <row r="225" spans="8:42">
      <c r="H225" t="s">
        <v>1046</v>
      </c>
      <c r="P225" s="117" t="str">
        <f t="shared" ref="P225:Q225" si="115">IF(P61="","",P61)</f>
        <v/>
      </c>
      <c r="Q225" s="117" t="str">
        <f t="shared" si="115"/>
        <v/>
      </c>
      <c r="V225" s="99"/>
      <c r="AC225" t="s">
        <v>993</v>
      </c>
      <c r="AE225" s="106"/>
      <c r="AF225" s="106"/>
      <c r="AG225" s="106"/>
      <c r="AH225" s="106"/>
      <c r="AI225" s="106"/>
      <c r="AJ225" s="106"/>
      <c r="AK225" s="106"/>
      <c r="AL225" s="106"/>
      <c r="AM225" s="106"/>
      <c r="AN225" s="106"/>
      <c r="AO225" s="106"/>
      <c r="AP225" s="106"/>
    </row>
    <row r="226" spans="8:42">
      <c r="H226" t="s">
        <v>1046</v>
      </c>
      <c r="P226" s="117" t="str">
        <f t="shared" ref="P226:Q226" si="116">IF(P62="","",P62)</f>
        <v/>
      </c>
      <c r="Q226" s="117" t="str">
        <f t="shared" si="116"/>
        <v/>
      </c>
      <c r="V226" s="99"/>
      <c r="AC226" t="s">
        <v>993</v>
      </c>
      <c r="AE226" s="106"/>
      <c r="AF226" s="106"/>
      <c r="AG226" s="106"/>
      <c r="AH226" s="106"/>
      <c r="AI226" s="106"/>
      <c r="AJ226" s="106"/>
      <c r="AK226" s="106"/>
      <c r="AL226" s="106"/>
      <c r="AM226" s="106"/>
      <c r="AN226" s="106"/>
      <c r="AO226" s="106"/>
      <c r="AP226" s="106"/>
    </row>
    <row r="227" spans="8:42">
      <c r="H227" t="s">
        <v>1046</v>
      </c>
      <c r="P227" s="117" t="str">
        <f t="shared" ref="P227:Q227" si="117">IF(P63="","",P63)</f>
        <v/>
      </c>
      <c r="Q227" s="117" t="str">
        <f t="shared" si="117"/>
        <v/>
      </c>
      <c r="V227" s="99"/>
      <c r="AC227" t="s">
        <v>993</v>
      </c>
      <c r="AE227" s="106"/>
      <c r="AF227" s="106"/>
      <c r="AG227" s="106"/>
      <c r="AH227" s="106"/>
      <c r="AI227" s="106"/>
      <c r="AJ227" s="106"/>
      <c r="AK227" s="106"/>
      <c r="AL227" s="106"/>
      <c r="AM227" s="106"/>
      <c r="AN227" s="106"/>
      <c r="AO227" s="106"/>
      <c r="AP227" s="106"/>
    </row>
    <row r="228" spans="8:42">
      <c r="H228" t="s">
        <v>1046</v>
      </c>
      <c r="P228" s="117" t="str">
        <f t="shared" ref="P228:Q228" si="118">IF(P64="","",P64)</f>
        <v/>
      </c>
      <c r="Q228" s="117" t="str">
        <f t="shared" si="118"/>
        <v/>
      </c>
      <c r="V228" s="99"/>
      <c r="AC228" t="s">
        <v>993</v>
      </c>
      <c r="AE228" s="106"/>
      <c r="AF228" s="106"/>
      <c r="AG228" s="106"/>
      <c r="AH228" s="106"/>
      <c r="AI228" s="106"/>
      <c r="AJ228" s="106"/>
      <c r="AK228" s="106"/>
      <c r="AL228" s="106"/>
      <c r="AM228" s="106"/>
      <c r="AN228" s="106"/>
      <c r="AO228" s="106"/>
      <c r="AP228" s="106"/>
    </row>
    <row r="229" spans="8:42">
      <c r="H229" t="s">
        <v>1046</v>
      </c>
      <c r="P229" s="117" t="str">
        <f t="shared" ref="P229:Q229" si="119">IF(P65="","",P65)</f>
        <v/>
      </c>
      <c r="Q229" s="117" t="str">
        <f t="shared" si="119"/>
        <v/>
      </c>
      <c r="V229" s="99"/>
      <c r="AC229" t="s">
        <v>993</v>
      </c>
      <c r="AE229" s="106"/>
      <c r="AF229" s="106"/>
      <c r="AG229" s="106"/>
      <c r="AH229" s="106"/>
      <c r="AI229" s="106"/>
      <c r="AJ229" s="106"/>
      <c r="AK229" s="106"/>
      <c r="AL229" s="106"/>
      <c r="AM229" s="106"/>
      <c r="AN229" s="106"/>
      <c r="AO229" s="106"/>
      <c r="AP229" s="106"/>
    </row>
    <row r="230" spans="8:42">
      <c r="H230" t="s">
        <v>1046</v>
      </c>
      <c r="P230" s="117" t="str">
        <f t="shared" ref="P230:Q230" si="120">IF(P66="","",P66)</f>
        <v/>
      </c>
      <c r="Q230" s="117" t="str">
        <f t="shared" si="120"/>
        <v/>
      </c>
      <c r="V230" s="99"/>
      <c r="AC230" t="s">
        <v>993</v>
      </c>
      <c r="AE230" s="106"/>
      <c r="AF230" s="106"/>
      <c r="AG230" s="106"/>
      <c r="AH230" s="106"/>
      <c r="AI230" s="106"/>
      <c r="AJ230" s="106"/>
      <c r="AK230" s="106"/>
      <c r="AL230" s="106"/>
      <c r="AM230" s="106"/>
      <c r="AN230" s="106"/>
      <c r="AO230" s="106"/>
      <c r="AP230" s="106"/>
    </row>
    <row r="231" spans="8:42">
      <c r="H231" t="s">
        <v>1046</v>
      </c>
      <c r="P231" s="117" t="str">
        <f t="shared" ref="P231:Q231" si="121">IF(P67="","",P67)</f>
        <v/>
      </c>
      <c r="Q231" s="117" t="str">
        <f t="shared" si="121"/>
        <v/>
      </c>
      <c r="V231" s="99"/>
      <c r="AC231" t="s">
        <v>993</v>
      </c>
      <c r="AE231" s="106"/>
      <c r="AF231" s="106"/>
      <c r="AG231" s="106"/>
      <c r="AH231" s="106"/>
      <c r="AI231" s="106"/>
      <c r="AJ231" s="106"/>
      <c r="AK231" s="106"/>
      <c r="AL231" s="106"/>
      <c r="AM231" s="106"/>
      <c r="AN231" s="106"/>
      <c r="AO231" s="106"/>
      <c r="AP231" s="106"/>
    </row>
    <row r="232" spans="8:42">
      <c r="H232" t="s">
        <v>1046</v>
      </c>
      <c r="P232" s="117" t="str">
        <f t="shared" ref="P232:Q232" si="122">IF(P68="","",P68)</f>
        <v/>
      </c>
      <c r="Q232" s="117" t="str">
        <f t="shared" si="122"/>
        <v/>
      </c>
      <c r="V232" s="99"/>
      <c r="AC232" t="s">
        <v>993</v>
      </c>
      <c r="AE232" s="106"/>
      <c r="AF232" s="106"/>
      <c r="AG232" s="106"/>
      <c r="AH232" s="106"/>
      <c r="AI232" s="106"/>
      <c r="AJ232" s="106"/>
      <c r="AK232" s="106"/>
      <c r="AL232" s="106"/>
      <c r="AM232" s="106"/>
      <c r="AN232" s="106"/>
      <c r="AO232" s="106"/>
      <c r="AP232" s="106"/>
    </row>
    <row r="233" spans="8:42">
      <c r="H233" t="s">
        <v>1046</v>
      </c>
      <c r="P233" s="117" t="str">
        <f t="shared" ref="P233:Q233" si="123">IF(P69="","",P69)</f>
        <v/>
      </c>
      <c r="Q233" s="117" t="str">
        <f t="shared" si="123"/>
        <v/>
      </c>
      <c r="V233" s="99"/>
      <c r="AC233" t="s">
        <v>993</v>
      </c>
      <c r="AE233" s="106"/>
      <c r="AF233" s="106"/>
      <c r="AG233" s="106"/>
      <c r="AH233" s="106"/>
      <c r="AI233" s="106"/>
      <c r="AJ233" s="106"/>
      <c r="AK233" s="106"/>
      <c r="AL233" s="106"/>
      <c r="AM233" s="106"/>
      <c r="AN233" s="106"/>
      <c r="AO233" s="106"/>
      <c r="AP233" s="106"/>
    </row>
    <row r="234" spans="8:42">
      <c r="H234" t="s">
        <v>1046</v>
      </c>
      <c r="P234" s="117" t="str">
        <f t="shared" ref="P234:Q234" si="124">IF(P70="","",P70)</f>
        <v/>
      </c>
      <c r="Q234" s="117" t="str">
        <f t="shared" si="124"/>
        <v/>
      </c>
      <c r="V234" s="99"/>
      <c r="AC234" t="s">
        <v>993</v>
      </c>
      <c r="AE234" s="106"/>
      <c r="AF234" s="106"/>
      <c r="AG234" s="106"/>
      <c r="AH234" s="106"/>
      <c r="AI234" s="106"/>
      <c r="AJ234" s="106"/>
      <c r="AK234" s="106"/>
      <c r="AL234" s="106"/>
      <c r="AM234" s="106"/>
      <c r="AN234" s="106"/>
      <c r="AO234" s="106"/>
      <c r="AP234" s="106"/>
    </row>
    <row r="235" spans="8:42">
      <c r="H235" t="s">
        <v>1046</v>
      </c>
      <c r="P235" s="117" t="str">
        <f t="shared" ref="P235:Q235" si="125">IF(P71="","",P71)</f>
        <v/>
      </c>
      <c r="Q235" s="117" t="str">
        <f t="shared" si="125"/>
        <v/>
      </c>
      <c r="V235" s="99"/>
      <c r="AC235" t="s">
        <v>993</v>
      </c>
      <c r="AE235" s="106"/>
      <c r="AF235" s="106"/>
      <c r="AG235" s="106"/>
      <c r="AH235" s="106"/>
      <c r="AI235" s="106"/>
      <c r="AJ235" s="106"/>
      <c r="AK235" s="106"/>
      <c r="AL235" s="106"/>
      <c r="AM235" s="106"/>
      <c r="AN235" s="106"/>
      <c r="AO235" s="106"/>
      <c r="AP235" s="106"/>
    </row>
    <row r="236" spans="8:42">
      <c r="H236" t="s">
        <v>1046</v>
      </c>
      <c r="P236" s="117" t="str">
        <f t="shared" ref="P236:Q236" si="126">IF(P72="","",P72)</f>
        <v/>
      </c>
      <c r="Q236" s="117" t="str">
        <f t="shared" si="126"/>
        <v/>
      </c>
      <c r="V236" s="99"/>
      <c r="AC236" t="s">
        <v>993</v>
      </c>
      <c r="AE236" s="106"/>
      <c r="AF236" s="106"/>
      <c r="AG236" s="106"/>
      <c r="AH236" s="106"/>
      <c r="AI236" s="106"/>
      <c r="AJ236" s="106"/>
      <c r="AK236" s="106"/>
      <c r="AL236" s="106"/>
      <c r="AM236" s="106"/>
      <c r="AN236" s="106"/>
      <c r="AO236" s="106"/>
      <c r="AP236" s="106"/>
    </row>
    <row r="237" spans="8:42">
      <c r="H237" t="s">
        <v>1046</v>
      </c>
      <c r="P237" s="117" t="str">
        <f t="shared" ref="P237:Q237" si="127">IF(P73="","",P73)</f>
        <v/>
      </c>
      <c r="Q237" s="117" t="str">
        <f t="shared" si="127"/>
        <v/>
      </c>
      <c r="V237" s="99"/>
      <c r="AC237" t="s">
        <v>993</v>
      </c>
      <c r="AE237" s="106"/>
      <c r="AF237" s="106"/>
      <c r="AG237" s="106"/>
      <c r="AH237" s="106"/>
      <c r="AI237" s="106"/>
      <c r="AJ237" s="106"/>
      <c r="AK237" s="106"/>
      <c r="AL237" s="106"/>
      <c r="AM237" s="106"/>
      <c r="AN237" s="106"/>
      <c r="AO237" s="106"/>
      <c r="AP237" s="106"/>
    </row>
    <row r="238" spans="8:42">
      <c r="H238" t="s">
        <v>1046</v>
      </c>
      <c r="P238" s="117" t="str">
        <f t="shared" ref="P238:Q238" si="128">IF(P74="","",P74)</f>
        <v/>
      </c>
      <c r="Q238" s="117" t="str">
        <f t="shared" si="128"/>
        <v/>
      </c>
      <c r="V238" s="99"/>
      <c r="AC238" t="s">
        <v>993</v>
      </c>
      <c r="AE238" s="106"/>
      <c r="AF238" s="106"/>
      <c r="AG238" s="106"/>
      <c r="AH238" s="106"/>
      <c r="AI238" s="106"/>
      <c r="AJ238" s="106"/>
      <c r="AK238" s="106"/>
      <c r="AL238" s="106"/>
      <c r="AM238" s="106"/>
      <c r="AN238" s="106"/>
      <c r="AO238" s="106"/>
      <c r="AP238" s="106"/>
    </row>
    <row r="239" spans="8:42">
      <c r="H239" t="s">
        <v>1046</v>
      </c>
      <c r="P239" s="117" t="str">
        <f t="shared" ref="P239:Q239" si="129">IF(P75="","",P75)</f>
        <v/>
      </c>
      <c r="Q239" s="117" t="str">
        <f t="shared" si="129"/>
        <v/>
      </c>
      <c r="V239" s="99"/>
      <c r="AC239" t="s">
        <v>993</v>
      </c>
      <c r="AE239" s="106"/>
      <c r="AF239" s="106"/>
      <c r="AG239" s="106"/>
      <c r="AH239" s="106"/>
      <c r="AI239" s="106"/>
      <c r="AJ239" s="106"/>
      <c r="AK239" s="106"/>
      <c r="AL239" s="106"/>
      <c r="AM239" s="106"/>
      <c r="AN239" s="106"/>
      <c r="AO239" s="106"/>
      <c r="AP239" s="106"/>
    </row>
    <row r="240" spans="8:42">
      <c r="H240" t="s">
        <v>1046</v>
      </c>
      <c r="P240" s="117" t="str">
        <f t="shared" ref="P240:Q240" si="130">IF(P76="","",P76)</f>
        <v/>
      </c>
      <c r="Q240" s="117" t="str">
        <f t="shared" si="130"/>
        <v/>
      </c>
      <c r="V240" s="99"/>
      <c r="AC240" t="s">
        <v>993</v>
      </c>
      <c r="AE240" s="106"/>
      <c r="AF240" s="106"/>
      <c r="AG240" s="106"/>
      <c r="AH240" s="106"/>
      <c r="AI240" s="106"/>
      <c r="AJ240" s="106"/>
      <c r="AK240" s="106"/>
      <c r="AL240" s="106"/>
      <c r="AM240" s="106"/>
      <c r="AN240" s="106"/>
      <c r="AO240" s="106"/>
      <c r="AP240" s="106"/>
    </row>
    <row r="241" spans="8:42">
      <c r="H241" t="s">
        <v>1046</v>
      </c>
      <c r="P241" s="117" t="str">
        <f t="shared" ref="P241:Q241" si="131">IF(P77="","",P77)</f>
        <v/>
      </c>
      <c r="Q241" s="117" t="str">
        <f t="shared" si="131"/>
        <v/>
      </c>
      <c r="V241" s="99"/>
      <c r="AC241" t="s">
        <v>993</v>
      </c>
      <c r="AE241" s="106"/>
      <c r="AF241" s="106"/>
      <c r="AG241" s="106"/>
      <c r="AH241" s="106"/>
      <c r="AI241" s="106"/>
      <c r="AJ241" s="106"/>
      <c r="AK241" s="106"/>
      <c r="AL241" s="106"/>
      <c r="AM241" s="106"/>
      <c r="AN241" s="106"/>
      <c r="AO241" s="106"/>
      <c r="AP241" s="106"/>
    </row>
    <row r="242" spans="8:42">
      <c r="H242" t="s">
        <v>1046</v>
      </c>
      <c r="P242" s="117" t="str">
        <f t="shared" ref="P242:Q242" si="132">IF(P78="","",P78)</f>
        <v/>
      </c>
      <c r="Q242" s="117" t="str">
        <f t="shared" si="132"/>
        <v/>
      </c>
      <c r="V242" s="99"/>
      <c r="AC242" t="s">
        <v>993</v>
      </c>
      <c r="AE242" s="106"/>
      <c r="AF242" s="106"/>
      <c r="AG242" s="106"/>
      <c r="AH242" s="106"/>
      <c r="AI242" s="106"/>
      <c r="AJ242" s="106"/>
      <c r="AK242" s="106"/>
      <c r="AL242" s="106"/>
      <c r="AM242" s="106"/>
      <c r="AN242" s="106"/>
      <c r="AO242" s="106"/>
      <c r="AP242" s="106"/>
    </row>
    <row r="243" spans="8:42">
      <c r="H243" t="s">
        <v>1046</v>
      </c>
      <c r="P243" s="117" t="str">
        <f t="shared" ref="P243:Q243" si="133">IF(P79="","",P79)</f>
        <v/>
      </c>
      <c r="Q243" s="117" t="str">
        <f t="shared" si="133"/>
        <v/>
      </c>
      <c r="V243" s="99"/>
      <c r="AC243" t="s">
        <v>993</v>
      </c>
      <c r="AE243" s="106"/>
      <c r="AF243" s="106"/>
      <c r="AG243" s="106"/>
      <c r="AH243" s="106"/>
      <c r="AI243" s="106"/>
      <c r="AJ243" s="106"/>
      <c r="AK243" s="106"/>
      <c r="AL243" s="106"/>
      <c r="AM243" s="106"/>
      <c r="AN243" s="106"/>
      <c r="AO243" s="106"/>
      <c r="AP243" s="106"/>
    </row>
    <row r="244" spans="8:42">
      <c r="H244" t="s">
        <v>1046</v>
      </c>
      <c r="P244" s="117" t="str">
        <f t="shared" ref="P244:Q244" si="134">IF(P80="","",P80)</f>
        <v/>
      </c>
      <c r="Q244" s="117" t="str">
        <f t="shared" si="134"/>
        <v/>
      </c>
      <c r="V244" s="99"/>
      <c r="AC244" t="s">
        <v>993</v>
      </c>
      <c r="AE244" s="106"/>
      <c r="AF244" s="106"/>
      <c r="AG244" s="106"/>
      <c r="AH244" s="106"/>
      <c r="AI244" s="106"/>
      <c r="AJ244" s="106"/>
      <c r="AK244" s="106"/>
      <c r="AL244" s="106"/>
      <c r="AM244" s="106"/>
      <c r="AN244" s="106"/>
      <c r="AO244" s="106"/>
      <c r="AP244" s="106"/>
    </row>
    <row r="245" spans="8:42">
      <c r="H245" t="s">
        <v>1046</v>
      </c>
      <c r="P245" s="117" t="str">
        <f t="shared" ref="P245:Q245" si="135">IF(P81="","",P81)</f>
        <v/>
      </c>
      <c r="Q245" s="117" t="str">
        <f t="shared" si="135"/>
        <v/>
      </c>
      <c r="V245" s="99"/>
      <c r="AC245" t="s">
        <v>993</v>
      </c>
      <c r="AE245" s="106"/>
      <c r="AF245" s="106"/>
      <c r="AG245" s="106"/>
      <c r="AH245" s="106"/>
      <c r="AI245" s="106"/>
      <c r="AJ245" s="106"/>
      <c r="AK245" s="106"/>
      <c r="AL245" s="106"/>
      <c r="AM245" s="106"/>
      <c r="AN245" s="106"/>
      <c r="AO245" s="106"/>
      <c r="AP245" s="106"/>
    </row>
    <row r="246" spans="8:42">
      <c r="H246" t="s">
        <v>1046</v>
      </c>
      <c r="P246" s="117" t="str">
        <f t="shared" ref="P246:Q246" si="136">IF(P82="","",P82)</f>
        <v/>
      </c>
      <c r="Q246" s="117" t="str">
        <f t="shared" si="136"/>
        <v/>
      </c>
      <c r="V246" s="99"/>
      <c r="AC246" t="s">
        <v>993</v>
      </c>
      <c r="AE246" s="106"/>
      <c r="AF246" s="106"/>
      <c r="AG246" s="106"/>
      <c r="AH246" s="106"/>
      <c r="AI246" s="106"/>
      <c r="AJ246" s="106"/>
      <c r="AK246" s="106"/>
      <c r="AL246" s="106"/>
      <c r="AM246" s="106"/>
      <c r="AN246" s="106"/>
      <c r="AO246" s="106"/>
      <c r="AP246" s="106"/>
    </row>
    <row r="247" spans="8:42">
      <c r="H247" t="s">
        <v>1046</v>
      </c>
      <c r="P247" s="117" t="str">
        <f t="shared" ref="P247:Q247" si="137">IF(P83="","",P83)</f>
        <v/>
      </c>
      <c r="Q247" s="117" t="str">
        <f t="shared" si="137"/>
        <v/>
      </c>
      <c r="V247" s="99"/>
      <c r="AC247" t="s">
        <v>993</v>
      </c>
      <c r="AE247" s="106"/>
      <c r="AF247" s="106"/>
      <c r="AG247" s="106"/>
      <c r="AH247" s="106"/>
      <c r="AI247" s="106"/>
      <c r="AJ247" s="106"/>
      <c r="AK247" s="106"/>
      <c r="AL247" s="106"/>
      <c r="AM247" s="106"/>
      <c r="AN247" s="106"/>
      <c r="AO247" s="106"/>
      <c r="AP247" s="106"/>
    </row>
    <row r="248" spans="8:42">
      <c r="H248" t="s">
        <v>1046</v>
      </c>
      <c r="P248" s="117" t="str">
        <f t="shared" ref="P248:Q248" si="138">IF(P84="","",P84)</f>
        <v/>
      </c>
      <c r="Q248" s="117" t="str">
        <f t="shared" si="138"/>
        <v/>
      </c>
      <c r="V248" s="99"/>
      <c r="AC248" t="s">
        <v>993</v>
      </c>
      <c r="AE248" s="106"/>
      <c r="AF248" s="106"/>
      <c r="AG248" s="106"/>
      <c r="AH248" s="106"/>
      <c r="AI248" s="106"/>
      <c r="AJ248" s="106"/>
      <c r="AK248" s="106"/>
      <c r="AL248" s="106"/>
      <c r="AM248" s="106"/>
      <c r="AN248" s="106"/>
      <c r="AO248" s="106"/>
      <c r="AP248" s="106"/>
    </row>
    <row r="249" spans="8:42">
      <c r="H249" t="s">
        <v>1046</v>
      </c>
      <c r="P249" s="117" t="str">
        <f t="shared" ref="P249:Q249" si="139">IF(P85="","",P85)</f>
        <v/>
      </c>
      <c r="Q249" s="117" t="str">
        <f t="shared" si="139"/>
        <v/>
      </c>
      <c r="V249" s="99"/>
      <c r="AC249" t="s">
        <v>993</v>
      </c>
      <c r="AE249" s="106"/>
      <c r="AF249" s="106"/>
      <c r="AG249" s="106"/>
      <c r="AH249" s="106"/>
      <c r="AI249" s="106"/>
      <c r="AJ249" s="106"/>
      <c r="AK249" s="106"/>
      <c r="AL249" s="106"/>
      <c r="AM249" s="106"/>
      <c r="AN249" s="106"/>
      <c r="AO249" s="106"/>
      <c r="AP249" s="106"/>
    </row>
    <row r="250" spans="8:42">
      <c r="H250" t="s">
        <v>1046</v>
      </c>
      <c r="P250" s="117" t="str">
        <f t="shared" ref="P250:Q250" si="140">IF(P86="","",P86)</f>
        <v/>
      </c>
      <c r="Q250" s="117" t="str">
        <f t="shared" si="140"/>
        <v/>
      </c>
      <c r="V250" s="99"/>
      <c r="AC250" t="s">
        <v>993</v>
      </c>
      <c r="AE250" s="106"/>
      <c r="AF250" s="106"/>
      <c r="AG250" s="106"/>
      <c r="AH250" s="106"/>
      <c r="AI250" s="106"/>
      <c r="AJ250" s="106"/>
      <c r="AK250" s="106"/>
      <c r="AL250" s="106"/>
      <c r="AM250" s="106"/>
      <c r="AN250" s="106"/>
      <c r="AO250" s="106"/>
      <c r="AP250" s="106"/>
    </row>
    <row r="251" spans="8:42">
      <c r="H251" t="s">
        <v>1046</v>
      </c>
      <c r="P251" s="117" t="str">
        <f t="shared" ref="P251:Q251" si="141">IF(P87="","",P87)</f>
        <v/>
      </c>
      <c r="Q251" s="117" t="str">
        <f t="shared" si="141"/>
        <v/>
      </c>
      <c r="V251" s="99"/>
      <c r="AC251" t="s">
        <v>993</v>
      </c>
      <c r="AE251" s="106"/>
      <c r="AF251" s="106"/>
      <c r="AG251" s="106"/>
      <c r="AH251" s="106"/>
      <c r="AI251" s="106"/>
      <c r="AJ251" s="106"/>
      <c r="AK251" s="106"/>
      <c r="AL251" s="106"/>
      <c r="AM251" s="106"/>
      <c r="AN251" s="106"/>
      <c r="AO251" s="106"/>
      <c r="AP251" s="106"/>
    </row>
    <row r="252" spans="8:42">
      <c r="H252" t="s">
        <v>1046</v>
      </c>
      <c r="P252" s="117" t="str">
        <f t="shared" ref="P252:Q252" si="142">IF(P88="","",P88)</f>
        <v/>
      </c>
      <c r="Q252" s="117" t="str">
        <f t="shared" si="142"/>
        <v/>
      </c>
      <c r="V252" s="99"/>
      <c r="AC252" t="s">
        <v>993</v>
      </c>
      <c r="AE252" s="106"/>
      <c r="AF252" s="106"/>
      <c r="AG252" s="106"/>
      <c r="AH252" s="106"/>
      <c r="AI252" s="106"/>
      <c r="AJ252" s="106"/>
      <c r="AK252" s="106"/>
      <c r="AL252" s="106"/>
      <c r="AM252" s="106"/>
      <c r="AN252" s="106"/>
      <c r="AO252" s="106"/>
      <c r="AP252" s="106"/>
    </row>
    <row r="253" spans="8:42">
      <c r="H253" t="s">
        <v>1046</v>
      </c>
      <c r="P253" s="117" t="str">
        <f t="shared" ref="P253:Q253" si="143">IF(P89="","",P89)</f>
        <v/>
      </c>
      <c r="Q253" s="117" t="str">
        <f t="shared" si="143"/>
        <v/>
      </c>
      <c r="V253" s="99"/>
      <c r="AC253" t="s">
        <v>993</v>
      </c>
      <c r="AE253" s="106"/>
      <c r="AF253" s="106"/>
      <c r="AG253" s="106"/>
      <c r="AH253" s="106"/>
      <c r="AI253" s="106"/>
      <c r="AJ253" s="106"/>
      <c r="AK253" s="106"/>
      <c r="AL253" s="106"/>
      <c r="AM253" s="106"/>
      <c r="AN253" s="106"/>
      <c r="AO253" s="106"/>
      <c r="AP253" s="106"/>
    </row>
    <row r="254" spans="8:42">
      <c r="H254" t="s">
        <v>1046</v>
      </c>
      <c r="P254" s="117" t="str">
        <f t="shared" ref="P254:Q254" si="144">IF(P90="","",P90)</f>
        <v/>
      </c>
      <c r="Q254" s="117" t="str">
        <f t="shared" si="144"/>
        <v/>
      </c>
      <c r="V254" s="99"/>
      <c r="AC254" t="s">
        <v>993</v>
      </c>
      <c r="AE254" s="106"/>
      <c r="AF254" s="106"/>
      <c r="AG254" s="106"/>
      <c r="AH254" s="106"/>
      <c r="AI254" s="106"/>
      <c r="AJ254" s="106"/>
      <c r="AK254" s="106"/>
      <c r="AL254" s="106"/>
      <c r="AM254" s="106"/>
      <c r="AN254" s="106"/>
      <c r="AO254" s="106"/>
      <c r="AP254" s="106"/>
    </row>
    <row r="255" spans="8:42">
      <c r="H255" t="s">
        <v>1046</v>
      </c>
      <c r="P255" s="117" t="str">
        <f t="shared" ref="P255:Q255" si="145">IF(P91="","",P91)</f>
        <v/>
      </c>
      <c r="Q255" s="117" t="str">
        <f t="shared" si="145"/>
        <v/>
      </c>
      <c r="V255" s="99"/>
      <c r="AC255" t="s">
        <v>993</v>
      </c>
      <c r="AE255" s="106"/>
      <c r="AF255" s="106"/>
      <c r="AG255" s="106"/>
      <c r="AH255" s="106"/>
      <c r="AI255" s="106"/>
      <c r="AJ255" s="106"/>
      <c r="AK255" s="106"/>
      <c r="AL255" s="106"/>
      <c r="AM255" s="106"/>
      <c r="AN255" s="106"/>
      <c r="AO255" s="106"/>
      <c r="AP255" s="106"/>
    </row>
    <row r="257" spans="1:42" s="1" customFormat="1">
      <c r="A257" s="66"/>
      <c r="B257" s="78" t="s">
        <v>994</v>
      </c>
      <c r="P257" s="115"/>
      <c r="Q257" s="115"/>
    </row>
    <row r="259" spans="1:42">
      <c r="H259" t="s">
        <v>1047</v>
      </c>
      <c r="P259" s="117" t="str">
        <f>IF(P177="","",P177)</f>
        <v/>
      </c>
      <c r="Q259" s="117" t="str">
        <f>IF(Q177="","",Q177)</f>
        <v/>
      </c>
      <c r="V259" s="99"/>
      <c r="AC259" t="s">
        <v>993</v>
      </c>
      <c r="AE259" s="106"/>
      <c r="AF259" s="106"/>
      <c r="AG259" s="106"/>
      <c r="AH259" s="106"/>
      <c r="AI259" s="106"/>
      <c r="AJ259" s="106"/>
      <c r="AK259" s="106"/>
      <c r="AL259" s="106"/>
      <c r="AM259" s="106"/>
      <c r="AN259" s="106"/>
      <c r="AO259" s="106"/>
      <c r="AP259" s="106"/>
    </row>
    <row r="260" spans="1:42">
      <c r="H260" t="s">
        <v>1047</v>
      </c>
      <c r="P260" s="117" t="str">
        <f t="shared" ref="P260:Q260" si="146">IF(P178="","",P178)</f>
        <v/>
      </c>
      <c r="Q260" s="117" t="str">
        <f t="shared" si="146"/>
        <v/>
      </c>
      <c r="V260" s="99"/>
      <c r="AC260" t="s">
        <v>993</v>
      </c>
      <c r="AE260" s="106"/>
      <c r="AF260" s="106"/>
      <c r="AG260" s="106"/>
      <c r="AH260" s="106"/>
      <c r="AI260" s="106"/>
      <c r="AJ260" s="106"/>
      <c r="AK260" s="106"/>
      <c r="AL260" s="106"/>
      <c r="AM260" s="106"/>
      <c r="AN260" s="106"/>
      <c r="AO260" s="106"/>
      <c r="AP260" s="106"/>
    </row>
    <row r="261" spans="1:42">
      <c r="H261" t="s">
        <v>1047</v>
      </c>
      <c r="P261" s="117" t="str">
        <f t="shared" ref="P261:Q261" si="147">IF(P179="","",P179)</f>
        <v/>
      </c>
      <c r="Q261" s="117" t="str">
        <f t="shared" si="147"/>
        <v/>
      </c>
      <c r="V261" s="99"/>
      <c r="AC261" t="s">
        <v>993</v>
      </c>
      <c r="AE261" s="106"/>
      <c r="AF261" s="106"/>
      <c r="AG261" s="106"/>
      <c r="AH261" s="106"/>
      <c r="AI261" s="106"/>
      <c r="AJ261" s="106"/>
      <c r="AK261" s="106"/>
      <c r="AL261" s="106"/>
      <c r="AM261" s="106"/>
      <c r="AN261" s="106"/>
      <c r="AO261" s="106"/>
      <c r="AP261" s="106"/>
    </row>
    <row r="262" spans="1:42">
      <c r="H262" t="s">
        <v>1047</v>
      </c>
      <c r="P262" s="117" t="str">
        <f t="shared" ref="P262:Q262" si="148">IF(P180="","",P180)</f>
        <v/>
      </c>
      <c r="Q262" s="117" t="str">
        <f t="shared" si="148"/>
        <v/>
      </c>
      <c r="V262" s="99"/>
      <c r="AC262" t="s">
        <v>993</v>
      </c>
      <c r="AE262" s="106"/>
      <c r="AF262" s="106"/>
      <c r="AG262" s="106"/>
      <c r="AH262" s="106"/>
      <c r="AI262" s="106"/>
      <c r="AJ262" s="106"/>
      <c r="AK262" s="106"/>
      <c r="AL262" s="106"/>
      <c r="AM262" s="106"/>
      <c r="AN262" s="106"/>
      <c r="AO262" s="106"/>
      <c r="AP262" s="106"/>
    </row>
    <row r="263" spans="1:42">
      <c r="H263" t="s">
        <v>1047</v>
      </c>
      <c r="P263" s="117" t="str">
        <f t="shared" ref="P263:Q263" si="149">IF(P181="","",P181)</f>
        <v/>
      </c>
      <c r="Q263" s="117" t="str">
        <f t="shared" si="149"/>
        <v/>
      </c>
      <c r="V263" s="99"/>
      <c r="AC263" t="s">
        <v>993</v>
      </c>
      <c r="AE263" s="106"/>
      <c r="AF263" s="106"/>
      <c r="AG263" s="106"/>
      <c r="AH263" s="106"/>
      <c r="AI263" s="106"/>
      <c r="AJ263" s="106"/>
      <c r="AK263" s="106"/>
      <c r="AL263" s="106"/>
      <c r="AM263" s="106"/>
      <c r="AN263" s="106"/>
      <c r="AO263" s="106"/>
      <c r="AP263" s="106"/>
    </row>
    <row r="264" spans="1:42">
      <c r="H264" t="s">
        <v>1047</v>
      </c>
      <c r="P264" s="117" t="str">
        <f t="shared" ref="P264:Q264" si="150">IF(P182="","",P182)</f>
        <v/>
      </c>
      <c r="Q264" s="117" t="str">
        <f t="shared" si="150"/>
        <v/>
      </c>
      <c r="V264" s="99"/>
      <c r="AC264" t="s">
        <v>993</v>
      </c>
      <c r="AE264" s="106"/>
      <c r="AF264" s="106"/>
      <c r="AG264" s="106"/>
      <c r="AH264" s="106"/>
      <c r="AI264" s="106"/>
      <c r="AJ264" s="106"/>
      <c r="AK264" s="106"/>
      <c r="AL264" s="106"/>
      <c r="AM264" s="106"/>
      <c r="AN264" s="106"/>
      <c r="AO264" s="106"/>
      <c r="AP264" s="106"/>
    </row>
    <row r="265" spans="1:42">
      <c r="H265" t="s">
        <v>1047</v>
      </c>
      <c r="P265" s="117" t="str">
        <f t="shared" ref="P265:Q265" si="151">IF(P183="","",P183)</f>
        <v/>
      </c>
      <c r="Q265" s="117" t="str">
        <f t="shared" si="151"/>
        <v/>
      </c>
      <c r="V265" s="99"/>
      <c r="AC265" t="s">
        <v>993</v>
      </c>
      <c r="AE265" s="106"/>
      <c r="AF265" s="106"/>
      <c r="AG265" s="106"/>
      <c r="AH265" s="106"/>
      <c r="AI265" s="106"/>
      <c r="AJ265" s="106"/>
      <c r="AK265" s="106"/>
      <c r="AL265" s="106"/>
      <c r="AM265" s="106"/>
      <c r="AN265" s="106"/>
      <c r="AO265" s="106"/>
      <c r="AP265" s="106"/>
    </row>
    <row r="266" spans="1:42">
      <c r="H266" t="s">
        <v>1047</v>
      </c>
      <c r="P266" s="117" t="str">
        <f t="shared" ref="P266:Q266" si="152">IF(P184="","",P184)</f>
        <v/>
      </c>
      <c r="Q266" s="117" t="str">
        <f t="shared" si="152"/>
        <v/>
      </c>
      <c r="V266" s="99"/>
      <c r="AC266" t="s">
        <v>993</v>
      </c>
      <c r="AE266" s="106"/>
      <c r="AF266" s="106"/>
      <c r="AG266" s="106"/>
      <c r="AH266" s="106"/>
      <c r="AI266" s="106"/>
      <c r="AJ266" s="106"/>
      <c r="AK266" s="106"/>
      <c r="AL266" s="106"/>
      <c r="AM266" s="106"/>
      <c r="AN266" s="106"/>
      <c r="AO266" s="106"/>
      <c r="AP266" s="106"/>
    </row>
    <row r="267" spans="1:42">
      <c r="H267" t="s">
        <v>1047</v>
      </c>
      <c r="P267" s="117" t="str">
        <f t="shared" ref="P267:Q267" si="153">IF(P185="","",P185)</f>
        <v/>
      </c>
      <c r="Q267" s="117" t="str">
        <f t="shared" si="153"/>
        <v/>
      </c>
      <c r="V267" s="99"/>
      <c r="AC267" t="s">
        <v>993</v>
      </c>
      <c r="AE267" s="106"/>
      <c r="AF267" s="106"/>
      <c r="AG267" s="106"/>
      <c r="AH267" s="106"/>
      <c r="AI267" s="106"/>
      <c r="AJ267" s="106"/>
      <c r="AK267" s="106"/>
      <c r="AL267" s="106"/>
      <c r="AM267" s="106"/>
      <c r="AN267" s="106"/>
      <c r="AO267" s="106"/>
      <c r="AP267" s="106"/>
    </row>
    <row r="268" spans="1:42">
      <c r="H268" t="s">
        <v>1047</v>
      </c>
      <c r="P268" s="117" t="str">
        <f t="shared" ref="P268:Q268" si="154">IF(P186="","",P186)</f>
        <v/>
      </c>
      <c r="Q268" s="117" t="str">
        <f t="shared" si="154"/>
        <v/>
      </c>
      <c r="V268" s="99"/>
      <c r="AC268" t="s">
        <v>993</v>
      </c>
      <c r="AE268" s="106"/>
      <c r="AF268" s="106"/>
      <c r="AG268" s="106"/>
      <c r="AH268" s="106"/>
      <c r="AI268" s="106"/>
      <c r="AJ268" s="106"/>
      <c r="AK268" s="106"/>
      <c r="AL268" s="106"/>
      <c r="AM268" s="106"/>
      <c r="AN268" s="106"/>
      <c r="AO268" s="106"/>
      <c r="AP268" s="106"/>
    </row>
    <row r="269" spans="1:42">
      <c r="H269" t="s">
        <v>1047</v>
      </c>
      <c r="P269" s="117" t="str">
        <f t="shared" ref="P269:Q269" si="155">IF(P187="","",P187)</f>
        <v/>
      </c>
      <c r="Q269" s="117" t="str">
        <f t="shared" si="155"/>
        <v/>
      </c>
      <c r="V269" s="99"/>
      <c r="AC269" t="s">
        <v>993</v>
      </c>
      <c r="AE269" s="106"/>
      <c r="AF269" s="106"/>
      <c r="AG269" s="106"/>
      <c r="AH269" s="106"/>
      <c r="AI269" s="106"/>
      <c r="AJ269" s="106"/>
      <c r="AK269" s="106"/>
      <c r="AL269" s="106"/>
      <c r="AM269" s="106"/>
      <c r="AN269" s="106"/>
      <c r="AO269" s="106"/>
      <c r="AP269" s="106"/>
    </row>
    <row r="270" spans="1:42">
      <c r="H270" t="s">
        <v>1047</v>
      </c>
      <c r="P270" s="117" t="str">
        <f t="shared" ref="P270:Q270" si="156">IF(P188="","",P188)</f>
        <v/>
      </c>
      <c r="Q270" s="117" t="str">
        <f t="shared" si="156"/>
        <v/>
      </c>
      <c r="V270" s="99"/>
      <c r="AC270" t="s">
        <v>993</v>
      </c>
      <c r="AE270" s="106"/>
      <c r="AF270" s="106"/>
      <c r="AG270" s="106"/>
      <c r="AH270" s="106"/>
      <c r="AI270" s="106"/>
      <c r="AJ270" s="106"/>
      <c r="AK270" s="106"/>
      <c r="AL270" s="106"/>
      <c r="AM270" s="106"/>
      <c r="AN270" s="106"/>
      <c r="AO270" s="106"/>
      <c r="AP270" s="106"/>
    </row>
    <row r="271" spans="1:42">
      <c r="H271" t="s">
        <v>1047</v>
      </c>
      <c r="P271" s="117" t="str">
        <f t="shared" ref="P271:Q271" si="157">IF(P189="","",P189)</f>
        <v/>
      </c>
      <c r="Q271" s="117" t="str">
        <f t="shared" si="157"/>
        <v/>
      </c>
      <c r="V271" s="99"/>
      <c r="AC271" t="s">
        <v>993</v>
      </c>
      <c r="AE271" s="106"/>
      <c r="AF271" s="106"/>
      <c r="AG271" s="106"/>
      <c r="AH271" s="106"/>
      <c r="AI271" s="106"/>
      <c r="AJ271" s="106"/>
      <c r="AK271" s="106"/>
      <c r="AL271" s="106"/>
      <c r="AM271" s="106"/>
      <c r="AN271" s="106"/>
      <c r="AO271" s="106"/>
      <c r="AP271" s="106"/>
    </row>
    <row r="272" spans="1:42">
      <c r="H272" t="s">
        <v>1047</v>
      </c>
      <c r="P272" s="117" t="str">
        <f t="shared" ref="P272:Q272" si="158">IF(P190="","",P190)</f>
        <v/>
      </c>
      <c r="Q272" s="117" t="str">
        <f t="shared" si="158"/>
        <v/>
      </c>
      <c r="V272" s="99"/>
      <c r="AC272" t="s">
        <v>993</v>
      </c>
      <c r="AE272" s="106"/>
      <c r="AF272" s="106"/>
      <c r="AG272" s="106"/>
      <c r="AH272" s="106"/>
      <c r="AI272" s="106"/>
      <c r="AJ272" s="106"/>
      <c r="AK272" s="106"/>
      <c r="AL272" s="106"/>
      <c r="AM272" s="106"/>
      <c r="AN272" s="106"/>
      <c r="AO272" s="106"/>
      <c r="AP272" s="106"/>
    </row>
    <row r="273" spans="8:42">
      <c r="H273" t="s">
        <v>1047</v>
      </c>
      <c r="P273" s="117" t="str">
        <f t="shared" ref="P273:Q273" si="159">IF(P191="","",P191)</f>
        <v/>
      </c>
      <c r="Q273" s="117" t="str">
        <f t="shared" si="159"/>
        <v/>
      </c>
      <c r="V273" s="99"/>
      <c r="AC273" t="s">
        <v>993</v>
      </c>
      <c r="AE273" s="106"/>
      <c r="AF273" s="106"/>
      <c r="AG273" s="106"/>
      <c r="AH273" s="106"/>
      <c r="AI273" s="106"/>
      <c r="AJ273" s="106"/>
      <c r="AK273" s="106"/>
      <c r="AL273" s="106"/>
      <c r="AM273" s="106"/>
      <c r="AN273" s="106"/>
      <c r="AO273" s="106"/>
      <c r="AP273" s="106"/>
    </row>
    <row r="274" spans="8:42">
      <c r="H274" t="s">
        <v>1047</v>
      </c>
      <c r="P274" s="117" t="str">
        <f t="shared" ref="P274:Q274" si="160">IF(P192="","",P192)</f>
        <v/>
      </c>
      <c r="Q274" s="117" t="str">
        <f t="shared" si="160"/>
        <v/>
      </c>
      <c r="V274" s="99"/>
      <c r="AC274" t="s">
        <v>993</v>
      </c>
      <c r="AE274" s="106"/>
      <c r="AF274" s="106"/>
      <c r="AG274" s="106"/>
      <c r="AH274" s="106"/>
      <c r="AI274" s="106"/>
      <c r="AJ274" s="106"/>
      <c r="AK274" s="106"/>
      <c r="AL274" s="106"/>
      <c r="AM274" s="106"/>
      <c r="AN274" s="106"/>
      <c r="AO274" s="106"/>
      <c r="AP274" s="106"/>
    </row>
    <row r="275" spans="8:42">
      <c r="H275" t="s">
        <v>1047</v>
      </c>
      <c r="P275" s="117" t="str">
        <f t="shared" ref="P275:Q275" si="161">IF(P193="","",P193)</f>
        <v/>
      </c>
      <c r="Q275" s="117" t="str">
        <f t="shared" si="161"/>
        <v/>
      </c>
      <c r="V275" s="99"/>
      <c r="AC275" t="s">
        <v>993</v>
      </c>
      <c r="AE275" s="106"/>
      <c r="AF275" s="106"/>
      <c r="AG275" s="106"/>
      <c r="AH275" s="106"/>
      <c r="AI275" s="106"/>
      <c r="AJ275" s="106"/>
      <c r="AK275" s="106"/>
      <c r="AL275" s="106"/>
      <c r="AM275" s="106"/>
      <c r="AN275" s="106"/>
      <c r="AO275" s="106"/>
      <c r="AP275" s="106"/>
    </row>
    <row r="276" spans="8:42">
      <c r="H276" t="s">
        <v>1047</v>
      </c>
      <c r="P276" s="117" t="str">
        <f t="shared" ref="P276:Q276" si="162">IF(P194="","",P194)</f>
        <v/>
      </c>
      <c r="Q276" s="117" t="str">
        <f t="shared" si="162"/>
        <v/>
      </c>
      <c r="V276" s="99"/>
      <c r="AC276" t="s">
        <v>993</v>
      </c>
      <c r="AE276" s="106"/>
      <c r="AF276" s="106"/>
      <c r="AG276" s="106"/>
      <c r="AH276" s="106"/>
      <c r="AI276" s="106"/>
      <c r="AJ276" s="106"/>
      <c r="AK276" s="106"/>
      <c r="AL276" s="106"/>
      <c r="AM276" s="106"/>
      <c r="AN276" s="106"/>
      <c r="AO276" s="106"/>
      <c r="AP276" s="106"/>
    </row>
    <row r="277" spans="8:42">
      <c r="H277" t="s">
        <v>1047</v>
      </c>
      <c r="P277" s="117" t="str">
        <f t="shared" ref="P277:Q277" si="163">IF(P195="","",P195)</f>
        <v/>
      </c>
      <c r="Q277" s="117" t="str">
        <f t="shared" si="163"/>
        <v/>
      </c>
      <c r="V277" s="99"/>
      <c r="AC277" t="s">
        <v>993</v>
      </c>
      <c r="AE277" s="106"/>
      <c r="AF277" s="106"/>
      <c r="AG277" s="106"/>
      <c r="AH277" s="106"/>
      <c r="AI277" s="106"/>
      <c r="AJ277" s="106"/>
      <c r="AK277" s="106"/>
      <c r="AL277" s="106"/>
      <c r="AM277" s="106"/>
      <c r="AN277" s="106"/>
      <c r="AO277" s="106"/>
      <c r="AP277" s="106"/>
    </row>
    <row r="278" spans="8:42">
      <c r="H278" t="s">
        <v>1047</v>
      </c>
      <c r="P278" s="117" t="str">
        <f t="shared" ref="P278:Q278" si="164">IF(P196="","",P196)</f>
        <v/>
      </c>
      <c r="Q278" s="117" t="str">
        <f t="shared" si="164"/>
        <v/>
      </c>
      <c r="V278" s="99"/>
      <c r="AC278" t="s">
        <v>993</v>
      </c>
      <c r="AE278" s="106"/>
      <c r="AF278" s="106"/>
      <c r="AG278" s="106"/>
      <c r="AH278" s="106"/>
      <c r="AI278" s="106"/>
      <c r="AJ278" s="106"/>
      <c r="AK278" s="106"/>
      <c r="AL278" s="106"/>
      <c r="AM278" s="106"/>
      <c r="AN278" s="106"/>
      <c r="AO278" s="106"/>
      <c r="AP278" s="106"/>
    </row>
    <row r="279" spans="8:42">
      <c r="H279" t="s">
        <v>1047</v>
      </c>
      <c r="P279" s="117" t="str">
        <f t="shared" ref="P279:Q279" si="165">IF(P197="","",P197)</f>
        <v/>
      </c>
      <c r="Q279" s="117" t="str">
        <f t="shared" si="165"/>
        <v/>
      </c>
      <c r="V279" s="99"/>
      <c r="AC279" t="s">
        <v>993</v>
      </c>
      <c r="AE279" s="106"/>
      <c r="AF279" s="106"/>
      <c r="AG279" s="106"/>
      <c r="AH279" s="106"/>
      <c r="AI279" s="106"/>
      <c r="AJ279" s="106"/>
      <c r="AK279" s="106"/>
      <c r="AL279" s="106"/>
      <c r="AM279" s="106"/>
      <c r="AN279" s="106"/>
      <c r="AO279" s="106"/>
      <c r="AP279" s="106"/>
    </row>
    <row r="280" spans="8:42">
      <c r="H280" t="s">
        <v>1047</v>
      </c>
      <c r="P280" s="117" t="str">
        <f t="shared" ref="P280:Q280" si="166">IF(P198="","",P198)</f>
        <v/>
      </c>
      <c r="Q280" s="117" t="str">
        <f t="shared" si="166"/>
        <v/>
      </c>
      <c r="V280" s="99"/>
      <c r="AC280" t="s">
        <v>993</v>
      </c>
      <c r="AE280" s="106"/>
      <c r="AF280" s="106"/>
      <c r="AG280" s="106"/>
      <c r="AH280" s="106"/>
      <c r="AI280" s="106"/>
      <c r="AJ280" s="106"/>
      <c r="AK280" s="106"/>
      <c r="AL280" s="106"/>
      <c r="AM280" s="106"/>
      <c r="AN280" s="106"/>
      <c r="AO280" s="106"/>
      <c r="AP280" s="106"/>
    </row>
    <row r="281" spans="8:42">
      <c r="H281" t="s">
        <v>1047</v>
      </c>
      <c r="P281" s="117" t="str">
        <f t="shared" ref="P281:Q281" si="167">IF(P199="","",P199)</f>
        <v/>
      </c>
      <c r="Q281" s="117" t="str">
        <f t="shared" si="167"/>
        <v/>
      </c>
      <c r="V281" s="99"/>
      <c r="AC281" t="s">
        <v>993</v>
      </c>
      <c r="AE281" s="106"/>
      <c r="AF281" s="106"/>
      <c r="AG281" s="106"/>
      <c r="AH281" s="106"/>
      <c r="AI281" s="106"/>
      <c r="AJ281" s="106"/>
      <c r="AK281" s="106"/>
      <c r="AL281" s="106"/>
      <c r="AM281" s="106"/>
      <c r="AN281" s="106"/>
      <c r="AO281" s="106"/>
      <c r="AP281" s="106"/>
    </row>
    <row r="282" spans="8:42">
      <c r="H282" t="s">
        <v>1047</v>
      </c>
      <c r="P282" s="117" t="str">
        <f t="shared" ref="P282:Q282" si="168">IF(P200="","",P200)</f>
        <v/>
      </c>
      <c r="Q282" s="117" t="str">
        <f t="shared" si="168"/>
        <v/>
      </c>
      <c r="V282" s="99"/>
      <c r="AC282" t="s">
        <v>993</v>
      </c>
      <c r="AE282" s="106"/>
      <c r="AF282" s="106"/>
      <c r="AG282" s="106"/>
      <c r="AH282" s="106"/>
      <c r="AI282" s="106"/>
      <c r="AJ282" s="106"/>
      <c r="AK282" s="106"/>
      <c r="AL282" s="106"/>
      <c r="AM282" s="106"/>
      <c r="AN282" s="106"/>
      <c r="AO282" s="106"/>
      <c r="AP282" s="106"/>
    </row>
    <row r="283" spans="8:42">
      <c r="H283" t="s">
        <v>1047</v>
      </c>
      <c r="P283" s="117" t="str">
        <f t="shared" ref="P283:Q283" si="169">IF(P201="","",P201)</f>
        <v/>
      </c>
      <c r="Q283" s="117" t="str">
        <f t="shared" si="169"/>
        <v/>
      </c>
      <c r="V283" s="99"/>
      <c r="AC283" t="s">
        <v>993</v>
      </c>
      <c r="AE283" s="106"/>
      <c r="AF283" s="106"/>
      <c r="AG283" s="106"/>
      <c r="AH283" s="106"/>
      <c r="AI283" s="106"/>
      <c r="AJ283" s="106"/>
      <c r="AK283" s="106"/>
      <c r="AL283" s="106"/>
      <c r="AM283" s="106"/>
      <c r="AN283" s="106"/>
      <c r="AO283" s="106"/>
      <c r="AP283" s="106"/>
    </row>
    <row r="284" spans="8:42">
      <c r="H284" t="s">
        <v>1047</v>
      </c>
      <c r="P284" s="117" t="str">
        <f t="shared" ref="P284:Q284" si="170">IF(P202="","",P202)</f>
        <v/>
      </c>
      <c r="Q284" s="117" t="str">
        <f t="shared" si="170"/>
        <v/>
      </c>
      <c r="V284" s="99"/>
      <c r="AC284" t="s">
        <v>993</v>
      </c>
      <c r="AE284" s="106"/>
      <c r="AF284" s="106"/>
      <c r="AG284" s="106"/>
      <c r="AH284" s="106"/>
      <c r="AI284" s="106"/>
      <c r="AJ284" s="106"/>
      <c r="AK284" s="106"/>
      <c r="AL284" s="106"/>
      <c r="AM284" s="106"/>
      <c r="AN284" s="106"/>
      <c r="AO284" s="106"/>
      <c r="AP284" s="106"/>
    </row>
    <row r="285" spans="8:42">
      <c r="H285" t="s">
        <v>1047</v>
      </c>
      <c r="P285" s="117" t="str">
        <f t="shared" ref="P285:Q285" si="171">IF(P203="","",P203)</f>
        <v/>
      </c>
      <c r="Q285" s="117" t="str">
        <f t="shared" si="171"/>
        <v/>
      </c>
      <c r="V285" s="99"/>
      <c r="AC285" t="s">
        <v>993</v>
      </c>
      <c r="AE285" s="106"/>
      <c r="AF285" s="106"/>
      <c r="AG285" s="106"/>
      <c r="AH285" s="106"/>
      <c r="AI285" s="106"/>
      <c r="AJ285" s="106"/>
      <c r="AK285" s="106"/>
      <c r="AL285" s="106"/>
      <c r="AM285" s="106"/>
      <c r="AN285" s="106"/>
      <c r="AO285" s="106"/>
      <c r="AP285" s="106"/>
    </row>
    <row r="286" spans="8:42">
      <c r="H286" t="s">
        <v>1047</v>
      </c>
      <c r="P286" s="117" t="str">
        <f t="shared" ref="P286:Q286" si="172">IF(P204="","",P204)</f>
        <v/>
      </c>
      <c r="Q286" s="117" t="str">
        <f t="shared" si="172"/>
        <v/>
      </c>
      <c r="V286" s="99"/>
      <c r="AC286" t="s">
        <v>993</v>
      </c>
      <c r="AE286" s="106"/>
      <c r="AF286" s="106"/>
      <c r="AG286" s="106"/>
      <c r="AH286" s="106"/>
      <c r="AI286" s="106"/>
      <c r="AJ286" s="106"/>
      <c r="AK286" s="106"/>
      <c r="AL286" s="106"/>
      <c r="AM286" s="106"/>
      <c r="AN286" s="106"/>
      <c r="AO286" s="106"/>
      <c r="AP286" s="106"/>
    </row>
    <row r="287" spans="8:42">
      <c r="H287" t="s">
        <v>1047</v>
      </c>
      <c r="P287" s="117" t="str">
        <f t="shared" ref="P287:Q287" si="173">IF(P205="","",P205)</f>
        <v/>
      </c>
      <c r="Q287" s="117" t="str">
        <f t="shared" si="173"/>
        <v/>
      </c>
      <c r="V287" s="99"/>
      <c r="AC287" t="s">
        <v>993</v>
      </c>
      <c r="AE287" s="106"/>
      <c r="AF287" s="106"/>
      <c r="AG287" s="106"/>
      <c r="AH287" s="106"/>
      <c r="AI287" s="106"/>
      <c r="AJ287" s="106"/>
      <c r="AK287" s="106"/>
      <c r="AL287" s="106"/>
      <c r="AM287" s="106"/>
      <c r="AN287" s="106"/>
      <c r="AO287" s="106"/>
      <c r="AP287" s="106"/>
    </row>
    <row r="288" spans="8:42">
      <c r="H288" t="s">
        <v>1047</v>
      </c>
      <c r="P288" s="117" t="str">
        <f t="shared" ref="P288:Q288" si="174">IF(P206="","",P206)</f>
        <v/>
      </c>
      <c r="Q288" s="117" t="str">
        <f t="shared" si="174"/>
        <v/>
      </c>
      <c r="V288" s="99"/>
      <c r="AC288" t="s">
        <v>993</v>
      </c>
      <c r="AE288" s="106"/>
      <c r="AF288" s="106"/>
      <c r="AG288" s="106"/>
      <c r="AH288" s="106"/>
      <c r="AI288" s="106"/>
      <c r="AJ288" s="106"/>
      <c r="AK288" s="106"/>
      <c r="AL288" s="106"/>
      <c r="AM288" s="106"/>
      <c r="AN288" s="106"/>
      <c r="AO288" s="106"/>
      <c r="AP288" s="106"/>
    </row>
    <row r="289" spans="8:42">
      <c r="H289" t="s">
        <v>1047</v>
      </c>
      <c r="P289" s="117" t="str">
        <f t="shared" ref="P289:Q289" si="175">IF(P207="","",P207)</f>
        <v/>
      </c>
      <c r="Q289" s="117" t="str">
        <f t="shared" si="175"/>
        <v/>
      </c>
      <c r="V289" s="99"/>
      <c r="AC289" t="s">
        <v>993</v>
      </c>
      <c r="AE289" s="106"/>
      <c r="AF289" s="106"/>
      <c r="AG289" s="106"/>
      <c r="AH289" s="106"/>
      <c r="AI289" s="106"/>
      <c r="AJ289" s="106"/>
      <c r="AK289" s="106"/>
      <c r="AL289" s="106"/>
      <c r="AM289" s="106"/>
      <c r="AN289" s="106"/>
      <c r="AO289" s="106"/>
      <c r="AP289" s="106"/>
    </row>
    <row r="290" spans="8:42">
      <c r="H290" t="s">
        <v>1047</v>
      </c>
      <c r="P290" s="117" t="str">
        <f t="shared" ref="P290:Q290" si="176">IF(P208="","",P208)</f>
        <v/>
      </c>
      <c r="Q290" s="117" t="str">
        <f t="shared" si="176"/>
        <v/>
      </c>
      <c r="V290" s="99"/>
      <c r="AC290" t="s">
        <v>993</v>
      </c>
      <c r="AE290" s="106"/>
      <c r="AF290" s="106"/>
      <c r="AG290" s="106"/>
      <c r="AH290" s="106"/>
      <c r="AI290" s="106"/>
      <c r="AJ290" s="106"/>
      <c r="AK290" s="106"/>
      <c r="AL290" s="106"/>
      <c r="AM290" s="106"/>
      <c r="AN290" s="106"/>
      <c r="AO290" s="106"/>
      <c r="AP290" s="106"/>
    </row>
    <row r="291" spans="8:42">
      <c r="H291" t="s">
        <v>1047</v>
      </c>
      <c r="P291" s="117" t="str">
        <f t="shared" ref="P291:Q291" si="177">IF(P209="","",P209)</f>
        <v/>
      </c>
      <c r="Q291" s="117" t="str">
        <f t="shared" si="177"/>
        <v/>
      </c>
      <c r="V291" s="99"/>
      <c r="AC291" t="s">
        <v>993</v>
      </c>
      <c r="AE291" s="106"/>
      <c r="AF291" s="106"/>
      <c r="AG291" s="106"/>
      <c r="AH291" s="106"/>
      <c r="AI291" s="106"/>
      <c r="AJ291" s="106"/>
      <c r="AK291" s="106"/>
      <c r="AL291" s="106"/>
      <c r="AM291" s="106"/>
      <c r="AN291" s="106"/>
      <c r="AO291" s="106"/>
      <c r="AP291" s="106"/>
    </row>
    <row r="292" spans="8:42">
      <c r="H292" t="s">
        <v>1047</v>
      </c>
      <c r="P292" s="117" t="str">
        <f t="shared" ref="P292:Q292" si="178">IF(P210="","",P210)</f>
        <v/>
      </c>
      <c r="Q292" s="117" t="str">
        <f t="shared" si="178"/>
        <v/>
      </c>
      <c r="V292" s="99"/>
      <c r="AC292" t="s">
        <v>993</v>
      </c>
      <c r="AE292" s="106"/>
      <c r="AF292" s="106"/>
      <c r="AG292" s="106"/>
      <c r="AH292" s="106"/>
      <c r="AI292" s="106"/>
      <c r="AJ292" s="106"/>
      <c r="AK292" s="106"/>
      <c r="AL292" s="106"/>
      <c r="AM292" s="106"/>
      <c r="AN292" s="106"/>
      <c r="AO292" s="106"/>
      <c r="AP292" s="106"/>
    </row>
    <row r="293" spans="8:42">
      <c r="H293" t="s">
        <v>1047</v>
      </c>
      <c r="P293" s="117" t="str">
        <f t="shared" ref="P293:Q293" si="179">IF(P211="","",P211)</f>
        <v/>
      </c>
      <c r="Q293" s="117" t="str">
        <f t="shared" si="179"/>
        <v/>
      </c>
      <c r="V293" s="99"/>
      <c r="AC293" t="s">
        <v>993</v>
      </c>
      <c r="AE293" s="106"/>
      <c r="AF293" s="106"/>
      <c r="AG293" s="106"/>
      <c r="AH293" s="106"/>
      <c r="AI293" s="106"/>
      <c r="AJ293" s="106"/>
      <c r="AK293" s="106"/>
      <c r="AL293" s="106"/>
      <c r="AM293" s="106"/>
      <c r="AN293" s="106"/>
      <c r="AO293" s="106"/>
      <c r="AP293" s="106"/>
    </row>
    <row r="294" spans="8:42">
      <c r="H294" t="s">
        <v>1047</v>
      </c>
      <c r="P294" s="117" t="str">
        <f t="shared" ref="P294:Q294" si="180">IF(P212="","",P212)</f>
        <v/>
      </c>
      <c r="Q294" s="117" t="str">
        <f t="shared" si="180"/>
        <v/>
      </c>
      <c r="V294" s="99"/>
      <c r="AC294" t="s">
        <v>993</v>
      </c>
      <c r="AE294" s="106"/>
      <c r="AF294" s="106"/>
      <c r="AG294" s="106"/>
      <c r="AH294" s="106"/>
      <c r="AI294" s="106"/>
      <c r="AJ294" s="106"/>
      <c r="AK294" s="106"/>
      <c r="AL294" s="106"/>
      <c r="AM294" s="106"/>
      <c r="AN294" s="106"/>
      <c r="AO294" s="106"/>
      <c r="AP294" s="106"/>
    </row>
    <row r="295" spans="8:42">
      <c r="H295" t="s">
        <v>1047</v>
      </c>
      <c r="P295" s="117" t="str">
        <f t="shared" ref="P295:Q295" si="181">IF(P213="","",P213)</f>
        <v/>
      </c>
      <c r="Q295" s="117" t="str">
        <f t="shared" si="181"/>
        <v/>
      </c>
      <c r="V295" s="99"/>
      <c r="AC295" t="s">
        <v>993</v>
      </c>
      <c r="AE295" s="106"/>
      <c r="AF295" s="106"/>
      <c r="AG295" s="106"/>
      <c r="AH295" s="106"/>
      <c r="AI295" s="106"/>
      <c r="AJ295" s="106"/>
      <c r="AK295" s="106"/>
      <c r="AL295" s="106"/>
      <c r="AM295" s="106"/>
      <c r="AN295" s="106"/>
      <c r="AO295" s="106"/>
      <c r="AP295" s="106"/>
    </row>
    <row r="296" spans="8:42">
      <c r="H296" t="s">
        <v>1047</v>
      </c>
      <c r="P296" s="117" t="str">
        <f t="shared" ref="P296:Q296" si="182">IF(P214="","",P214)</f>
        <v/>
      </c>
      <c r="Q296" s="117" t="str">
        <f t="shared" si="182"/>
        <v/>
      </c>
      <c r="V296" s="99"/>
      <c r="AC296" t="s">
        <v>993</v>
      </c>
      <c r="AE296" s="106"/>
      <c r="AF296" s="106"/>
      <c r="AG296" s="106"/>
      <c r="AH296" s="106"/>
      <c r="AI296" s="106"/>
      <c r="AJ296" s="106"/>
      <c r="AK296" s="106"/>
      <c r="AL296" s="106"/>
      <c r="AM296" s="106"/>
      <c r="AN296" s="106"/>
      <c r="AO296" s="106"/>
      <c r="AP296" s="106"/>
    </row>
    <row r="297" spans="8:42">
      <c r="H297" t="s">
        <v>1047</v>
      </c>
      <c r="P297" s="117" t="str">
        <f t="shared" ref="P297:Q297" si="183">IF(P215="","",P215)</f>
        <v/>
      </c>
      <c r="Q297" s="117" t="str">
        <f t="shared" si="183"/>
        <v/>
      </c>
      <c r="V297" s="99"/>
      <c r="AC297" t="s">
        <v>993</v>
      </c>
      <c r="AE297" s="106"/>
      <c r="AF297" s="106"/>
      <c r="AG297" s="106"/>
      <c r="AH297" s="106"/>
      <c r="AI297" s="106"/>
      <c r="AJ297" s="106"/>
      <c r="AK297" s="106"/>
      <c r="AL297" s="106"/>
      <c r="AM297" s="106"/>
      <c r="AN297" s="106"/>
      <c r="AO297" s="106"/>
      <c r="AP297" s="106"/>
    </row>
    <row r="298" spans="8:42">
      <c r="H298" t="s">
        <v>1047</v>
      </c>
      <c r="P298" s="117" t="str">
        <f t="shared" ref="P298:Q298" si="184">IF(P216="","",P216)</f>
        <v/>
      </c>
      <c r="Q298" s="117" t="str">
        <f t="shared" si="184"/>
        <v/>
      </c>
      <c r="V298" s="99"/>
      <c r="AC298" t="s">
        <v>993</v>
      </c>
      <c r="AE298" s="106"/>
      <c r="AF298" s="106"/>
      <c r="AG298" s="106"/>
      <c r="AH298" s="106"/>
      <c r="AI298" s="106"/>
      <c r="AJ298" s="106"/>
      <c r="AK298" s="106"/>
      <c r="AL298" s="106"/>
      <c r="AM298" s="106"/>
      <c r="AN298" s="106"/>
      <c r="AO298" s="106"/>
      <c r="AP298" s="106"/>
    </row>
    <row r="299" spans="8:42">
      <c r="H299" t="s">
        <v>1047</v>
      </c>
      <c r="P299" s="117" t="str">
        <f t="shared" ref="P299:Q299" si="185">IF(P217="","",P217)</f>
        <v/>
      </c>
      <c r="Q299" s="117" t="str">
        <f t="shared" si="185"/>
        <v/>
      </c>
      <c r="V299" s="99"/>
      <c r="AC299" t="s">
        <v>993</v>
      </c>
      <c r="AE299" s="106"/>
      <c r="AF299" s="106"/>
      <c r="AG299" s="106"/>
      <c r="AH299" s="106"/>
      <c r="AI299" s="106"/>
      <c r="AJ299" s="106"/>
      <c r="AK299" s="106"/>
      <c r="AL299" s="106"/>
      <c r="AM299" s="106"/>
      <c r="AN299" s="106"/>
      <c r="AO299" s="106"/>
      <c r="AP299" s="106"/>
    </row>
    <row r="300" spans="8:42">
      <c r="H300" t="s">
        <v>1047</v>
      </c>
      <c r="P300" s="117" t="str">
        <f t="shared" ref="P300:Q300" si="186">IF(P218="","",P218)</f>
        <v/>
      </c>
      <c r="Q300" s="117" t="str">
        <f t="shared" si="186"/>
        <v/>
      </c>
      <c r="V300" s="99"/>
      <c r="AC300" t="s">
        <v>993</v>
      </c>
      <c r="AE300" s="106"/>
      <c r="AF300" s="106"/>
      <c r="AG300" s="106"/>
      <c r="AH300" s="106"/>
      <c r="AI300" s="106"/>
      <c r="AJ300" s="106"/>
      <c r="AK300" s="106"/>
      <c r="AL300" s="106"/>
      <c r="AM300" s="106"/>
      <c r="AN300" s="106"/>
      <c r="AO300" s="106"/>
      <c r="AP300" s="106"/>
    </row>
    <row r="301" spans="8:42">
      <c r="H301" t="s">
        <v>1047</v>
      </c>
      <c r="P301" s="117" t="str">
        <f t="shared" ref="P301:Q301" si="187">IF(P219="","",P219)</f>
        <v/>
      </c>
      <c r="Q301" s="117" t="str">
        <f t="shared" si="187"/>
        <v/>
      </c>
      <c r="V301" s="99"/>
      <c r="AC301" t="s">
        <v>993</v>
      </c>
      <c r="AE301" s="106"/>
      <c r="AF301" s="106"/>
      <c r="AG301" s="106"/>
      <c r="AH301" s="106"/>
      <c r="AI301" s="106"/>
      <c r="AJ301" s="106"/>
      <c r="AK301" s="106"/>
      <c r="AL301" s="106"/>
      <c r="AM301" s="106"/>
      <c r="AN301" s="106"/>
      <c r="AO301" s="106"/>
      <c r="AP301" s="106"/>
    </row>
    <row r="302" spans="8:42">
      <c r="H302" t="s">
        <v>1047</v>
      </c>
      <c r="P302" s="117" t="str">
        <f t="shared" ref="P302:Q302" si="188">IF(P220="","",P220)</f>
        <v/>
      </c>
      <c r="Q302" s="117" t="str">
        <f t="shared" si="188"/>
        <v/>
      </c>
      <c r="V302" s="99"/>
      <c r="AC302" t="s">
        <v>993</v>
      </c>
      <c r="AE302" s="106"/>
      <c r="AF302" s="106"/>
      <c r="AG302" s="106"/>
      <c r="AH302" s="106"/>
      <c r="AI302" s="106"/>
      <c r="AJ302" s="106"/>
      <c r="AK302" s="106"/>
      <c r="AL302" s="106"/>
      <c r="AM302" s="106"/>
      <c r="AN302" s="106"/>
      <c r="AO302" s="106"/>
      <c r="AP302" s="106"/>
    </row>
    <row r="303" spans="8:42">
      <c r="H303" t="s">
        <v>1047</v>
      </c>
      <c r="P303" s="117" t="str">
        <f t="shared" ref="P303:Q303" si="189">IF(P221="","",P221)</f>
        <v/>
      </c>
      <c r="Q303" s="117" t="str">
        <f t="shared" si="189"/>
        <v/>
      </c>
      <c r="V303" s="99"/>
      <c r="AC303" t="s">
        <v>993</v>
      </c>
      <c r="AE303" s="106"/>
      <c r="AF303" s="106"/>
      <c r="AG303" s="106"/>
      <c r="AH303" s="106"/>
      <c r="AI303" s="106"/>
      <c r="AJ303" s="106"/>
      <c r="AK303" s="106"/>
      <c r="AL303" s="106"/>
      <c r="AM303" s="106"/>
      <c r="AN303" s="106"/>
      <c r="AO303" s="106"/>
      <c r="AP303" s="106"/>
    </row>
    <row r="304" spans="8:42">
      <c r="H304" t="s">
        <v>1047</v>
      </c>
      <c r="P304" s="117" t="str">
        <f t="shared" ref="P304:Q304" si="190">IF(P222="","",P222)</f>
        <v/>
      </c>
      <c r="Q304" s="117" t="str">
        <f t="shared" si="190"/>
        <v/>
      </c>
      <c r="V304" s="99"/>
      <c r="AC304" t="s">
        <v>993</v>
      </c>
      <c r="AE304" s="106"/>
      <c r="AF304" s="106"/>
      <c r="AG304" s="106"/>
      <c r="AH304" s="106"/>
      <c r="AI304" s="106"/>
      <c r="AJ304" s="106"/>
      <c r="AK304" s="106"/>
      <c r="AL304" s="106"/>
      <c r="AM304" s="106"/>
      <c r="AN304" s="106"/>
      <c r="AO304" s="106"/>
      <c r="AP304" s="106"/>
    </row>
    <row r="305" spans="8:42">
      <c r="H305" t="s">
        <v>1047</v>
      </c>
      <c r="P305" s="117" t="str">
        <f t="shared" ref="P305:Q305" si="191">IF(P223="","",P223)</f>
        <v/>
      </c>
      <c r="Q305" s="117" t="str">
        <f t="shared" si="191"/>
        <v/>
      </c>
      <c r="V305" s="99"/>
      <c r="AC305" t="s">
        <v>993</v>
      </c>
      <c r="AE305" s="106"/>
      <c r="AF305" s="106"/>
      <c r="AG305" s="106"/>
      <c r="AH305" s="106"/>
      <c r="AI305" s="106"/>
      <c r="AJ305" s="106"/>
      <c r="AK305" s="106"/>
      <c r="AL305" s="106"/>
      <c r="AM305" s="106"/>
      <c r="AN305" s="106"/>
      <c r="AO305" s="106"/>
      <c r="AP305" s="106"/>
    </row>
    <row r="306" spans="8:42">
      <c r="H306" t="s">
        <v>1047</v>
      </c>
      <c r="P306" s="117" t="str">
        <f t="shared" ref="P306:Q306" si="192">IF(P224="","",P224)</f>
        <v/>
      </c>
      <c r="Q306" s="117" t="str">
        <f t="shared" si="192"/>
        <v/>
      </c>
      <c r="V306" s="99"/>
      <c r="AC306" t="s">
        <v>993</v>
      </c>
      <c r="AE306" s="106"/>
      <c r="AF306" s="106"/>
      <c r="AG306" s="106"/>
      <c r="AH306" s="106"/>
      <c r="AI306" s="106"/>
      <c r="AJ306" s="106"/>
      <c r="AK306" s="106"/>
      <c r="AL306" s="106"/>
      <c r="AM306" s="106"/>
      <c r="AN306" s="106"/>
      <c r="AO306" s="106"/>
      <c r="AP306" s="106"/>
    </row>
    <row r="307" spans="8:42">
      <c r="H307" t="s">
        <v>1047</v>
      </c>
      <c r="P307" s="117" t="str">
        <f t="shared" ref="P307:Q307" si="193">IF(P225="","",P225)</f>
        <v/>
      </c>
      <c r="Q307" s="117" t="str">
        <f t="shared" si="193"/>
        <v/>
      </c>
      <c r="V307" s="99"/>
      <c r="AC307" t="s">
        <v>993</v>
      </c>
      <c r="AE307" s="106"/>
      <c r="AF307" s="106"/>
      <c r="AG307" s="106"/>
      <c r="AH307" s="106"/>
      <c r="AI307" s="106"/>
      <c r="AJ307" s="106"/>
      <c r="AK307" s="106"/>
      <c r="AL307" s="106"/>
      <c r="AM307" s="106"/>
      <c r="AN307" s="106"/>
      <c r="AO307" s="106"/>
      <c r="AP307" s="106"/>
    </row>
    <row r="308" spans="8:42">
      <c r="H308" t="s">
        <v>1047</v>
      </c>
      <c r="P308" s="117" t="str">
        <f t="shared" ref="P308:Q308" si="194">IF(P226="","",P226)</f>
        <v/>
      </c>
      <c r="Q308" s="117" t="str">
        <f t="shared" si="194"/>
        <v/>
      </c>
      <c r="V308" s="99"/>
      <c r="AC308" t="s">
        <v>993</v>
      </c>
      <c r="AE308" s="106"/>
      <c r="AF308" s="106"/>
      <c r="AG308" s="106"/>
      <c r="AH308" s="106"/>
      <c r="AI308" s="106"/>
      <c r="AJ308" s="106"/>
      <c r="AK308" s="106"/>
      <c r="AL308" s="106"/>
      <c r="AM308" s="106"/>
      <c r="AN308" s="106"/>
      <c r="AO308" s="106"/>
      <c r="AP308" s="106"/>
    </row>
    <row r="309" spans="8:42">
      <c r="H309" t="s">
        <v>1047</v>
      </c>
      <c r="P309" s="117" t="str">
        <f t="shared" ref="P309:Q309" si="195">IF(P227="","",P227)</f>
        <v/>
      </c>
      <c r="Q309" s="117" t="str">
        <f t="shared" si="195"/>
        <v/>
      </c>
      <c r="V309" s="99"/>
      <c r="AC309" t="s">
        <v>993</v>
      </c>
      <c r="AE309" s="106"/>
      <c r="AF309" s="106"/>
      <c r="AG309" s="106"/>
      <c r="AH309" s="106"/>
      <c r="AI309" s="106"/>
      <c r="AJ309" s="106"/>
      <c r="AK309" s="106"/>
      <c r="AL309" s="106"/>
      <c r="AM309" s="106"/>
      <c r="AN309" s="106"/>
      <c r="AO309" s="106"/>
      <c r="AP309" s="106"/>
    </row>
    <row r="310" spans="8:42">
      <c r="H310" t="s">
        <v>1047</v>
      </c>
      <c r="P310" s="117" t="str">
        <f t="shared" ref="P310:Q310" si="196">IF(P228="","",P228)</f>
        <v/>
      </c>
      <c r="Q310" s="117" t="str">
        <f t="shared" si="196"/>
        <v/>
      </c>
      <c r="V310" s="99"/>
      <c r="AC310" t="s">
        <v>993</v>
      </c>
      <c r="AE310" s="106"/>
      <c r="AF310" s="106"/>
      <c r="AG310" s="106"/>
      <c r="AH310" s="106"/>
      <c r="AI310" s="106"/>
      <c r="AJ310" s="106"/>
      <c r="AK310" s="106"/>
      <c r="AL310" s="106"/>
      <c r="AM310" s="106"/>
      <c r="AN310" s="106"/>
      <c r="AO310" s="106"/>
      <c r="AP310" s="106"/>
    </row>
    <row r="311" spans="8:42">
      <c r="H311" t="s">
        <v>1047</v>
      </c>
      <c r="P311" s="117" t="str">
        <f t="shared" ref="P311:Q311" si="197">IF(P229="","",P229)</f>
        <v/>
      </c>
      <c r="Q311" s="117" t="str">
        <f t="shared" si="197"/>
        <v/>
      </c>
      <c r="V311" s="99"/>
      <c r="AC311" t="s">
        <v>993</v>
      </c>
      <c r="AE311" s="106"/>
      <c r="AF311" s="106"/>
      <c r="AG311" s="106"/>
      <c r="AH311" s="106"/>
      <c r="AI311" s="106"/>
      <c r="AJ311" s="106"/>
      <c r="AK311" s="106"/>
      <c r="AL311" s="106"/>
      <c r="AM311" s="106"/>
      <c r="AN311" s="106"/>
      <c r="AO311" s="106"/>
      <c r="AP311" s="106"/>
    </row>
    <row r="312" spans="8:42">
      <c r="H312" t="s">
        <v>1047</v>
      </c>
      <c r="P312" s="117" t="str">
        <f t="shared" ref="P312:Q312" si="198">IF(P230="","",P230)</f>
        <v/>
      </c>
      <c r="Q312" s="117" t="str">
        <f t="shared" si="198"/>
        <v/>
      </c>
      <c r="V312" s="99"/>
      <c r="AC312" t="s">
        <v>993</v>
      </c>
      <c r="AE312" s="106"/>
      <c r="AF312" s="106"/>
      <c r="AG312" s="106"/>
      <c r="AH312" s="106"/>
      <c r="AI312" s="106"/>
      <c r="AJ312" s="106"/>
      <c r="AK312" s="106"/>
      <c r="AL312" s="106"/>
      <c r="AM312" s="106"/>
      <c r="AN312" s="106"/>
      <c r="AO312" s="106"/>
      <c r="AP312" s="106"/>
    </row>
    <row r="313" spans="8:42">
      <c r="H313" t="s">
        <v>1047</v>
      </c>
      <c r="P313" s="117" t="str">
        <f t="shared" ref="P313:Q313" si="199">IF(P231="","",P231)</f>
        <v/>
      </c>
      <c r="Q313" s="117" t="str">
        <f t="shared" si="199"/>
        <v/>
      </c>
      <c r="V313" s="99"/>
      <c r="AC313" t="s">
        <v>993</v>
      </c>
      <c r="AE313" s="106"/>
      <c r="AF313" s="106"/>
      <c r="AG313" s="106"/>
      <c r="AH313" s="106"/>
      <c r="AI313" s="106"/>
      <c r="AJ313" s="106"/>
      <c r="AK313" s="106"/>
      <c r="AL313" s="106"/>
      <c r="AM313" s="106"/>
      <c r="AN313" s="106"/>
      <c r="AO313" s="106"/>
      <c r="AP313" s="106"/>
    </row>
    <row r="314" spans="8:42">
      <c r="H314" t="s">
        <v>1047</v>
      </c>
      <c r="P314" s="117" t="str">
        <f t="shared" ref="P314:Q314" si="200">IF(P232="","",P232)</f>
        <v/>
      </c>
      <c r="Q314" s="117" t="str">
        <f t="shared" si="200"/>
        <v/>
      </c>
      <c r="V314" s="99"/>
      <c r="AC314" t="s">
        <v>993</v>
      </c>
      <c r="AE314" s="106"/>
      <c r="AF314" s="106"/>
      <c r="AG314" s="106"/>
      <c r="AH314" s="106"/>
      <c r="AI314" s="106"/>
      <c r="AJ314" s="106"/>
      <c r="AK314" s="106"/>
      <c r="AL314" s="106"/>
      <c r="AM314" s="106"/>
      <c r="AN314" s="106"/>
      <c r="AO314" s="106"/>
      <c r="AP314" s="106"/>
    </row>
    <row r="315" spans="8:42">
      <c r="H315" t="s">
        <v>1047</v>
      </c>
      <c r="P315" s="117" t="str">
        <f t="shared" ref="P315:Q315" si="201">IF(P233="","",P233)</f>
        <v/>
      </c>
      <c r="Q315" s="117" t="str">
        <f t="shared" si="201"/>
        <v/>
      </c>
      <c r="V315" s="99"/>
      <c r="AC315" t="s">
        <v>993</v>
      </c>
      <c r="AE315" s="106"/>
      <c r="AF315" s="106"/>
      <c r="AG315" s="106"/>
      <c r="AH315" s="106"/>
      <c r="AI315" s="106"/>
      <c r="AJ315" s="106"/>
      <c r="AK315" s="106"/>
      <c r="AL315" s="106"/>
      <c r="AM315" s="106"/>
      <c r="AN315" s="106"/>
      <c r="AO315" s="106"/>
      <c r="AP315" s="106"/>
    </row>
    <row r="316" spans="8:42">
      <c r="H316" t="s">
        <v>1047</v>
      </c>
      <c r="P316" s="117" t="str">
        <f t="shared" ref="P316:Q316" si="202">IF(P234="","",P234)</f>
        <v/>
      </c>
      <c r="Q316" s="117" t="str">
        <f t="shared" si="202"/>
        <v/>
      </c>
      <c r="V316" s="99"/>
      <c r="AC316" t="s">
        <v>993</v>
      </c>
      <c r="AE316" s="106"/>
      <c r="AF316" s="106"/>
      <c r="AG316" s="106"/>
      <c r="AH316" s="106"/>
      <c r="AI316" s="106"/>
      <c r="AJ316" s="106"/>
      <c r="AK316" s="106"/>
      <c r="AL316" s="106"/>
      <c r="AM316" s="106"/>
      <c r="AN316" s="106"/>
      <c r="AO316" s="106"/>
      <c r="AP316" s="106"/>
    </row>
    <row r="317" spans="8:42">
      <c r="H317" t="s">
        <v>1047</v>
      </c>
      <c r="P317" s="117" t="str">
        <f t="shared" ref="P317:Q317" si="203">IF(P235="","",P235)</f>
        <v/>
      </c>
      <c r="Q317" s="117" t="str">
        <f t="shared" si="203"/>
        <v/>
      </c>
      <c r="V317" s="99"/>
      <c r="AC317" t="s">
        <v>993</v>
      </c>
      <c r="AE317" s="106"/>
      <c r="AF317" s="106"/>
      <c r="AG317" s="106"/>
      <c r="AH317" s="106"/>
      <c r="AI317" s="106"/>
      <c r="AJ317" s="106"/>
      <c r="AK317" s="106"/>
      <c r="AL317" s="106"/>
      <c r="AM317" s="106"/>
      <c r="AN317" s="106"/>
      <c r="AO317" s="106"/>
      <c r="AP317" s="106"/>
    </row>
    <row r="318" spans="8:42">
      <c r="H318" t="s">
        <v>1047</v>
      </c>
      <c r="P318" s="117" t="str">
        <f t="shared" ref="P318:Q318" si="204">IF(P236="","",P236)</f>
        <v/>
      </c>
      <c r="Q318" s="117" t="str">
        <f t="shared" si="204"/>
        <v/>
      </c>
      <c r="V318" s="99"/>
      <c r="AC318" t="s">
        <v>993</v>
      </c>
      <c r="AE318" s="106"/>
      <c r="AF318" s="106"/>
      <c r="AG318" s="106"/>
      <c r="AH318" s="106"/>
      <c r="AI318" s="106"/>
      <c r="AJ318" s="106"/>
      <c r="AK318" s="106"/>
      <c r="AL318" s="106"/>
      <c r="AM318" s="106"/>
      <c r="AN318" s="106"/>
      <c r="AO318" s="106"/>
      <c r="AP318" s="106"/>
    </row>
    <row r="319" spans="8:42">
      <c r="H319" t="s">
        <v>1047</v>
      </c>
      <c r="P319" s="117" t="str">
        <f t="shared" ref="P319:Q319" si="205">IF(P237="","",P237)</f>
        <v/>
      </c>
      <c r="Q319" s="117" t="str">
        <f t="shared" si="205"/>
        <v/>
      </c>
      <c r="V319" s="99"/>
      <c r="AC319" t="s">
        <v>993</v>
      </c>
      <c r="AE319" s="106"/>
      <c r="AF319" s="106"/>
      <c r="AG319" s="106"/>
      <c r="AH319" s="106"/>
      <c r="AI319" s="106"/>
      <c r="AJ319" s="106"/>
      <c r="AK319" s="106"/>
      <c r="AL319" s="106"/>
      <c r="AM319" s="106"/>
      <c r="AN319" s="106"/>
      <c r="AO319" s="106"/>
      <c r="AP319" s="106"/>
    </row>
    <row r="320" spans="8:42">
      <c r="H320" t="s">
        <v>1047</v>
      </c>
      <c r="P320" s="117" t="str">
        <f t="shared" ref="P320:Q320" si="206">IF(P238="","",P238)</f>
        <v/>
      </c>
      <c r="Q320" s="117" t="str">
        <f t="shared" si="206"/>
        <v/>
      </c>
      <c r="V320" s="99"/>
      <c r="AC320" t="s">
        <v>993</v>
      </c>
      <c r="AE320" s="106"/>
      <c r="AF320" s="106"/>
      <c r="AG320" s="106"/>
      <c r="AH320" s="106"/>
      <c r="AI320" s="106"/>
      <c r="AJ320" s="106"/>
      <c r="AK320" s="106"/>
      <c r="AL320" s="106"/>
      <c r="AM320" s="106"/>
      <c r="AN320" s="106"/>
      <c r="AO320" s="106"/>
      <c r="AP320" s="106"/>
    </row>
    <row r="321" spans="8:42">
      <c r="H321" t="s">
        <v>1047</v>
      </c>
      <c r="P321" s="117" t="str">
        <f t="shared" ref="P321:Q321" si="207">IF(P239="","",P239)</f>
        <v/>
      </c>
      <c r="Q321" s="117" t="str">
        <f t="shared" si="207"/>
        <v/>
      </c>
      <c r="V321" s="99"/>
      <c r="AC321" t="s">
        <v>993</v>
      </c>
      <c r="AE321" s="106"/>
      <c r="AF321" s="106"/>
      <c r="AG321" s="106"/>
      <c r="AH321" s="106"/>
      <c r="AI321" s="106"/>
      <c r="AJ321" s="106"/>
      <c r="AK321" s="106"/>
      <c r="AL321" s="106"/>
      <c r="AM321" s="106"/>
      <c r="AN321" s="106"/>
      <c r="AO321" s="106"/>
      <c r="AP321" s="106"/>
    </row>
    <row r="322" spans="8:42">
      <c r="H322" t="s">
        <v>1047</v>
      </c>
      <c r="P322" s="117" t="str">
        <f t="shared" ref="P322:Q322" si="208">IF(P240="","",P240)</f>
        <v/>
      </c>
      <c r="Q322" s="117" t="str">
        <f t="shared" si="208"/>
        <v/>
      </c>
      <c r="V322" s="99"/>
      <c r="AC322" t="s">
        <v>993</v>
      </c>
      <c r="AE322" s="106"/>
      <c r="AF322" s="106"/>
      <c r="AG322" s="106"/>
      <c r="AH322" s="106"/>
      <c r="AI322" s="106"/>
      <c r="AJ322" s="106"/>
      <c r="AK322" s="106"/>
      <c r="AL322" s="106"/>
      <c r="AM322" s="106"/>
      <c r="AN322" s="106"/>
      <c r="AO322" s="106"/>
      <c r="AP322" s="106"/>
    </row>
    <row r="323" spans="8:42">
      <c r="H323" t="s">
        <v>1047</v>
      </c>
      <c r="P323" s="117" t="str">
        <f t="shared" ref="P323:Q323" si="209">IF(P241="","",P241)</f>
        <v/>
      </c>
      <c r="Q323" s="117" t="str">
        <f t="shared" si="209"/>
        <v/>
      </c>
      <c r="V323" s="99"/>
      <c r="AC323" t="s">
        <v>993</v>
      </c>
      <c r="AE323" s="106"/>
      <c r="AF323" s="106"/>
      <c r="AG323" s="106"/>
      <c r="AH323" s="106"/>
      <c r="AI323" s="106"/>
      <c r="AJ323" s="106"/>
      <c r="AK323" s="106"/>
      <c r="AL323" s="106"/>
      <c r="AM323" s="106"/>
      <c r="AN323" s="106"/>
      <c r="AO323" s="106"/>
      <c r="AP323" s="106"/>
    </row>
    <row r="324" spans="8:42">
      <c r="H324" t="s">
        <v>1047</v>
      </c>
      <c r="P324" s="117" t="str">
        <f t="shared" ref="P324:Q324" si="210">IF(P242="","",P242)</f>
        <v/>
      </c>
      <c r="Q324" s="117" t="str">
        <f t="shared" si="210"/>
        <v/>
      </c>
      <c r="V324" s="99"/>
      <c r="AC324" t="s">
        <v>993</v>
      </c>
      <c r="AE324" s="106"/>
      <c r="AF324" s="106"/>
      <c r="AG324" s="106"/>
      <c r="AH324" s="106"/>
      <c r="AI324" s="106"/>
      <c r="AJ324" s="106"/>
      <c r="AK324" s="106"/>
      <c r="AL324" s="106"/>
      <c r="AM324" s="106"/>
      <c r="AN324" s="106"/>
      <c r="AO324" s="106"/>
      <c r="AP324" s="106"/>
    </row>
    <row r="325" spans="8:42">
      <c r="H325" t="s">
        <v>1047</v>
      </c>
      <c r="P325" s="117" t="str">
        <f t="shared" ref="P325:Q325" si="211">IF(P243="","",P243)</f>
        <v/>
      </c>
      <c r="Q325" s="117" t="str">
        <f t="shared" si="211"/>
        <v/>
      </c>
      <c r="V325" s="99"/>
      <c r="AC325" t="s">
        <v>993</v>
      </c>
      <c r="AE325" s="106"/>
      <c r="AF325" s="106"/>
      <c r="AG325" s="106"/>
      <c r="AH325" s="106"/>
      <c r="AI325" s="106"/>
      <c r="AJ325" s="106"/>
      <c r="AK325" s="106"/>
      <c r="AL325" s="106"/>
      <c r="AM325" s="106"/>
      <c r="AN325" s="106"/>
      <c r="AO325" s="106"/>
      <c r="AP325" s="106"/>
    </row>
    <row r="326" spans="8:42">
      <c r="H326" t="s">
        <v>1047</v>
      </c>
      <c r="P326" s="117" t="str">
        <f t="shared" ref="P326:Q326" si="212">IF(P244="","",P244)</f>
        <v/>
      </c>
      <c r="Q326" s="117" t="str">
        <f t="shared" si="212"/>
        <v/>
      </c>
      <c r="V326" s="99"/>
      <c r="AC326" t="s">
        <v>993</v>
      </c>
      <c r="AE326" s="106"/>
      <c r="AF326" s="106"/>
      <c r="AG326" s="106"/>
      <c r="AH326" s="106"/>
      <c r="AI326" s="106"/>
      <c r="AJ326" s="106"/>
      <c r="AK326" s="106"/>
      <c r="AL326" s="106"/>
      <c r="AM326" s="106"/>
      <c r="AN326" s="106"/>
      <c r="AO326" s="106"/>
      <c r="AP326" s="106"/>
    </row>
    <row r="327" spans="8:42">
      <c r="H327" t="s">
        <v>1047</v>
      </c>
      <c r="P327" s="117" t="str">
        <f t="shared" ref="P327:Q327" si="213">IF(P245="","",P245)</f>
        <v/>
      </c>
      <c r="Q327" s="117" t="str">
        <f t="shared" si="213"/>
        <v/>
      </c>
      <c r="V327" s="99"/>
      <c r="AC327" t="s">
        <v>993</v>
      </c>
      <c r="AE327" s="106"/>
      <c r="AF327" s="106"/>
      <c r="AG327" s="106"/>
      <c r="AH327" s="106"/>
      <c r="AI327" s="106"/>
      <c r="AJ327" s="106"/>
      <c r="AK327" s="106"/>
      <c r="AL327" s="106"/>
      <c r="AM327" s="106"/>
      <c r="AN327" s="106"/>
      <c r="AO327" s="106"/>
      <c r="AP327" s="106"/>
    </row>
    <row r="328" spans="8:42">
      <c r="H328" t="s">
        <v>1047</v>
      </c>
      <c r="P328" s="117" t="str">
        <f t="shared" ref="P328:Q328" si="214">IF(P246="","",P246)</f>
        <v/>
      </c>
      <c r="Q328" s="117" t="str">
        <f t="shared" si="214"/>
        <v/>
      </c>
      <c r="V328" s="99"/>
      <c r="AC328" t="s">
        <v>993</v>
      </c>
      <c r="AE328" s="106"/>
      <c r="AF328" s="106"/>
      <c r="AG328" s="106"/>
      <c r="AH328" s="106"/>
      <c r="AI328" s="106"/>
      <c r="AJ328" s="106"/>
      <c r="AK328" s="106"/>
      <c r="AL328" s="106"/>
      <c r="AM328" s="106"/>
      <c r="AN328" s="106"/>
      <c r="AO328" s="106"/>
      <c r="AP328" s="106"/>
    </row>
    <row r="329" spans="8:42">
      <c r="H329" t="s">
        <v>1047</v>
      </c>
      <c r="P329" s="117" t="str">
        <f t="shared" ref="P329:Q329" si="215">IF(P247="","",P247)</f>
        <v/>
      </c>
      <c r="Q329" s="117" t="str">
        <f t="shared" si="215"/>
        <v/>
      </c>
      <c r="V329" s="99"/>
      <c r="AC329" t="s">
        <v>993</v>
      </c>
      <c r="AE329" s="106"/>
      <c r="AF329" s="106"/>
      <c r="AG329" s="106"/>
      <c r="AH329" s="106"/>
      <c r="AI329" s="106"/>
      <c r="AJ329" s="106"/>
      <c r="AK329" s="106"/>
      <c r="AL329" s="106"/>
      <c r="AM329" s="106"/>
      <c r="AN329" s="106"/>
      <c r="AO329" s="106"/>
      <c r="AP329" s="106"/>
    </row>
    <row r="330" spans="8:42">
      <c r="H330" t="s">
        <v>1047</v>
      </c>
      <c r="P330" s="117" t="str">
        <f t="shared" ref="P330:Q330" si="216">IF(P248="","",P248)</f>
        <v/>
      </c>
      <c r="Q330" s="117" t="str">
        <f t="shared" si="216"/>
        <v/>
      </c>
      <c r="V330" s="99"/>
      <c r="AC330" t="s">
        <v>993</v>
      </c>
      <c r="AE330" s="106"/>
      <c r="AF330" s="106"/>
      <c r="AG330" s="106"/>
      <c r="AH330" s="106"/>
      <c r="AI330" s="106"/>
      <c r="AJ330" s="106"/>
      <c r="AK330" s="106"/>
      <c r="AL330" s="106"/>
      <c r="AM330" s="106"/>
      <c r="AN330" s="106"/>
      <c r="AO330" s="106"/>
      <c r="AP330" s="106"/>
    </row>
    <row r="331" spans="8:42">
      <c r="H331" t="s">
        <v>1047</v>
      </c>
      <c r="P331" s="117" t="str">
        <f t="shared" ref="P331:Q331" si="217">IF(P249="","",P249)</f>
        <v/>
      </c>
      <c r="Q331" s="117" t="str">
        <f t="shared" si="217"/>
        <v/>
      </c>
      <c r="V331" s="99"/>
      <c r="AC331" t="s">
        <v>993</v>
      </c>
      <c r="AE331" s="106"/>
      <c r="AF331" s="106"/>
      <c r="AG331" s="106"/>
      <c r="AH331" s="106"/>
      <c r="AI331" s="106"/>
      <c r="AJ331" s="106"/>
      <c r="AK331" s="106"/>
      <c r="AL331" s="106"/>
      <c r="AM331" s="106"/>
      <c r="AN331" s="106"/>
      <c r="AO331" s="106"/>
      <c r="AP331" s="106"/>
    </row>
    <row r="332" spans="8:42">
      <c r="H332" t="s">
        <v>1047</v>
      </c>
      <c r="P332" s="117" t="str">
        <f t="shared" ref="P332:Q332" si="218">IF(P250="","",P250)</f>
        <v/>
      </c>
      <c r="Q332" s="117" t="str">
        <f t="shared" si="218"/>
        <v/>
      </c>
      <c r="V332" s="99"/>
      <c r="AC332" t="s">
        <v>993</v>
      </c>
      <c r="AE332" s="106"/>
      <c r="AF332" s="106"/>
      <c r="AG332" s="106"/>
      <c r="AH332" s="106"/>
      <c r="AI332" s="106"/>
      <c r="AJ332" s="106"/>
      <c r="AK332" s="106"/>
      <c r="AL332" s="106"/>
      <c r="AM332" s="106"/>
      <c r="AN332" s="106"/>
      <c r="AO332" s="106"/>
      <c r="AP332" s="106"/>
    </row>
    <row r="333" spans="8:42">
      <c r="H333" t="s">
        <v>1047</v>
      </c>
      <c r="P333" s="117" t="str">
        <f t="shared" ref="P333:Q333" si="219">IF(P251="","",P251)</f>
        <v/>
      </c>
      <c r="Q333" s="117" t="str">
        <f t="shared" si="219"/>
        <v/>
      </c>
      <c r="V333" s="99"/>
      <c r="AC333" t="s">
        <v>993</v>
      </c>
      <c r="AE333" s="106"/>
      <c r="AF333" s="106"/>
      <c r="AG333" s="106"/>
      <c r="AH333" s="106"/>
      <c r="AI333" s="106"/>
      <c r="AJ333" s="106"/>
      <c r="AK333" s="106"/>
      <c r="AL333" s="106"/>
      <c r="AM333" s="106"/>
      <c r="AN333" s="106"/>
      <c r="AO333" s="106"/>
      <c r="AP333" s="106"/>
    </row>
    <row r="334" spans="8:42">
      <c r="H334" t="s">
        <v>1047</v>
      </c>
      <c r="P334" s="117" t="str">
        <f t="shared" ref="P334:Q334" si="220">IF(P252="","",P252)</f>
        <v/>
      </c>
      <c r="Q334" s="117" t="str">
        <f t="shared" si="220"/>
        <v/>
      </c>
      <c r="V334" s="99"/>
      <c r="AC334" t="s">
        <v>993</v>
      </c>
      <c r="AE334" s="106"/>
      <c r="AF334" s="106"/>
      <c r="AG334" s="106"/>
      <c r="AH334" s="106"/>
      <c r="AI334" s="106"/>
      <c r="AJ334" s="106"/>
      <c r="AK334" s="106"/>
      <c r="AL334" s="106"/>
      <c r="AM334" s="106"/>
      <c r="AN334" s="106"/>
      <c r="AO334" s="106"/>
      <c r="AP334" s="106"/>
    </row>
    <row r="335" spans="8:42">
      <c r="H335" t="s">
        <v>1047</v>
      </c>
      <c r="P335" s="117" t="str">
        <f t="shared" ref="P335:Q335" si="221">IF(P253="","",P253)</f>
        <v/>
      </c>
      <c r="Q335" s="117" t="str">
        <f t="shared" si="221"/>
        <v/>
      </c>
      <c r="V335" s="99"/>
      <c r="AC335" t="s">
        <v>993</v>
      </c>
      <c r="AE335" s="106"/>
      <c r="AF335" s="106"/>
      <c r="AG335" s="106"/>
      <c r="AH335" s="106"/>
      <c r="AI335" s="106"/>
      <c r="AJ335" s="106"/>
      <c r="AK335" s="106"/>
      <c r="AL335" s="106"/>
      <c r="AM335" s="106"/>
      <c r="AN335" s="106"/>
      <c r="AO335" s="106"/>
      <c r="AP335" s="106"/>
    </row>
    <row r="336" spans="8:42">
      <c r="H336" t="s">
        <v>1047</v>
      </c>
      <c r="P336" s="117" t="str">
        <f t="shared" ref="P336:Q336" si="222">IF(P254="","",P254)</f>
        <v/>
      </c>
      <c r="Q336" s="117" t="str">
        <f t="shared" si="222"/>
        <v/>
      </c>
      <c r="V336" s="99"/>
      <c r="AC336" t="s">
        <v>993</v>
      </c>
      <c r="AE336" s="106"/>
      <c r="AF336" s="106"/>
      <c r="AG336" s="106"/>
      <c r="AH336" s="106"/>
      <c r="AI336" s="106"/>
      <c r="AJ336" s="106"/>
      <c r="AK336" s="106"/>
      <c r="AL336" s="106"/>
      <c r="AM336" s="106"/>
      <c r="AN336" s="106"/>
      <c r="AO336" s="106"/>
      <c r="AP336" s="106"/>
    </row>
    <row r="337" spans="1:42">
      <c r="H337" t="s">
        <v>1047</v>
      </c>
      <c r="P337" s="117" t="str">
        <f t="shared" ref="P337:Q337" si="223">IF(P255="","",P255)</f>
        <v/>
      </c>
      <c r="Q337" s="117" t="str">
        <f t="shared" si="223"/>
        <v/>
      </c>
      <c r="V337" s="99"/>
      <c r="AC337" t="s">
        <v>993</v>
      </c>
      <c r="AE337" s="106"/>
      <c r="AF337" s="106"/>
      <c r="AG337" s="106"/>
      <c r="AH337" s="106"/>
      <c r="AI337" s="106"/>
      <c r="AJ337" s="106"/>
      <c r="AK337" s="106"/>
      <c r="AL337" s="106"/>
      <c r="AM337" s="106"/>
      <c r="AN337" s="106"/>
      <c r="AO337" s="106"/>
      <c r="AP337" s="106"/>
    </row>
    <row r="339" spans="1:42" s="73" customFormat="1" ht="18">
      <c r="A339" s="74" t="s">
        <v>76</v>
      </c>
      <c r="P339" s="113"/>
      <c r="Q339" s="113"/>
    </row>
  </sheetData>
  <mergeCells count="2">
    <mergeCell ref="AR6:AV6"/>
    <mergeCell ref="AE6:AP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rgb="FFFF9900"/>
  </sheetPr>
  <dimension ref="A1:AV123"/>
  <sheetViews>
    <sheetView zoomScale="80" zoomScaleNormal="80" workbookViewId="0">
      <pane ySplit="8" topLeftCell="A9" activePane="bottomLeft" state="frozen"/>
      <selection pane="bottomLeft"/>
    </sheetView>
  </sheetViews>
  <sheetFormatPr defaultRowHeight="14.25"/>
  <cols>
    <col min="1" max="7" width="1.73046875" customWidth="1"/>
    <col min="8" max="8" width="28.73046875" bestFit="1" customWidth="1"/>
    <col min="9" max="15" width="1.73046875" customWidth="1"/>
    <col min="16" max="16" width="26.59765625" style="114" bestFit="1" customWidth="1"/>
    <col min="17" max="17" width="12.86328125" style="114" customWidth="1"/>
    <col min="18" max="28" width="1.73046875" hidden="1" customWidth="1"/>
    <col min="29" max="29" width="9.1328125" customWidth="1"/>
    <col min="30" max="30" width="7.73046875" customWidth="1"/>
    <col min="31" max="48" width="19.86328125" customWidth="1"/>
  </cols>
  <sheetData>
    <row r="1" spans="1:48" s="73" customFormat="1" ht="23.25">
      <c r="A1" s="89" t="str">
        <f>'1.1 Cover'!A2</f>
        <v>Regulatory Reporting Pack</v>
      </c>
      <c r="P1" s="113"/>
      <c r="Q1" s="113"/>
    </row>
    <row r="2" spans="1:48" s="73" customFormat="1" ht="23.25">
      <c r="A2" s="89" t="str">
        <f>'1.1 Cover'!A3</f>
        <v>Price base - 2018/19</v>
      </c>
      <c r="P2" s="113"/>
      <c r="Q2" s="113"/>
    </row>
    <row r="3" spans="1:48" s="73" customFormat="1" ht="23.25">
      <c r="A3" s="89" t="str">
        <f>'1.1 Cover'!A4</f>
        <v>Regulatory Year: April 2021 - March 2022</v>
      </c>
      <c r="P3" s="113"/>
      <c r="Q3" s="113"/>
    </row>
    <row r="4" spans="1:48" s="73" customFormat="1" ht="23.25">
      <c r="A4" s="89" t="s">
        <v>1026</v>
      </c>
      <c r="P4" s="113"/>
      <c r="Q4" s="113"/>
    </row>
    <row r="6" spans="1:48">
      <c r="AD6" s="435"/>
    </row>
    <row r="7" spans="1:48" s="67" customFormat="1" ht="42.75">
      <c r="D7" s="87"/>
      <c r="E7" s="87"/>
      <c r="F7" s="87"/>
      <c r="G7" s="87"/>
      <c r="H7" s="87"/>
      <c r="I7" s="87"/>
      <c r="J7" s="87"/>
      <c r="K7" s="87"/>
      <c r="L7" s="87"/>
      <c r="M7" s="87"/>
      <c r="N7" s="87"/>
      <c r="O7" s="87"/>
      <c r="P7" s="119" t="s">
        <v>969</v>
      </c>
      <c r="Q7" s="119" t="s">
        <v>3086</v>
      </c>
      <c r="R7" s="86" t="s">
        <v>99</v>
      </c>
      <c r="S7" s="86" t="s">
        <v>98</v>
      </c>
      <c r="T7" s="86" t="s">
        <v>97</v>
      </c>
      <c r="U7" s="86" t="s">
        <v>96</v>
      </c>
      <c r="V7" s="86" t="s">
        <v>95</v>
      </c>
      <c r="W7" s="86" t="s">
        <v>94</v>
      </c>
      <c r="X7" s="86" t="s">
        <v>93</v>
      </c>
      <c r="Y7" s="86" t="s">
        <v>92</v>
      </c>
      <c r="Z7" s="86" t="s">
        <v>91</v>
      </c>
      <c r="AA7" s="86" t="s">
        <v>90</v>
      </c>
      <c r="AB7" s="86" t="s">
        <v>89</v>
      </c>
      <c r="AC7" s="67" t="s">
        <v>5</v>
      </c>
      <c r="AE7" s="119" t="s">
        <v>1036</v>
      </c>
      <c r="AF7" s="119" t="s">
        <v>1027</v>
      </c>
      <c r="AG7" s="119" t="s">
        <v>1028</v>
      </c>
      <c r="AH7" s="119" t="s">
        <v>1029</v>
      </c>
      <c r="AI7" s="119" t="s">
        <v>1030</v>
      </c>
      <c r="AJ7" s="119" t="s">
        <v>1031</v>
      </c>
      <c r="AK7" s="119" t="s">
        <v>1032</v>
      </c>
      <c r="AL7" s="119" t="s">
        <v>1033</v>
      </c>
      <c r="AM7" s="119" t="s">
        <v>2741</v>
      </c>
      <c r="AN7" s="119" t="s">
        <v>1035</v>
      </c>
      <c r="AO7" s="119" t="s">
        <v>1034</v>
      </c>
      <c r="AP7" s="119" t="s">
        <v>1039</v>
      </c>
      <c r="AQ7" s="119" t="s">
        <v>1040</v>
      </c>
      <c r="AR7" s="119" t="s">
        <v>1042</v>
      </c>
      <c r="AS7" s="119" t="s">
        <v>1043</v>
      </c>
      <c r="AT7" s="119" t="s">
        <v>1041</v>
      </c>
      <c r="AU7" s="119" t="s">
        <v>1044</v>
      </c>
      <c r="AV7" s="119" t="s">
        <v>1045</v>
      </c>
    </row>
    <row r="8" spans="1:48">
      <c r="P8" s="119"/>
      <c r="Q8" s="119"/>
      <c r="R8" s="119"/>
      <c r="S8" s="119"/>
      <c r="T8" s="119"/>
      <c r="U8" s="119"/>
      <c r="V8" s="119"/>
      <c r="W8" s="119"/>
      <c r="X8" s="119"/>
      <c r="Y8" s="119"/>
      <c r="Z8" s="119"/>
      <c r="AA8" s="119"/>
      <c r="AB8" s="119"/>
    </row>
    <row r="9" spans="1:48" s="1" customFormat="1" ht="17.649999999999999">
      <c r="B9" s="2"/>
      <c r="P9" s="115"/>
      <c r="Q9" s="115"/>
    </row>
    <row r="11" spans="1:48" s="1" customFormat="1">
      <c r="A11" s="66"/>
      <c r="B11" s="78" t="s">
        <v>1037</v>
      </c>
      <c r="P11" s="115"/>
      <c r="Q11" s="115"/>
    </row>
    <row r="13" spans="1:48">
      <c r="H13" t="s">
        <v>1037</v>
      </c>
      <c r="P13" s="117" t="str">
        <f>IF('7.5_Compressor_Util_Perf'!P13="","",'7.5_Compressor_Util_Perf'!P13)</f>
        <v/>
      </c>
      <c r="Q13" s="117" t="str">
        <f>IF('7.5_Compressor_Util_Perf'!Q13="","",'7.5_Compressor_Util_Perf'!Q13)</f>
        <v/>
      </c>
      <c r="V13" s="99"/>
      <c r="AC13" t="s">
        <v>202</v>
      </c>
      <c r="AE13" s="116"/>
      <c r="AF13" s="116"/>
      <c r="AG13" s="116"/>
      <c r="AH13" s="116"/>
      <c r="AI13" s="835" t="str">
        <f>IFERROR(AH13/AJ13,"")</f>
        <v/>
      </c>
      <c r="AJ13" s="116"/>
      <c r="AK13" s="116"/>
      <c r="AL13" s="116"/>
      <c r="AM13" s="116"/>
      <c r="AN13" s="116"/>
      <c r="AO13" s="116"/>
      <c r="AP13" s="116"/>
      <c r="AQ13" s="116"/>
      <c r="AR13" s="116"/>
      <c r="AS13" s="116"/>
      <c r="AT13" s="116"/>
      <c r="AU13" s="116"/>
      <c r="AV13" s="116"/>
    </row>
    <row r="14" spans="1:48">
      <c r="H14" t="s">
        <v>1037</v>
      </c>
      <c r="P14" s="117" t="str">
        <f>IF('7.5_Compressor_Util_Perf'!P14="","",'7.5_Compressor_Util_Perf'!P14)</f>
        <v/>
      </c>
      <c r="Q14" s="117" t="str">
        <f>IF('7.5_Compressor_Util_Perf'!Q14="","",'7.5_Compressor_Util_Perf'!Q14)</f>
        <v/>
      </c>
      <c r="V14" s="99"/>
      <c r="AC14" t="s">
        <v>202</v>
      </c>
      <c r="AE14" s="116"/>
      <c r="AF14" s="116"/>
      <c r="AG14" s="116"/>
      <c r="AH14" s="116"/>
      <c r="AI14" s="835" t="str">
        <f t="shared" ref="AI14:AI77" si="0">IFERROR(AH14/AJ14,"")</f>
        <v/>
      </c>
      <c r="AJ14" s="116"/>
      <c r="AK14" s="116"/>
      <c r="AL14" s="116"/>
      <c r="AM14" s="116"/>
      <c r="AN14" s="116"/>
      <c r="AO14" s="116"/>
      <c r="AP14" s="116"/>
      <c r="AQ14" s="116"/>
      <c r="AR14" s="116"/>
      <c r="AS14" s="116"/>
      <c r="AT14" s="116"/>
      <c r="AU14" s="116"/>
      <c r="AV14" s="116"/>
    </row>
    <row r="15" spans="1:48">
      <c r="H15" t="s">
        <v>1037</v>
      </c>
      <c r="P15" s="117" t="str">
        <f>IF('7.5_Compressor_Util_Perf'!P15="","",'7.5_Compressor_Util_Perf'!P15)</f>
        <v/>
      </c>
      <c r="Q15" s="117" t="str">
        <f>IF('7.5_Compressor_Util_Perf'!Q15="","",'7.5_Compressor_Util_Perf'!Q15)</f>
        <v/>
      </c>
      <c r="V15" s="99"/>
      <c r="AC15" t="s">
        <v>202</v>
      </c>
      <c r="AE15" s="116"/>
      <c r="AF15" s="116"/>
      <c r="AG15" s="116"/>
      <c r="AH15" s="116"/>
      <c r="AI15" s="835" t="str">
        <f t="shared" si="0"/>
        <v/>
      </c>
      <c r="AJ15" s="116"/>
      <c r="AK15" s="116"/>
      <c r="AL15" s="116"/>
      <c r="AM15" s="116"/>
      <c r="AN15" s="116"/>
      <c r="AO15" s="116"/>
      <c r="AP15" s="116"/>
      <c r="AQ15" s="116"/>
      <c r="AR15" s="116"/>
      <c r="AS15" s="116"/>
      <c r="AT15" s="116"/>
      <c r="AU15" s="116"/>
      <c r="AV15" s="116"/>
    </row>
    <row r="16" spans="1:48">
      <c r="H16" t="s">
        <v>1037</v>
      </c>
      <c r="P16" s="117" t="str">
        <f>IF('7.5_Compressor_Util_Perf'!P16="","",'7.5_Compressor_Util_Perf'!P16)</f>
        <v/>
      </c>
      <c r="Q16" s="117" t="str">
        <f>IF('7.5_Compressor_Util_Perf'!Q16="","",'7.5_Compressor_Util_Perf'!Q16)</f>
        <v/>
      </c>
      <c r="V16" s="99"/>
      <c r="AC16" t="s">
        <v>202</v>
      </c>
      <c r="AE16" s="116"/>
      <c r="AF16" s="116"/>
      <c r="AG16" s="116"/>
      <c r="AH16" s="116"/>
      <c r="AI16" s="835" t="str">
        <f t="shared" si="0"/>
        <v/>
      </c>
      <c r="AJ16" s="116"/>
      <c r="AK16" s="116"/>
      <c r="AL16" s="116"/>
      <c r="AM16" s="116"/>
      <c r="AN16" s="116"/>
      <c r="AO16" s="116"/>
      <c r="AP16" s="116"/>
      <c r="AQ16" s="116"/>
      <c r="AR16" s="116"/>
      <c r="AS16" s="116"/>
      <c r="AT16" s="116"/>
      <c r="AU16" s="116"/>
      <c r="AV16" s="116"/>
    </row>
    <row r="17" spans="8:48">
      <c r="H17" t="s">
        <v>1037</v>
      </c>
      <c r="P17" s="117" t="str">
        <f>IF('7.5_Compressor_Util_Perf'!P17="","",'7.5_Compressor_Util_Perf'!P17)</f>
        <v/>
      </c>
      <c r="Q17" s="117" t="str">
        <f>IF('7.5_Compressor_Util_Perf'!Q17="","",'7.5_Compressor_Util_Perf'!Q17)</f>
        <v/>
      </c>
      <c r="V17" s="99"/>
      <c r="AC17" t="s">
        <v>202</v>
      </c>
      <c r="AE17" s="116"/>
      <c r="AF17" s="116"/>
      <c r="AG17" s="116"/>
      <c r="AH17" s="116"/>
      <c r="AI17" s="835" t="str">
        <f t="shared" si="0"/>
        <v/>
      </c>
      <c r="AJ17" s="116"/>
      <c r="AK17" s="116"/>
      <c r="AL17" s="116"/>
      <c r="AM17" s="116"/>
      <c r="AN17" s="116"/>
      <c r="AO17" s="116"/>
      <c r="AP17" s="116"/>
      <c r="AQ17" s="116"/>
      <c r="AR17" s="116"/>
      <c r="AS17" s="116"/>
      <c r="AT17" s="116"/>
      <c r="AU17" s="116"/>
      <c r="AV17" s="116"/>
    </row>
    <row r="18" spans="8:48">
      <c r="H18" t="s">
        <v>1037</v>
      </c>
      <c r="P18" s="117" t="str">
        <f>IF('7.5_Compressor_Util_Perf'!P18="","",'7.5_Compressor_Util_Perf'!P18)</f>
        <v/>
      </c>
      <c r="Q18" s="117" t="str">
        <f>IF('7.5_Compressor_Util_Perf'!Q18="","",'7.5_Compressor_Util_Perf'!Q18)</f>
        <v/>
      </c>
      <c r="V18" s="99"/>
      <c r="AC18" t="s">
        <v>202</v>
      </c>
      <c r="AE18" s="116"/>
      <c r="AF18" s="116"/>
      <c r="AG18" s="116"/>
      <c r="AH18" s="116"/>
      <c r="AI18" s="835" t="str">
        <f t="shared" si="0"/>
        <v/>
      </c>
      <c r="AJ18" s="116"/>
      <c r="AK18" s="116"/>
      <c r="AL18" s="116"/>
      <c r="AM18" s="116"/>
      <c r="AN18" s="116"/>
      <c r="AO18" s="116"/>
      <c r="AP18" s="116"/>
      <c r="AQ18" s="116"/>
      <c r="AR18" s="116"/>
      <c r="AS18" s="116"/>
      <c r="AT18" s="116"/>
      <c r="AU18" s="116"/>
      <c r="AV18" s="116"/>
    </row>
    <row r="19" spans="8:48">
      <c r="H19" t="s">
        <v>1037</v>
      </c>
      <c r="P19" s="117" t="str">
        <f>IF('7.5_Compressor_Util_Perf'!P19="","",'7.5_Compressor_Util_Perf'!P19)</f>
        <v/>
      </c>
      <c r="Q19" s="117" t="str">
        <f>IF('7.5_Compressor_Util_Perf'!Q19="","",'7.5_Compressor_Util_Perf'!Q19)</f>
        <v/>
      </c>
      <c r="V19" s="99"/>
      <c r="AC19" t="s">
        <v>202</v>
      </c>
      <c r="AE19" s="116"/>
      <c r="AF19" s="116"/>
      <c r="AG19" s="116"/>
      <c r="AH19" s="116"/>
      <c r="AI19" s="835" t="str">
        <f t="shared" si="0"/>
        <v/>
      </c>
      <c r="AJ19" s="116"/>
      <c r="AK19" s="116"/>
      <c r="AL19" s="116"/>
      <c r="AM19" s="116"/>
      <c r="AN19" s="116"/>
      <c r="AO19" s="116"/>
      <c r="AP19" s="116"/>
      <c r="AQ19" s="116"/>
      <c r="AR19" s="116"/>
      <c r="AS19" s="116"/>
      <c r="AT19" s="116"/>
      <c r="AU19" s="116"/>
      <c r="AV19" s="116"/>
    </row>
    <row r="20" spans="8:48">
      <c r="H20" t="s">
        <v>1037</v>
      </c>
      <c r="P20" s="117" t="str">
        <f>IF('7.5_Compressor_Util_Perf'!P20="","",'7.5_Compressor_Util_Perf'!P20)</f>
        <v/>
      </c>
      <c r="Q20" s="117" t="str">
        <f>IF('7.5_Compressor_Util_Perf'!Q20="","",'7.5_Compressor_Util_Perf'!Q20)</f>
        <v/>
      </c>
      <c r="V20" s="99"/>
      <c r="AC20" t="s">
        <v>202</v>
      </c>
      <c r="AE20" s="116"/>
      <c r="AF20" s="116"/>
      <c r="AG20" s="116"/>
      <c r="AH20" s="116"/>
      <c r="AI20" s="835" t="str">
        <f t="shared" si="0"/>
        <v/>
      </c>
      <c r="AJ20" s="116"/>
      <c r="AK20" s="116"/>
      <c r="AL20" s="116"/>
      <c r="AM20" s="116"/>
      <c r="AN20" s="116"/>
      <c r="AO20" s="116"/>
      <c r="AP20" s="116"/>
      <c r="AQ20" s="116"/>
      <c r="AR20" s="116"/>
      <c r="AS20" s="116"/>
      <c r="AT20" s="116"/>
      <c r="AU20" s="116"/>
      <c r="AV20" s="116"/>
    </row>
    <row r="21" spans="8:48">
      <c r="H21" t="s">
        <v>1037</v>
      </c>
      <c r="P21" s="117" t="str">
        <f>IF('7.5_Compressor_Util_Perf'!P21="","",'7.5_Compressor_Util_Perf'!P21)</f>
        <v/>
      </c>
      <c r="Q21" s="117" t="str">
        <f>IF('7.5_Compressor_Util_Perf'!Q21="","",'7.5_Compressor_Util_Perf'!Q21)</f>
        <v/>
      </c>
      <c r="V21" s="99"/>
      <c r="AC21" t="s">
        <v>202</v>
      </c>
      <c r="AE21" s="116"/>
      <c r="AF21" s="116"/>
      <c r="AG21" s="116"/>
      <c r="AH21" s="116"/>
      <c r="AI21" s="835" t="str">
        <f t="shared" si="0"/>
        <v/>
      </c>
      <c r="AJ21" s="116"/>
      <c r="AK21" s="116"/>
      <c r="AL21" s="116"/>
      <c r="AM21" s="116"/>
      <c r="AN21" s="116"/>
      <c r="AO21" s="116"/>
      <c r="AP21" s="116"/>
      <c r="AQ21" s="116"/>
      <c r="AR21" s="116"/>
      <c r="AS21" s="116"/>
      <c r="AT21" s="116"/>
      <c r="AU21" s="116"/>
      <c r="AV21" s="116"/>
    </row>
    <row r="22" spans="8:48">
      <c r="H22" t="s">
        <v>1037</v>
      </c>
      <c r="P22" s="117" t="str">
        <f>IF('7.5_Compressor_Util_Perf'!P22="","",'7.5_Compressor_Util_Perf'!P22)</f>
        <v/>
      </c>
      <c r="Q22" s="117" t="str">
        <f>IF('7.5_Compressor_Util_Perf'!Q22="","",'7.5_Compressor_Util_Perf'!Q22)</f>
        <v/>
      </c>
      <c r="V22" s="99"/>
      <c r="AC22" t="s">
        <v>202</v>
      </c>
      <c r="AE22" s="116"/>
      <c r="AF22" s="116"/>
      <c r="AG22" s="116"/>
      <c r="AH22" s="116"/>
      <c r="AI22" s="835" t="str">
        <f t="shared" si="0"/>
        <v/>
      </c>
      <c r="AJ22" s="116"/>
      <c r="AK22" s="116"/>
      <c r="AL22" s="116"/>
      <c r="AM22" s="116"/>
      <c r="AN22" s="116"/>
      <c r="AO22" s="116"/>
      <c r="AP22" s="116"/>
      <c r="AQ22" s="116"/>
      <c r="AR22" s="116"/>
      <c r="AS22" s="116"/>
      <c r="AT22" s="116"/>
      <c r="AU22" s="116"/>
      <c r="AV22" s="116"/>
    </row>
    <row r="23" spans="8:48">
      <c r="H23" t="s">
        <v>1037</v>
      </c>
      <c r="P23" s="117" t="str">
        <f>IF('7.5_Compressor_Util_Perf'!P23="","",'7.5_Compressor_Util_Perf'!P23)</f>
        <v/>
      </c>
      <c r="Q23" s="117" t="str">
        <f>IF('7.5_Compressor_Util_Perf'!Q23="","",'7.5_Compressor_Util_Perf'!Q23)</f>
        <v/>
      </c>
      <c r="V23" s="99"/>
      <c r="AC23" t="s">
        <v>202</v>
      </c>
      <c r="AE23" s="116"/>
      <c r="AF23" s="116"/>
      <c r="AG23" s="116"/>
      <c r="AH23" s="116"/>
      <c r="AI23" s="835" t="str">
        <f t="shared" si="0"/>
        <v/>
      </c>
      <c r="AJ23" s="116"/>
      <c r="AK23" s="116"/>
      <c r="AL23" s="116"/>
      <c r="AM23" s="116"/>
      <c r="AN23" s="116"/>
      <c r="AO23" s="116"/>
      <c r="AP23" s="116"/>
      <c r="AQ23" s="116"/>
      <c r="AR23" s="116"/>
      <c r="AS23" s="116"/>
      <c r="AT23" s="116"/>
      <c r="AU23" s="116"/>
      <c r="AV23" s="116"/>
    </row>
    <row r="24" spans="8:48">
      <c r="H24" t="s">
        <v>1037</v>
      </c>
      <c r="P24" s="117" t="str">
        <f>IF('7.5_Compressor_Util_Perf'!P24="","",'7.5_Compressor_Util_Perf'!P24)</f>
        <v/>
      </c>
      <c r="Q24" s="117" t="str">
        <f>IF('7.5_Compressor_Util_Perf'!Q24="","",'7.5_Compressor_Util_Perf'!Q24)</f>
        <v/>
      </c>
      <c r="V24" s="99"/>
      <c r="AC24" t="s">
        <v>202</v>
      </c>
      <c r="AE24" s="116"/>
      <c r="AF24" s="116"/>
      <c r="AG24" s="116"/>
      <c r="AH24" s="116"/>
      <c r="AI24" s="835" t="str">
        <f t="shared" si="0"/>
        <v/>
      </c>
      <c r="AJ24" s="116"/>
      <c r="AK24" s="116"/>
      <c r="AL24" s="116"/>
      <c r="AM24" s="116"/>
      <c r="AN24" s="116"/>
      <c r="AO24" s="116"/>
      <c r="AP24" s="116"/>
      <c r="AQ24" s="116"/>
      <c r="AR24" s="116"/>
      <c r="AS24" s="116"/>
      <c r="AT24" s="116"/>
      <c r="AU24" s="116"/>
      <c r="AV24" s="116"/>
    </row>
    <row r="25" spans="8:48">
      <c r="H25" t="s">
        <v>1037</v>
      </c>
      <c r="P25" s="117" t="str">
        <f>IF('7.5_Compressor_Util_Perf'!P25="","",'7.5_Compressor_Util_Perf'!P25)</f>
        <v/>
      </c>
      <c r="Q25" s="117" t="str">
        <f>IF('7.5_Compressor_Util_Perf'!Q25="","",'7.5_Compressor_Util_Perf'!Q25)</f>
        <v/>
      </c>
      <c r="V25" s="99"/>
      <c r="AC25" t="s">
        <v>202</v>
      </c>
      <c r="AE25" s="116"/>
      <c r="AF25" s="116"/>
      <c r="AG25" s="116"/>
      <c r="AH25" s="116"/>
      <c r="AI25" s="835" t="str">
        <f t="shared" si="0"/>
        <v/>
      </c>
      <c r="AJ25" s="116"/>
      <c r="AK25" s="116"/>
      <c r="AL25" s="116"/>
      <c r="AM25" s="116"/>
      <c r="AN25" s="116"/>
      <c r="AO25" s="116"/>
      <c r="AP25" s="116"/>
      <c r="AQ25" s="116"/>
      <c r="AR25" s="116"/>
      <c r="AS25" s="116"/>
      <c r="AT25" s="116"/>
      <c r="AU25" s="116"/>
      <c r="AV25" s="116"/>
    </row>
    <row r="26" spans="8:48">
      <c r="H26" t="s">
        <v>1037</v>
      </c>
      <c r="P26" s="117" t="str">
        <f>IF('7.5_Compressor_Util_Perf'!P26="","",'7.5_Compressor_Util_Perf'!P26)</f>
        <v/>
      </c>
      <c r="Q26" s="117" t="str">
        <f>IF('7.5_Compressor_Util_Perf'!Q26="","",'7.5_Compressor_Util_Perf'!Q26)</f>
        <v/>
      </c>
      <c r="V26" s="99"/>
      <c r="AC26" t="s">
        <v>202</v>
      </c>
      <c r="AE26" s="116"/>
      <c r="AF26" s="116"/>
      <c r="AG26" s="116"/>
      <c r="AH26" s="116"/>
      <c r="AI26" s="835" t="str">
        <f t="shared" si="0"/>
        <v/>
      </c>
      <c r="AJ26" s="116"/>
      <c r="AK26" s="116"/>
      <c r="AL26" s="116"/>
      <c r="AM26" s="116"/>
      <c r="AN26" s="116"/>
      <c r="AO26" s="116"/>
      <c r="AP26" s="116"/>
      <c r="AQ26" s="116"/>
      <c r="AR26" s="116"/>
      <c r="AS26" s="116"/>
      <c r="AT26" s="116"/>
      <c r="AU26" s="116"/>
      <c r="AV26" s="116"/>
    </row>
    <row r="27" spans="8:48">
      <c r="H27" t="s">
        <v>1037</v>
      </c>
      <c r="P27" s="117" t="str">
        <f>IF('7.5_Compressor_Util_Perf'!P27="","",'7.5_Compressor_Util_Perf'!P27)</f>
        <v/>
      </c>
      <c r="Q27" s="117" t="str">
        <f>IF('7.5_Compressor_Util_Perf'!Q27="","",'7.5_Compressor_Util_Perf'!Q27)</f>
        <v/>
      </c>
      <c r="V27" s="99"/>
      <c r="AC27" t="s">
        <v>202</v>
      </c>
      <c r="AE27" s="116"/>
      <c r="AF27" s="116"/>
      <c r="AG27" s="116"/>
      <c r="AH27" s="116"/>
      <c r="AI27" s="835" t="str">
        <f t="shared" si="0"/>
        <v/>
      </c>
      <c r="AJ27" s="116"/>
      <c r="AK27" s="116"/>
      <c r="AL27" s="116"/>
      <c r="AM27" s="116"/>
      <c r="AN27" s="116"/>
      <c r="AO27" s="116"/>
      <c r="AP27" s="116"/>
      <c r="AQ27" s="116"/>
      <c r="AR27" s="116"/>
      <c r="AS27" s="116"/>
      <c r="AT27" s="116"/>
      <c r="AU27" s="116"/>
      <c r="AV27" s="116"/>
    </row>
    <row r="28" spans="8:48">
      <c r="H28" t="s">
        <v>1037</v>
      </c>
      <c r="P28" s="117" t="str">
        <f>IF('7.5_Compressor_Util_Perf'!P28="","",'7.5_Compressor_Util_Perf'!P28)</f>
        <v/>
      </c>
      <c r="Q28" s="117" t="str">
        <f>IF('7.5_Compressor_Util_Perf'!Q28="","",'7.5_Compressor_Util_Perf'!Q28)</f>
        <v/>
      </c>
      <c r="V28" s="99"/>
      <c r="AC28" t="s">
        <v>202</v>
      </c>
      <c r="AE28" s="116"/>
      <c r="AF28" s="116"/>
      <c r="AG28" s="116"/>
      <c r="AH28" s="116"/>
      <c r="AI28" s="835" t="str">
        <f t="shared" si="0"/>
        <v/>
      </c>
      <c r="AJ28" s="116"/>
      <c r="AK28" s="116"/>
      <c r="AL28" s="116"/>
      <c r="AM28" s="116"/>
      <c r="AN28" s="116"/>
      <c r="AO28" s="116"/>
      <c r="AP28" s="116"/>
      <c r="AQ28" s="116"/>
      <c r="AR28" s="116"/>
      <c r="AS28" s="116"/>
      <c r="AT28" s="116"/>
      <c r="AU28" s="116"/>
      <c r="AV28" s="116"/>
    </row>
    <row r="29" spans="8:48">
      <c r="H29" t="s">
        <v>1037</v>
      </c>
      <c r="P29" s="117" t="str">
        <f>IF('7.5_Compressor_Util_Perf'!P29="","",'7.5_Compressor_Util_Perf'!P29)</f>
        <v/>
      </c>
      <c r="Q29" s="117" t="str">
        <f>IF('7.5_Compressor_Util_Perf'!Q29="","",'7.5_Compressor_Util_Perf'!Q29)</f>
        <v/>
      </c>
      <c r="V29" s="99"/>
      <c r="AC29" t="s">
        <v>202</v>
      </c>
      <c r="AE29" s="116"/>
      <c r="AF29" s="116"/>
      <c r="AG29" s="116"/>
      <c r="AH29" s="116"/>
      <c r="AI29" s="835" t="str">
        <f t="shared" si="0"/>
        <v/>
      </c>
      <c r="AJ29" s="116"/>
      <c r="AK29" s="116"/>
      <c r="AL29" s="116"/>
      <c r="AM29" s="116"/>
      <c r="AN29" s="116"/>
      <c r="AO29" s="116"/>
      <c r="AP29" s="116"/>
      <c r="AQ29" s="116"/>
      <c r="AR29" s="116"/>
      <c r="AS29" s="116"/>
      <c r="AT29" s="116"/>
      <c r="AU29" s="116"/>
      <c r="AV29" s="116"/>
    </row>
    <row r="30" spans="8:48">
      <c r="H30" t="s">
        <v>1037</v>
      </c>
      <c r="P30" s="117" t="str">
        <f>IF('7.5_Compressor_Util_Perf'!P30="","",'7.5_Compressor_Util_Perf'!P30)</f>
        <v/>
      </c>
      <c r="Q30" s="117" t="str">
        <f>IF('7.5_Compressor_Util_Perf'!Q30="","",'7.5_Compressor_Util_Perf'!Q30)</f>
        <v/>
      </c>
      <c r="V30" s="99"/>
      <c r="AC30" t="s">
        <v>202</v>
      </c>
      <c r="AE30" s="116"/>
      <c r="AF30" s="116"/>
      <c r="AG30" s="116"/>
      <c r="AH30" s="116"/>
      <c r="AI30" s="835" t="str">
        <f t="shared" si="0"/>
        <v/>
      </c>
      <c r="AJ30" s="116"/>
      <c r="AK30" s="116"/>
      <c r="AL30" s="116"/>
      <c r="AM30" s="116"/>
      <c r="AN30" s="116"/>
      <c r="AO30" s="116"/>
      <c r="AP30" s="116"/>
      <c r="AQ30" s="116"/>
      <c r="AR30" s="116"/>
      <c r="AS30" s="116"/>
      <c r="AT30" s="116"/>
      <c r="AU30" s="116"/>
      <c r="AV30" s="116"/>
    </row>
    <row r="31" spans="8:48">
      <c r="H31" t="s">
        <v>1037</v>
      </c>
      <c r="P31" s="117" t="str">
        <f>IF('7.5_Compressor_Util_Perf'!P31="","",'7.5_Compressor_Util_Perf'!P31)</f>
        <v/>
      </c>
      <c r="Q31" s="117" t="str">
        <f>IF('7.5_Compressor_Util_Perf'!Q31="","",'7.5_Compressor_Util_Perf'!Q31)</f>
        <v/>
      </c>
      <c r="V31" s="99"/>
      <c r="AC31" t="s">
        <v>202</v>
      </c>
      <c r="AE31" s="116"/>
      <c r="AF31" s="116"/>
      <c r="AG31" s="116"/>
      <c r="AH31" s="116"/>
      <c r="AI31" s="835" t="str">
        <f t="shared" si="0"/>
        <v/>
      </c>
      <c r="AJ31" s="116"/>
      <c r="AK31" s="116"/>
      <c r="AL31" s="116"/>
      <c r="AM31" s="116"/>
      <c r="AN31" s="116"/>
      <c r="AO31" s="116"/>
      <c r="AP31" s="116"/>
      <c r="AQ31" s="116"/>
      <c r="AR31" s="116"/>
      <c r="AS31" s="116"/>
      <c r="AT31" s="116"/>
      <c r="AU31" s="116"/>
      <c r="AV31" s="116"/>
    </row>
    <row r="32" spans="8:48">
      <c r="H32" t="s">
        <v>1037</v>
      </c>
      <c r="P32" s="117" t="str">
        <f>IF('7.5_Compressor_Util_Perf'!P32="","",'7.5_Compressor_Util_Perf'!P32)</f>
        <v/>
      </c>
      <c r="Q32" s="117" t="str">
        <f>IF('7.5_Compressor_Util_Perf'!Q32="","",'7.5_Compressor_Util_Perf'!Q32)</f>
        <v/>
      </c>
      <c r="V32" s="99"/>
      <c r="AC32" t="s">
        <v>202</v>
      </c>
      <c r="AE32" s="116"/>
      <c r="AF32" s="116"/>
      <c r="AG32" s="116"/>
      <c r="AH32" s="116"/>
      <c r="AI32" s="835" t="str">
        <f t="shared" si="0"/>
        <v/>
      </c>
      <c r="AJ32" s="116"/>
      <c r="AK32" s="116"/>
      <c r="AL32" s="116"/>
      <c r="AM32" s="116"/>
      <c r="AN32" s="116"/>
      <c r="AO32" s="116"/>
      <c r="AP32" s="116"/>
      <c r="AQ32" s="116"/>
      <c r="AR32" s="116"/>
      <c r="AS32" s="116"/>
      <c r="AT32" s="116"/>
      <c r="AU32" s="116"/>
      <c r="AV32" s="116"/>
    </row>
    <row r="33" spans="8:48">
      <c r="H33" t="s">
        <v>1037</v>
      </c>
      <c r="P33" s="117" t="str">
        <f>IF('7.5_Compressor_Util_Perf'!P33="","",'7.5_Compressor_Util_Perf'!P33)</f>
        <v/>
      </c>
      <c r="Q33" s="117" t="str">
        <f>IF('7.5_Compressor_Util_Perf'!Q33="","",'7.5_Compressor_Util_Perf'!Q33)</f>
        <v/>
      </c>
      <c r="V33" s="99"/>
      <c r="AC33" t="s">
        <v>202</v>
      </c>
      <c r="AE33" s="116"/>
      <c r="AF33" s="116"/>
      <c r="AG33" s="116"/>
      <c r="AH33" s="116"/>
      <c r="AI33" s="835" t="str">
        <f t="shared" si="0"/>
        <v/>
      </c>
      <c r="AJ33" s="116"/>
      <c r="AK33" s="116"/>
      <c r="AL33" s="116"/>
      <c r="AM33" s="116"/>
      <c r="AN33" s="116"/>
      <c r="AO33" s="116"/>
      <c r="AP33" s="116"/>
      <c r="AQ33" s="116"/>
      <c r="AR33" s="116"/>
      <c r="AS33" s="116"/>
      <c r="AT33" s="116"/>
      <c r="AU33" s="116"/>
      <c r="AV33" s="116"/>
    </row>
    <row r="34" spans="8:48">
      <c r="H34" t="s">
        <v>1037</v>
      </c>
      <c r="P34" s="117" t="str">
        <f>IF('7.5_Compressor_Util_Perf'!P34="","",'7.5_Compressor_Util_Perf'!P34)</f>
        <v/>
      </c>
      <c r="Q34" s="117" t="str">
        <f>IF('7.5_Compressor_Util_Perf'!Q34="","",'7.5_Compressor_Util_Perf'!Q34)</f>
        <v/>
      </c>
      <c r="V34" s="99"/>
      <c r="AC34" t="s">
        <v>202</v>
      </c>
      <c r="AE34" s="116"/>
      <c r="AF34" s="116"/>
      <c r="AG34" s="116"/>
      <c r="AH34" s="116"/>
      <c r="AI34" s="835" t="str">
        <f t="shared" si="0"/>
        <v/>
      </c>
      <c r="AJ34" s="116"/>
      <c r="AK34" s="116"/>
      <c r="AL34" s="116"/>
      <c r="AM34" s="116"/>
      <c r="AN34" s="116"/>
      <c r="AO34" s="116"/>
      <c r="AP34" s="116"/>
      <c r="AQ34" s="116"/>
      <c r="AR34" s="116"/>
      <c r="AS34" s="116"/>
      <c r="AT34" s="116"/>
      <c r="AU34" s="116"/>
      <c r="AV34" s="116"/>
    </row>
    <row r="35" spans="8:48">
      <c r="H35" t="s">
        <v>1037</v>
      </c>
      <c r="P35" s="117" t="str">
        <f>IF('7.5_Compressor_Util_Perf'!P35="","",'7.5_Compressor_Util_Perf'!P35)</f>
        <v/>
      </c>
      <c r="Q35" s="117" t="str">
        <f>IF('7.5_Compressor_Util_Perf'!Q35="","",'7.5_Compressor_Util_Perf'!Q35)</f>
        <v/>
      </c>
      <c r="V35" s="99"/>
      <c r="AC35" t="s">
        <v>202</v>
      </c>
      <c r="AE35" s="116"/>
      <c r="AF35" s="116"/>
      <c r="AG35" s="116"/>
      <c r="AH35" s="116"/>
      <c r="AI35" s="835" t="str">
        <f t="shared" si="0"/>
        <v/>
      </c>
      <c r="AJ35" s="116"/>
      <c r="AK35" s="116"/>
      <c r="AL35" s="116"/>
      <c r="AM35" s="116"/>
      <c r="AN35" s="116"/>
      <c r="AO35" s="116"/>
      <c r="AP35" s="116"/>
      <c r="AQ35" s="116"/>
      <c r="AR35" s="116"/>
      <c r="AS35" s="116"/>
      <c r="AT35" s="116"/>
      <c r="AU35" s="116"/>
      <c r="AV35" s="116"/>
    </row>
    <row r="36" spans="8:48">
      <c r="H36" t="s">
        <v>1037</v>
      </c>
      <c r="P36" s="117" t="str">
        <f>IF('7.5_Compressor_Util_Perf'!P36="","",'7.5_Compressor_Util_Perf'!P36)</f>
        <v/>
      </c>
      <c r="Q36" s="117" t="str">
        <f>IF('7.5_Compressor_Util_Perf'!Q36="","",'7.5_Compressor_Util_Perf'!Q36)</f>
        <v/>
      </c>
      <c r="V36" s="99"/>
      <c r="AC36" t="s">
        <v>202</v>
      </c>
      <c r="AE36" s="116"/>
      <c r="AF36" s="116"/>
      <c r="AG36" s="116"/>
      <c r="AH36" s="116"/>
      <c r="AI36" s="835" t="str">
        <f t="shared" si="0"/>
        <v/>
      </c>
      <c r="AJ36" s="116"/>
      <c r="AK36" s="116"/>
      <c r="AL36" s="116"/>
      <c r="AM36" s="116"/>
      <c r="AN36" s="116"/>
      <c r="AO36" s="116"/>
      <c r="AP36" s="116"/>
      <c r="AQ36" s="116"/>
      <c r="AR36" s="116"/>
      <c r="AS36" s="116"/>
      <c r="AT36" s="116"/>
      <c r="AU36" s="116"/>
      <c r="AV36" s="116"/>
    </row>
    <row r="37" spans="8:48">
      <c r="H37" t="s">
        <v>1037</v>
      </c>
      <c r="P37" s="117" t="str">
        <f>IF('7.5_Compressor_Util_Perf'!P37="","",'7.5_Compressor_Util_Perf'!P37)</f>
        <v/>
      </c>
      <c r="Q37" s="117" t="str">
        <f>IF('7.5_Compressor_Util_Perf'!Q37="","",'7.5_Compressor_Util_Perf'!Q37)</f>
        <v/>
      </c>
      <c r="V37" s="99"/>
      <c r="AC37" t="s">
        <v>202</v>
      </c>
      <c r="AE37" s="116"/>
      <c r="AF37" s="116"/>
      <c r="AG37" s="116"/>
      <c r="AH37" s="116"/>
      <c r="AI37" s="835" t="str">
        <f t="shared" si="0"/>
        <v/>
      </c>
      <c r="AJ37" s="116"/>
      <c r="AK37" s="116"/>
      <c r="AL37" s="116"/>
      <c r="AM37" s="116"/>
      <c r="AN37" s="116"/>
      <c r="AO37" s="116"/>
      <c r="AP37" s="116"/>
      <c r="AQ37" s="116"/>
      <c r="AR37" s="116"/>
      <c r="AS37" s="116"/>
      <c r="AT37" s="116"/>
      <c r="AU37" s="116"/>
      <c r="AV37" s="116"/>
    </row>
    <row r="38" spans="8:48">
      <c r="H38" t="s">
        <v>1037</v>
      </c>
      <c r="P38" s="117" t="str">
        <f>IF('7.5_Compressor_Util_Perf'!P38="","",'7.5_Compressor_Util_Perf'!P38)</f>
        <v/>
      </c>
      <c r="Q38" s="117" t="str">
        <f>IF('7.5_Compressor_Util_Perf'!Q38="","",'7.5_Compressor_Util_Perf'!Q38)</f>
        <v/>
      </c>
      <c r="V38" s="99"/>
      <c r="AC38" t="s">
        <v>202</v>
      </c>
      <c r="AE38" s="116"/>
      <c r="AF38" s="116"/>
      <c r="AG38" s="116"/>
      <c r="AH38" s="116"/>
      <c r="AI38" s="835" t="str">
        <f t="shared" si="0"/>
        <v/>
      </c>
      <c r="AJ38" s="116"/>
      <c r="AK38" s="116"/>
      <c r="AL38" s="116"/>
      <c r="AM38" s="116"/>
      <c r="AN38" s="116"/>
      <c r="AO38" s="116"/>
      <c r="AP38" s="116"/>
      <c r="AQ38" s="116"/>
      <c r="AR38" s="116"/>
      <c r="AS38" s="116"/>
      <c r="AT38" s="116"/>
      <c r="AU38" s="116"/>
      <c r="AV38" s="116"/>
    </row>
    <row r="39" spans="8:48">
      <c r="H39" t="s">
        <v>1037</v>
      </c>
      <c r="P39" s="117" t="str">
        <f>IF('7.5_Compressor_Util_Perf'!P39="","",'7.5_Compressor_Util_Perf'!P39)</f>
        <v/>
      </c>
      <c r="Q39" s="117" t="str">
        <f>IF('7.5_Compressor_Util_Perf'!Q39="","",'7.5_Compressor_Util_Perf'!Q39)</f>
        <v/>
      </c>
      <c r="V39" s="99"/>
      <c r="AC39" t="s">
        <v>202</v>
      </c>
      <c r="AE39" s="116"/>
      <c r="AF39" s="116"/>
      <c r="AG39" s="116"/>
      <c r="AH39" s="116"/>
      <c r="AI39" s="835" t="str">
        <f t="shared" si="0"/>
        <v/>
      </c>
      <c r="AJ39" s="116"/>
      <c r="AK39" s="116"/>
      <c r="AL39" s="116"/>
      <c r="AM39" s="116"/>
      <c r="AN39" s="116"/>
      <c r="AO39" s="116"/>
      <c r="AP39" s="116"/>
      <c r="AQ39" s="116"/>
      <c r="AR39" s="116"/>
      <c r="AS39" s="116"/>
      <c r="AT39" s="116"/>
      <c r="AU39" s="116"/>
      <c r="AV39" s="116"/>
    </row>
    <row r="40" spans="8:48">
      <c r="H40" t="s">
        <v>1037</v>
      </c>
      <c r="P40" s="117" t="str">
        <f>IF('7.5_Compressor_Util_Perf'!P40="","",'7.5_Compressor_Util_Perf'!P40)</f>
        <v/>
      </c>
      <c r="Q40" s="117" t="str">
        <f>IF('7.5_Compressor_Util_Perf'!Q40="","",'7.5_Compressor_Util_Perf'!Q40)</f>
        <v/>
      </c>
      <c r="V40" s="99"/>
      <c r="AC40" t="s">
        <v>202</v>
      </c>
      <c r="AE40" s="116"/>
      <c r="AF40" s="116"/>
      <c r="AG40" s="116"/>
      <c r="AH40" s="116"/>
      <c r="AI40" s="835" t="str">
        <f t="shared" si="0"/>
        <v/>
      </c>
      <c r="AJ40" s="116"/>
      <c r="AK40" s="116"/>
      <c r="AL40" s="116"/>
      <c r="AM40" s="116"/>
      <c r="AN40" s="116"/>
      <c r="AO40" s="116"/>
      <c r="AP40" s="116"/>
      <c r="AQ40" s="116"/>
      <c r="AR40" s="116"/>
      <c r="AS40" s="116"/>
      <c r="AT40" s="116"/>
      <c r="AU40" s="116"/>
      <c r="AV40" s="116"/>
    </row>
    <row r="41" spans="8:48">
      <c r="H41" t="s">
        <v>1037</v>
      </c>
      <c r="P41" s="117" t="str">
        <f>IF('7.5_Compressor_Util_Perf'!P41="","",'7.5_Compressor_Util_Perf'!P41)</f>
        <v/>
      </c>
      <c r="Q41" s="117" t="str">
        <f>IF('7.5_Compressor_Util_Perf'!Q41="","",'7.5_Compressor_Util_Perf'!Q41)</f>
        <v/>
      </c>
      <c r="V41" s="99"/>
      <c r="AC41" t="s">
        <v>202</v>
      </c>
      <c r="AE41" s="116"/>
      <c r="AF41" s="116"/>
      <c r="AG41" s="116"/>
      <c r="AH41" s="116"/>
      <c r="AI41" s="835" t="str">
        <f t="shared" si="0"/>
        <v/>
      </c>
      <c r="AJ41" s="116"/>
      <c r="AK41" s="116"/>
      <c r="AL41" s="116"/>
      <c r="AM41" s="116"/>
      <c r="AN41" s="116"/>
      <c r="AO41" s="116"/>
      <c r="AP41" s="116"/>
      <c r="AQ41" s="116"/>
      <c r="AR41" s="116"/>
      <c r="AS41" s="116"/>
      <c r="AT41" s="116"/>
      <c r="AU41" s="116"/>
      <c r="AV41" s="116"/>
    </row>
    <row r="42" spans="8:48">
      <c r="H42" t="s">
        <v>1037</v>
      </c>
      <c r="P42" s="117" t="str">
        <f>IF('7.5_Compressor_Util_Perf'!P42="","",'7.5_Compressor_Util_Perf'!P42)</f>
        <v/>
      </c>
      <c r="Q42" s="117" t="str">
        <f>IF('7.5_Compressor_Util_Perf'!Q42="","",'7.5_Compressor_Util_Perf'!Q42)</f>
        <v/>
      </c>
      <c r="V42" s="99"/>
      <c r="AC42" t="s">
        <v>202</v>
      </c>
      <c r="AE42" s="116"/>
      <c r="AF42" s="116"/>
      <c r="AG42" s="116"/>
      <c r="AH42" s="116"/>
      <c r="AI42" s="835" t="str">
        <f t="shared" si="0"/>
        <v/>
      </c>
      <c r="AJ42" s="116"/>
      <c r="AK42" s="116"/>
      <c r="AL42" s="116"/>
      <c r="AM42" s="116"/>
      <c r="AN42" s="116"/>
      <c r="AO42" s="116"/>
      <c r="AP42" s="116"/>
      <c r="AQ42" s="116"/>
      <c r="AR42" s="116"/>
      <c r="AS42" s="116"/>
      <c r="AT42" s="116"/>
      <c r="AU42" s="116"/>
      <c r="AV42" s="116"/>
    </row>
    <row r="43" spans="8:48">
      <c r="H43" t="s">
        <v>1037</v>
      </c>
      <c r="P43" s="117" t="str">
        <f>IF('7.5_Compressor_Util_Perf'!P43="","",'7.5_Compressor_Util_Perf'!P43)</f>
        <v/>
      </c>
      <c r="Q43" s="117" t="str">
        <f>IF('7.5_Compressor_Util_Perf'!Q43="","",'7.5_Compressor_Util_Perf'!Q43)</f>
        <v/>
      </c>
      <c r="V43" s="99"/>
      <c r="AC43" t="s">
        <v>202</v>
      </c>
      <c r="AE43" s="116"/>
      <c r="AF43" s="116"/>
      <c r="AG43" s="116"/>
      <c r="AH43" s="116"/>
      <c r="AI43" s="835" t="str">
        <f t="shared" si="0"/>
        <v/>
      </c>
      <c r="AJ43" s="116"/>
      <c r="AK43" s="116"/>
      <c r="AL43" s="116"/>
      <c r="AM43" s="116"/>
      <c r="AN43" s="116"/>
      <c r="AO43" s="116"/>
      <c r="AP43" s="116"/>
      <c r="AQ43" s="116"/>
      <c r="AR43" s="116"/>
      <c r="AS43" s="116"/>
      <c r="AT43" s="116"/>
      <c r="AU43" s="116"/>
      <c r="AV43" s="116"/>
    </row>
    <row r="44" spans="8:48">
      <c r="H44" t="s">
        <v>1037</v>
      </c>
      <c r="P44" s="117" t="str">
        <f>IF('7.5_Compressor_Util_Perf'!P44="","",'7.5_Compressor_Util_Perf'!P44)</f>
        <v/>
      </c>
      <c r="Q44" s="117" t="str">
        <f>IF('7.5_Compressor_Util_Perf'!Q44="","",'7.5_Compressor_Util_Perf'!Q44)</f>
        <v/>
      </c>
      <c r="V44" s="99"/>
      <c r="AC44" t="s">
        <v>202</v>
      </c>
      <c r="AE44" s="116"/>
      <c r="AF44" s="116"/>
      <c r="AG44" s="116"/>
      <c r="AH44" s="116"/>
      <c r="AI44" s="835" t="str">
        <f t="shared" si="0"/>
        <v/>
      </c>
      <c r="AJ44" s="116"/>
      <c r="AK44" s="116"/>
      <c r="AL44" s="116"/>
      <c r="AM44" s="116"/>
      <c r="AN44" s="116"/>
      <c r="AO44" s="116"/>
      <c r="AP44" s="116"/>
      <c r="AQ44" s="116"/>
      <c r="AR44" s="116"/>
      <c r="AS44" s="116"/>
      <c r="AT44" s="116"/>
      <c r="AU44" s="116"/>
      <c r="AV44" s="116"/>
    </row>
    <row r="45" spans="8:48">
      <c r="H45" t="s">
        <v>1037</v>
      </c>
      <c r="P45" s="117" t="str">
        <f>IF('7.5_Compressor_Util_Perf'!P45="","",'7.5_Compressor_Util_Perf'!P45)</f>
        <v/>
      </c>
      <c r="Q45" s="117" t="str">
        <f>IF('7.5_Compressor_Util_Perf'!Q45="","",'7.5_Compressor_Util_Perf'!Q45)</f>
        <v/>
      </c>
      <c r="V45" s="99"/>
      <c r="AC45" t="s">
        <v>202</v>
      </c>
      <c r="AE45" s="116"/>
      <c r="AF45" s="116"/>
      <c r="AG45" s="116"/>
      <c r="AH45" s="116"/>
      <c r="AI45" s="835" t="str">
        <f t="shared" si="0"/>
        <v/>
      </c>
      <c r="AJ45" s="116"/>
      <c r="AK45" s="116"/>
      <c r="AL45" s="116"/>
      <c r="AM45" s="116"/>
      <c r="AN45" s="116"/>
      <c r="AO45" s="116"/>
      <c r="AP45" s="116"/>
      <c r="AQ45" s="116"/>
      <c r="AR45" s="116"/>
      <c r="AS45" s="116"/>
      <c r="AT45" s="116"/>
      <c r="AU45" s="116"/>
      <c r="AV45" s="116"/>
    </row>
    <row r="46" spans="8:48">
      <c r="H46" t="s">
        <v>1037</v>
      </c>
      <c r="P46" s="117" t="str">
        <f>IF('7.5_Compressor_Util_Perf'!P46="","",'7.5_Compressor_Util_Perf'!P46)</f>
        <v/>
      </c>
      <c r="Q46" s="117" t="str">
        <f>IF('7.5_Compressor_Util_Perf'!Q46="","",'7.5_Compressor_Util_Perf'!Q46)</f>
        <v/>
      </c>
      <c r="V46" s="99"/>
      <c r="AC46" t="s">
        <v>202</v>
      </c>
      <c r="AE46" s="116"/>
      <c r="AF46" s="116"/>
      <c r="AG46" s="116"/>
      <c r="AH46" s="116"/>
      <c r="AI46" s="835" t="str">
        <f t="shared" si="0"/>
        <v/>
      </c>
      <c r="AJ46" s="116"/>
      <c r="AK46" s="116"/>
      <c r="AL46" s="116"/>
      <c r="AM46" s="116"/>
      <c r="AN46" s="116"/>
      <c r="AO46" s="116"/>
      <c r="AP46" s="116"/>
      <c r="AQ46" s="116"/>
      <c r="AR46" s="116"/>
      <c r="AS46" s="116"/>
      <c r="AT46" s="116"/>
      <c r="AU46" s="116"/>
      <c r="AV46" s="116"/>
    </row>
    <row r="47" spans="8:48">
      <c r="H47" t="s">
        <v>1037</v>
      </c>
      <c r="P47" s="117" t="str">
        <f>IF('7.5_Compressor_Util_Perf'!P47="","",'7.5_Compressor_Util_Perf'!P47)</f>
        <v/>
      </c>
      <c r="Q47" s="117" t="str">
        <f>IF('7.5_Compressor_Util_Perf'!Q47="","",'7.5_Compressor_Util_Perf'!Q47)</f>
        <v/>
      </c>
      <c r="V47" s="99"/>
      <c r="AC47" t="s">
        <v>202</v>
      </c>
      <c r="AE47" s="116"/>
      <c r="AF47" s="116"/>
      <c r="AG47" s="116"/>
      <c r="AH47" s="116"/>
      <c r="AI47" s="835" t="str">
        <f t="shared" si="0"/>
        <v/>
      </c>
      <c r="AJ47" s="116"/>
      <c r="AK47" s="116"/>
      <c r="AL47" s="116"/>
      <c r="AM47" s="116"/>
      <c r="AN47" s="116"/>
      <c r="AO47" s="116"/>
      <c r="AP47" s="116"/>
      <c r="AQ47" s="116"/>
      <c r="AR47" s="116"/>
      <c r="AS47" s="116"/>
      <c r="AT47" s="116"/>
      <c r="AU47" s="116"/>
      <c r="AV47" s="116"/>
    </row>
    <row r="48" spans="8:48">
      <c r="H48" t="s">
        <v>1037</v>
      </c>
      <c r="P48" s="117" t="str">
        <f>IF('7.5_Compressor_Util_Perf'!P48="","",'7.5_Compressor_Util_Perf'!P48)</f>
        <v/>
      </c>
      <c r="Q48" s="117" t="str">
        <f>IF('7.5_Compressor_Util_Perf'!Q48="","",'7.5_Compressor_Util_Perf'!Q48)</f>
        <v/>
      </c>
      <c r="V48" s="99"/>
      <c r="AC48" t="s">
        <v>202</v>
      </c>
      <c r="AE48" s="116"/>
      <c r="AF48" s="116"/>
      <c r="AG48" s="116"/>
      <c r="AH48" s="116"/>
      <c r="AI48" s="835" t="str">
        <f t="shared" si="0"/>
        <v/>
      </c>
      <c r="AJ48" s="116"/>
      <c r="AK48" s="116"/>
      <c r="AL48" s="116"/>
      <c r="AM48" s="116"/>
      <c r="AN48" s="116"/>
      <c r="AO48" s="116"/>
      <c r="AP48" s="116"/>
      <c r="AQ48" s="116"/>
      <c r="AR48" s="116"/>
      <c r="AS48" s="116"/>
      <c r="AT48" s="116"/>
      <c r="AU48" s="116"/>
      <c r="AV48" s="116"/>
    </row>
    <row r="49" spans="8:48">
      <c r="H49" t="s">
        <v>1037</v>
      </c>
      <c r="P49" s="117" t="str">
        <f>IF('7.5_Compressor_Util_Perf'!P49="","",'7.5_Compressor_Util_Perf'!P49)</f>
        <v/>
      </c>
      <c r="Q49" s="117" t="str">
        <f>IF('7.5_Compressor_Util_Perf'!Q49="","",'7.5_Compressor_Util_Perf'!Q49)</f>
        <v/>
      </c>
      <c r="V49" s="99"/>
      <c r="AC49" t="s">
        <v>202</v>
      </c>
      <c r="AE49" s="116"/>
      <c r="AF49" s="116"/>
      <c r="AG49" s="116"/>
      <c r="AH49" s="116"/>
      <c r="AI49" s="835" t="str">
        <f t="shared" si="0"/>
        <v/>
      </c>
      <c r="AJ49" s="116"/>
      <c r="AK49" s="116"/>
      <c r="AL49" s="116"/>
      <c r="AM49" s="116"/>
      <c r="AN49" s="116"/>
      <c r="AO49" s="116"/>
      <c r="AP49" s="116"/>
      <c r="AQ49" s="116"/>
      <c r="AR49" s="116"/>
      <c r="AS49" s="116"/>
      <c r="AT49" s="116"/>
      <c r="AU49" s="116"/>
      <c r="AV49" s="116"/>
    </row>
    <row r="50" spans="8:48">
      <c r="H50" t="s">
        <v>1037</v>
      </c>
      <c r="P50" s="117" t="str">
        <f>IF('7.5_Compressor_Util_Perf'!P50="","",'7.5_Compressor_Util_Perf'!P50)</f>
        <v/>
      </c>
      <c r="Q50" s="117" t="str">
        <f>IF('7.5_Compressor_Util_Perf'!Q50="","",'7.5_Compressor_Util_Perf'!Q50)</f>
        <v/>
      </c>
      <c r="V50" s="99"/>
      <c r="AC50" t="s">
        <v>202</v>
      </c>
      <c r="AE50" s="116"/>
      <c r="AF50" s="116"/>
      <c r="AG50" s="116"/>
      <c r="AH50" s="116"/>
      <c r="AI50" s="835" t="str">
        <f t="shared" si="0"/>
        <v/>
      </c>
      <c r="AJ50" s="116"/>
      <c r="AK50" s="116"/>
      <c r="AL50" s="116"/>
      <c r="AM50" s="116"/>
      <c r="AN50" s="116"/>
      <c r="AO50" s="116"/>
      <c r="AP50" s="116"/>
      <c r="AQ50" s="116"/>
      <c r="AR50" s="116"/>
      <c r="AS50" s="116"/>
      <c r="AT50" s="116"/>
      <c r="AU50" s="116"/>
      <c r="AV50" s="116"/>
    </row>
    <row r="51" spans="8:48">
      <c r="H51" t="s">
        <v>1037</v>
      </c>
      <c r="P51" s="117" t="str">
        <f>IF('7.5_Compressor_Util_Perf'!P51="","",'7.5_Compressor_Util_Perf'!P51)</f>
        <v/>
      </c>
      <c r="Q51" s="117" t="str">
        <f>IF('7.5_Compressor_Util_Perf'!Q51="","",'7.5_Compressor_Util_Perf'!Q51)</f>
        <v/>
      </c>
      <c r="V51" s="99"/>
      <c r="AC51" t="s">
        <v>202</v>
      </c>
      <c r="AE51" s="116"/>
      <c r="AF51" s="116"/>
      <c r="AG51" s="116"/>
      <c r="AH51" s="116"/>
      <c r="AI51" s="835" t="str">
        <f t="shared" si="0"/>
        <v/>
      </c>
      <c r="AJ51" s="116"/>
      <c r="AK51" s="116"/>
      <c r="AL51" s="116"/>
      <c r="AM51" s="116"/>
      <c r="AN51" s="116"/>
      <c r="AO51" s="116"/>
      <c r="AP51" s="116"/>
      <c r="AQ51" s="116"/>
      <c r="AR51" s="116"/>
      <c r="AS51" s="116"/>
      <c r="AT51" s="116"/>
      <c r="AU51" s="116"/>
      <c r="AV51" s="116"/>
    </row>
    <row r="52" spans="8:48">
      <c r="H52" t="s">
        <v>1037</v>
      </c>
      <c r="P52" s="117" t="str">
        <f>IF('7.5_Compressor_Util_Perf'!P52="","",'7.5_Compressor_Util_Perf'!P52)</f>
        <v/>
      </c>
      <c r="Q52" s="117" t="str">
        <f>IF('7.5_Compressor_Util_Perf'!Q52="","",'7.5_Compressor_Util_Perf'!Q52)</f>
        <v/>
      </c>
      <c r="V52" s="99"/>
      <c r="AC52" t="s">
        <v>202</v>
      </c>
      <c r="AE52" s="116"/>
      <c r="AF52" s="116"/>
      <c r="AG52" s="116"/>
      <c r="AH52" s="116"/>
      <c r="AI52" s="835" t="str">
        <f t="shared" si="0"/>
        <v/>
      </c>
      <c r="AJ52" s="116"/>
      <c r="AK52" s="116"/>
      <c r="AL52" s="116"/>
      <c r="AM52" s="116"/>
      <c r="AN52" s="116"/>
      <c r="AO52" s="116"/>
      <c r="AP52" s="116"/>
      <c r="AQ52" s="116"/>
      <c r="AR52" s="116"/>
      <c r="AS52" s="116"/>
      <c r="AT52" s="116"/>
      <c r="AU52" s="116"/>
      <c r="AV52" s="116"/>
    </row>
    <row r="53" spans="8:48">
      <c r="H53" t="s">
        <v>1037</v>
      </c>
      <c r="P53" s="117" t="str">
        <f>IF('7.5_Compressor_Util_Perf'!P53="","",'7.5_Compressor_Util_Perf'!P53)</f>
        <v/>
      </c>
      <c r="Q53" s="117" t="str">
        <f>IF('7.5_Compressor_Util_Perf'!Q53="","",'7.5_Compressor_Util_Perf'!Q53)</f>
        <v/>
      </c>
      <c r="V53" s="99"/>
      <c r="AC53" t="s">
        <v>202</v>
      </c>
      <c r="AE53" s="116"/>
      <c r="AF53" s="116"/>
      <c r="AG53" s="116"/>
      <c r="AH53" s="116"/>
      <c r="AI53" s="835" t="str">
        <f t="shared" si="0"/>
        <v/>
      </c>
      <c r="AJ53" s="116"/>
      <c r="AK53" s="116"/>
      <c r="AL53" s="116"/>
      <c r="AM53" s="116"/>
      <c r="AN53" s="116"/>
      <c r="AO53" s="116"/>
      <c r="AP53" s="116"/>
      <c r="AQ53" s="116"/>
      <c r="AR53" s="116"/>
      <c r="AS53" s="116"/>
      <c r="AT53" s="116"/>
      <c r="AU53" s="116"/>
      <c r="AV53" s="116"/>
    </row>
    <row r="54" spans="8:48">
      <c r="H54" t="s">
        <v>1037</v>
      </c>
      <c r="P54" s="117" t="str">
        <f>IF('7.5_Compressor_Util_Perf'!P54="","",'7.5_Compressor_Util_Perf'!P54)</f>
        <v/>
      </c>
      <c r="Q54" s="117" t="str">
        <f>IF('7.5_Compressor_Util_Perf'!Q54="","",'7.5_Compressor_Util_Perf'!Q54)</f>
        <v/>
      </c>
      <c r="V54" s="99"/>
      <c r="AC54" t="s">
        <v>202</v>
      </c>
      <c r="AE54" s="116"/>
      <c r="AF54" s="116"/>
      <c r="AG54" s="116"/>
      <c r="AH54" s="116"/>
      <c r="AI54" s="835" t="str">
        <f t="shared" si="0"/>
        <v/>
      </c>
      <c r="AJ54" s="116"/>
      <c r="AK54" s="116"/>
      <c r="AL54" s="116"/>
      <c r="AM54" s="116"/>
      <c r="AN54" s="116"/>
      <c r="AO54" s="116"/>
      <c r="AP54" s="116"/>
      <c r="AQ54" s="116"/>
      <c r="AR54" s="116"/>
      <c r="AS54" s="116"/>
      <c r="AT54" s="116"/>
      <c r="AU54" s="116"/>
      <c r="AV54" s="116"/>
    </row>
    <row r="55" spans="8:48">
      <c r="H55" t="s">
        <v>1037</v>
      </c>
      <c r="P55" s="117" t="str">
        <f>IF('7.5_Compressor_Util_Perf'!P55="","",'7.5_Compressor_Util_Perf'!P55)</f>
        <v/>
      </c>
      <c r="Q55" s="117" t="str">
        <f>IF('7.5_Compressor_Util_Perf'!Q55="","",'7.5_Compressor_Util_Perf'!Q55)</f>
        <v/>
      </c>
      <c r="V55" s="99"/>
      <c r="AC55" t="s">
        <v>202</v>
      </c>
      <c r="AE55" s="116"/>
      <c r="AF55" s="116"/>
      <c r="AG55" s="116"/>
      <c r="AH55" s="116"/>
      <c r="AI55" s="835" t="str">
        <f t="shared" si="0"/>
        <v/>
      </c>
      <c r="AJ55" s="116"/>
      <c r="AK55" s="116"/>
      <c r="AL55" s="116"/>
      <c r="AM55" s="116"/>
      <c r="AN55" s="116"/>
      <c r="AO55" s="116"/>
      <c r="AP55" s="116"/>
      <c r="AQ55" s="116"/>
      <c r="AR55" s="116"/>
      <c r="AS55" s="116"/>
      <c r="AT55" s="116"/>
      <c r="AU55" s="116"/>
      <c r="AV55" s="116"/>
    </row>
    <row r="56" spans="8:48">
      <c r="H56" t="s">
        <v>1037</v>
      </c>
      <c r="P56" s="117" t="str">
        <f>IF('7.5_Compressor_Util_Perf'!P56="","",'7.5_Compressor_Util_Perf'!P56)</f>
        <v/>
      </c>
      <c r="Q56" s="117" t="str">
        <f>IF('7.5_Compressor_Util_Perf'!Q56="","",'7.5_Compressor_Util_Perf'!Q56)</f>
        <v/>
      </c>
      <c r="V56" s="99"/>
      <c r="AC56" t="s">
        <v>202</v>
      </c>
      <c r="AE56" s="116"/>
      <c r="AF56" s="116"/>
      <c r="AG56" s="116"/>
      <c r="AH56" s="116"/>
      <c r="AI56" s="835" t="str">
        <f t="shared" si="0"/>
        <v/>
      </c>
      <c r="AJ56" s="116"/>
      <c r="AK56" s="116"/>
      <c r="AL56" s="116"/>
      <c r="AM56" s="116"/>
      <c r="AN56" s="116"/>
      <c r="AO56" s="116"/>
      <c r="AP56" s="116"/>
      <c r="AQ56" s="116"/>
      <c r="AR56" s="116"/>
      <c r="AS56" s="116"/>
      <c r="AT56" s="116"/>
      <c r="AU56" s="116"/>
      <c r="AV56" s="116"/>
    </row>
    <row r="57" spans="8:48">
      <c r="H57" t="s">
        <v>1037</v>
      </c>
      <c r="P57" s="117" t="str">
        <f>IF('7.5_Compressor_Util_Perf'!P57="","",'7.5_Compressor_Util_Perf'!P57)</f>
        <v/>
      </c>
      <c r="Q57" s="117" t="str">
        <f>IF('7.5_Compressor_Util_Perf'!Q57="","",'7.5_Compressor_Util_Perf'!Q57)</f>
        <v/>
      </c>
      <c r="V57" s="99"/>
      <c r="AC57" t="s">
        <v>202</v>
      </c>
      <c r="AE57" s="116"/>
      <c r="AF57" s="116"/>
      <c r="AG57" s="116"/>
      <c r="AH57" s="116"/>
      <c r="AI57" s="835" t="str">
        <f t="shared" si="0"/>
        <v/>
      </c>
      <c r="AJ57" s="116"/>
      <c r="AK57" s="116"/>
      <c r="AL57" s="116"/>
      <c r="AM57" s="116"/>
      <c r="AN57" s="116"/>
      <c r="AO57" s="116"/>
      <c r="AP57" s="116"/>
      <c r="AQ57" s="116"/>
      <c r="AR57" s="116"/>
      <c r="AS57" s="116"/>
      <c r="AT57" s="116"/>
      <c r="AU57" s="116"/>
      <c r="AV57" s="116"/>
    </row>
    <row r="58" spans="8:48">
      <c r="H58" t="s">
        <v>1037</v>
      </c>
      <c r="P58" s="117" t="str">
        <f>IF('7.5_Compressor_Util_Perf'!P58="","",'7.5_Compressor_Util_Perf'!P58)</f>
        <v/>
      </c>
      <c r="Q58" s="117" t="str">
        <f>IF('7.5_Compressor_Util_Perf'!Q58="","",'7.5_Compressor_Util_Perf'!Q58)</f>
        <v/>
      </c>
      <c r="V58" s="99"/>
      <c r="AC58" t="s">
        <v>202</v>
      </c>
      <c r="AE58" s="116"/>
      <c r="AF58" s="116"/>
      <c r="AG58" s="116"/>
      <c r="AH58" s="116"/>
      <c r="AI58" s="835" t="str">
        <f t="shared" si="0"/>
        <v/>
      </c>
      <c r="AJ58" s="116"/>
      <c r="AK58" s="116"/>
      <c r="AL58" s="116"/>
      <c r="AM58" s="116"/>
      <c r="AN58" s="116"/>
      <c r="AO58" s="116"/>
      <c r="AP58" s="116"/>
      <c r="AQ58" s="116"/>
      <c r="AR58" s="116"/>
      <c r="AS58" s="116"/>
      <c r="AT58" s="116"/>
      <c r="AU58" s="116"/>
      <c r="AV58" s="116"/>
    </row>
    <row r="59" spans="8:48">
      <c r="H59" t="s">
        <v>1037</v>
      </c>
      <c r="P59" s="117" t="str">
        <f>IF('7.5_Compressor_Util_Perf'!P59="","",'7.5_Compressor_Util_Perf'!P59)</f>
        <v/>
      </c>
      <c r="Q59" s="117" t="str">
        <f>IF('7.5_Compressor_Util_Perf'!Q59="","",'7.5_Compressor_Util_Perf'!Q59)</f>
        <v/>
      </c>
      <c r="V59" s="99"/>
      <c r="AC59" t="s">
        <v>202</v>
      </c>
      <c r="AE59" s="116"/>
      <c r="AF59" s="116"/>
      <c r="AG59" s="116"/>
      <c r="AH59" s="116"/>
      <c r="AI59" s="835" t="str">
        <f t="shared" si="0"/>
        <v/>
      </c>
      <c r="AJ59" s="116"/>
      <c r="AK59" s="116"/>
      <c r="AL59" s="116"/>
      <c r="AM59" s="116"/>
      <c r="AN59" s="116"/>
      <c r="AO59" s="116"/>
      <c r="AP59" s="116"/>
      <c r="AQ59" s="116"/>
      <c r="AR59" s="116"/>
      <c r="AS59" s="116"/>
      <c r="AT59" s="116"/>
      <c r="AU59" s="116"/>
      <c r="AV59" s="116"/>
    </row>
    <row r="60" spans="8:48">
      <c r="H60" t="s">
        <v>1037</v>
      </c>
      <c r="P60" s="117" t="str">
        <f>IF('7.5_Compressor_Util_Perf'!P60="","",'7.5_Compressor_Util_Perf'!P60)</f>
        <v/>
      </c>
      <c r="Q60" s="117" t="str">
        <f>IF('7.5_Compressor_Util_Perf'!Q60="","",'7.5_Compressor_Util_Perf'!Q60)</f>
        <v/>
      </c>
      <c r="V60" s="99"/>
      <c r="AC60" t="s">
        <v>202</v>
      </c>
      <c r="AE60" s="116"/>
      <c r="AF60" s="116"/>
      <c r="AG60" s="116"/>
      <c r="AH60" s="116"/>
      <c r="AI60" s="835" t="str">
        <f t="shared" si="0"/>
        <v/>
      </c>
      <c r="AJ60" s="116"/>
      <c r="AK60" s="116"/>
      <c r="AL60" s="116"/>
      <c r="AM60" s="116"/>
      <c r="AN60" s="116"/>
      <c r="AO60" s="116"/>
      <c r="AP60" s="116"/>
      <c r="AQ60" s="116"/>
      <c r="AR60" s="116"/>
      <c r="AS60" s="116"/>
      <c r="AT60" s="116"/>
      <c r="AU60" s="116"/>
      <c r="AV60" s="116"/>
    </row>
    <row r="61" spans="8:48">
      <c r="H61" t="s">
        <v>1037</v>
      </c>
      <c r="P61" s="117" t="str">
        <f>IF('7.5_Compressor_Util_Perf'!P61="","",'7.5_Compressor_Util_Perf'!P61)</f>
        <v/>
      </c>
      <c r="Q61" s="117" t="str">
        <f>IF('7.5_Compressor_Util_Perf'!Q61="","",'7.5_Compressor_Util_Perf'!Q61)</f>
        <v/>
      </c>
      <c r="V61" s="99"/>
      <c r="AC61" t="s">
        <v>202</v>
      </c>
      <c r="AE61" s="116"/>
      <c r="AF61" s="116"/>
      <c r="AG61" s="116"/>
      <c r="AH61" s="116"/>
      <c r="AI61" s="835" t="str">
        <f t="shared" si="0"/>
        <v/>
      </c>
      <c r="AJ61" s="116"/>
      <c r="AK61" s="116"/>
      <c r="AL61" s="116"/>
      <c r="AM61" s="116"/>
      <c r="AN61" s="116"/>
      <c r="AO61" s="116"/>
      <c r="AP61" s="116"/>
      <c r="AQ61" s="116"/>
      <c r="AR61" s="116"/>
      <c r="AS61" s="116"/>
      <c r="AT61" s="116"/>
      <c r="AU61" s="116"/>
      <c r="AV61" s="116"/>
    </row>
    <row r="62" spans="8:48">
      <c r="H62" t="s">
        <v>1037</v>
      </c>
      <c r="P62" s="117" t="str">
        <f>IF('7.5_Compressor_Util_Perf'!P62="","",'7.5_Compressor_Util_Perf'!P62)</f>
        <v/>
      </c>
      <c r="Q62" s="117" t="str">
        <f>IF('7.5_Compressor_Util_Perf'!Q62="","",'7.5_Compressor_Util_Perf'!Q62)</f>
        <v/>
      </c>
      <c r="V62" s="99"/>
      <c r="AC62" t="s">
        <v>202</v>
      </c>
      <c r="AE62" s="116"/>
      <c r="AF62" s="116"/>
      <c r="AG62" s="116"/>
      <c r="AH62" s="116"/>
      <c r="AI62" s="835" t="str">
        <f t="shared" si="0"/>
        <v/>
      </c>
      <c r="AJ62" s="116"/>
      <c r="AK62" s="116"/>
      <c r="AL62" s="116"/>
      <c r="AM62" s="116"/>
      <c r="AN62" s="116"/>
      <c r="AO62" s="116"/>
      <c r="AP62" s="116"/>
      <c r="AQ62" s="116"/>
      <c r="AR62" s="116"/>
      <c r="AS62" s="116"/>
      <c r="AT62" s="116"/>
      <c r="AU62" s="116"/>
      <c r="AV62" s="116"/>
    </row>
    <row r="63" spans="8:48">
      <c r="H63" t="s">
        <v>1037</v>
      </c>
      <c r="P63" s="117" t="str">
        <f>IF('7.5_Compressor_Util_Perf'!P63="","",'7.5_Compressor_Util_Perf'!P63)</f>
        <v/>
      </c>
      <c r="Q63" s="117" t="str">
        <f>IF('7.5_Compressor_Util_Perf'!Q63="","",'7.5_Compressor_Util_Perf'!Q63)</f>
        <v/>
      </c>
      <c r="V63" s="99"/>
      <c r="AC63" t="s">
        <v>202</v>
      </c>
      <c r="AE63" s="116"/>
      <c r="AF63" s="116"/>
      <c r="AG63" s="116"/>
      <c r="AH63" s="116"/>
      <c r="AI63" s="835" t="str">
        <f t="shared" si="0"/>
        <v/>
      </c>
      <c r="AJ63" s="116"/>
      <c r="AK63" s="116"/>
      <c r="AL63" s="116"/>
      <c r="AM63" s="116"/>
      <c r="AN63" s="116"/>
      <c r="AO63" s="116"/>
      <c r="AP63" s="116"/>
      <c r="AQ63" s="116"/>
      <c r="AR63" s="116"/>
      <c r="AS63" s="116"/>
      <c r="AT63" s="116"/>
      <c r="AU63" s="116"/>
      <c r="AV63" s="116"/>
    </row>
    <row r="64" spans="8:48">
      <c r="H64" t="s">
        <v>1037</v>
      </c>
      <c r="P64" s="117" t="str">
        <f>IF('7.5_Compressor_Util_Perf'!P64="","",'7.5_Compressor_Util_Perf'!P64)</f>
        <v/>
      </c>
      <c r="Q64" s="117" t="str">
        <f>IF('7.5_Compressor_Util_Perf'!Q64="","",'7.5_Compressor_Util_Perf'!Q64)</f>
        <v/>
      </c>
      <c r="V64" s="99"/>
      <c r="AC64" t="s">
        <v>202</v>
      </c>
      <c r="AE64" s="116"/>
      <c r="AF64" s="116"/>
      <c r="AG64" s="116"/>
      <c r="AH64" s="116"/>
      <c r="AI64" s="835" t="str">
        <f t="shared" si="0"/>
        <v/>
      </c>
      <c r="AJ64" s="116"/>
      <c r="AK64" s="116"/>
      <c r="AL64" s="116"/>
      <c r="AM64" s="116"/>
      <c r="AN64" s="116"/>
      <c r="AO64" s="116"/>
      <c r="AP64" s="116"/>
      <c r="AQ64" s="116"/>
      <c r="AR64" s="116"/>
      <c r="AS64" s="116"/>
      <c r="AT64" s="116"/>
      <c r="AU64" s="116"/>
      <c r="AV64" s="116"/>
    </row>
    <row r="65" spans="8:48">
      <c r="H65" t="s">
        <v>1037</v>
      </c>
      <c r="P65" s="117" t="str">
        <f>IF('7.5_Compressor_Util_Perf'!P65="","",'7.5_Compressor_Util_Perf'!P65)</f>
        <v/>
      </c>
      <c r="Q65" s="117" t="str">
        <f>IF('7.5_Compressor_Util_Perf'!Q65="","",'7.5_Compressor_Util_Perf'!Q65)</f>
        <v/>
      </c>
      <c r="V65" s="99"/>
      <c r="AC65" t="s">
        <v>202</v>
      </c>
      <c r="AE65" s="116"/>
      <c r="AF65" s="116"/>
      <c r="AG65" s="116"/>
      <c r="AH65" s="116"/>
      <c r="AI65" s="835" t="str">
        <f t="shared" si="0"/>
        <v/>
      </c>
      <c r="AJ65" s="116"/>
      <c r="AK65" s="116"/>
      <c r="AL65" s="116"/>
      <c r="AM65" s="116"/>
      <c r="AN65" s="116"/>
      <c r="AO65" s="116"/>
      <c r="AP65" s="116"/>
      <c r="AQ65" s="116"/>
      <c r="AR65" s="116"/>
      <c r="AS65" s="116"/>
      <c r="AT65" s="116"/>
      <c r="AU65" s="116"/>
      <c r="AV65" s="116"/>
    </row>
    <row r="66" spans="8:48">
      <c r="H66" t="s">
        <v>1037</v>
      </c>
      <c r="P66" s="117" t="str">
        <f>IF('7.5_Compressor_Util_Perf'!P66="","",'7.5_Compressor_Util_Perf'!P66)</f>
        <v/>
      </c>
      <c r="Q66" s="117" t="str">
        <f>IF('7.5_Compressor_Util_Perf'!Q66="","",'7.5_Compressor_Util_Perf'!Q66)</f>
        <v/>
      </c>
      <c r="V66" s="99"/>
      <c r="AC66" t="s">
        <v>202</v>
      </c>
      <c r="AE66" s="116"/>
      <c r="AF66" s="116"/>
      <c r="AG66" s="116"/>
      <c r="AH66" s="116"/>
      <c r="AI66" s="835" t="str">
        <f t="shared" si="0"/>
        <v/>
      </c>
      <c r="AJ66" s="116"/>
      <c r="AK66" s="116"/>
      <c r="AL66" s="116"/>
      <c r="AM66" s="116"/>
      <c r="AN66" s="116"/>
      <c r="AO66" s="116"/>
      <c r="AP66" s="116"/>
      <c r="AQ66" s="116"/>
      <c r="AR66" s="116"/>
      <c r="AS66" s="116"/>
      <c r="AT66" s="116"/>
      <c r="AU66" s="116"/>
      <c r="AV66" s="116"/>
    </row>
    <row r="67" spans="8:48">
      <c r="H67" t="s">
        <v>1037</v>
      </c>
      <c r="P67" s="117" t="str">
        <f>IF('7.5_Compressor_Util_Perf'!P67="","",'7.5_Compressor_Util_Perf'!P67)</f>
        <v/>
      </c>
      <c r="Q67" s="117" t="str">
        <f>IF('7.5_Compressor_Util_Perf'!Q67="","",'7.5_Compressor_Util_Perf'!Q67)</f>
        <v/>
      </c>
      <c r="V67" s="99"/>
      <c r="AC67" t="s">
        <v>202</v>
      </c>
      <c r="AE67" s="116"/>
      <c r="AF67" s="116"/>
      <c r="AG67" s="116"/>
      <c r="AH67" s="116"/>
      <c r="AI67" s="835" t="str">
        <f t="shared" si="0"/>
        <v/>
      </c>
      <c r="AJ67" s="116"/>
      <c r="AK67" s="116"/>
      <c r="AL67" s="116"/>
      <c r="AM67" s="116"/>
      <c r="AN67" s="116"/>
      <c r="AO67" s="116"/>
      <c r="AP67" s="116"/>
      <c r="AQ67" s="116"/>
      <c r="AR67" s="116"/>
      <c r="AS67" s="116"/>
      <c r="AT67" s="116"/>
      <c r="AU67" s="116"/>
      <c r="AV67" s="116"/>
    </row>
    <row r="68" spans="8:48">
      <c r="H68" t="s">
        <v>1037</v>
      </c>
      <c r="P68" s="117" t="str">
        <f>IF('7.5_Compressor_Util_Perf'!P68="","",'7.5_Compressor_Util_Perf'!P68)</f>
        <v/>
      </c>
      <c r="Q68" s="117" t="str">
        <f>IF('7.5_Compressor_Util_Perf'!Q68="","",'7.5_Compressor_Util_Perf'!Q68)</f>
        <v/>
      </c>
      <c r="V68" s="99"/>
      <c r="AC68" t="s">
        <v>202</v>
      </c>
      <c r="AE68" s="116"/>
      <c r="AF68" s="116"/>
      <c r="AG68" s="116"/>
      <c r="AH68" s="116"/>
      <c r="AI68" s="835" t="str">
        <f t="shared" si="0"/>
        <v/>
      </c>
      <c r="AJ68" s="116"/>
      <c r="AK68" s="116"/>
      <c r="AL68" s="116"/>
      <c r="AM68" s="116"/>
      <c r="AN68" s="116"/>
      <c r="AO68" s="116"/>
      <c r="AP68" s="116"/>
      <c r="AQ68" s="116"/>
      <c r="AR68" s="116"/>
      <c r="AS68" s="116"/>
      <c r="AT68" s="116"/>
      <c r="AU68" s="116"/>
      <c r="AV68" s="116"/>
    </row>
    <row r="69" spans="8:48">
      <c r="H69" t="s">
        <v>1037</v>
      </c>
      <c r="P69" s="117" t="str">
        <f>IF('7.5_Compressor_Util_Perf'!P69="","",'7.5_Compressor_Util_Perf'!P69)</f>
        <v/>
      </c>
      <c r="Q69" s="117" t="str">
        <f>IF('7.5_Compressor_Util_Perf'!Q69="","",'7.5_Compressor_Util_Perf'!Q69)</f>
        <v/>
      </c>
      <c r="V69" s="99"/>
      <c r="AC69" t="s">
        <v>202</v>
      </c>
      <c r="AE69" s="116"/>
      <c r="AF69" s="116"/>
      <c r="AG69" s="116"/>
      <c r="AH69" s="116"/>
      <c r="AI69" s="835" t="str">
        <f t="shared" si="0"/>
        <v/>
      </c>
      <c r="AJ69" s="116"/>
      <c r="AK69" s="116"/>
      <c r="AL69" s="116"/>
      <c r="AM69" s="116"/>
      <c r="AN69" s="116"/>
      <c r="AO69" s="116"/>
      <c r="AP69" s="116"/>
      <c r="AQ69" s="116"/>
      <c r="AR69" s="116"/>
      <c r="AS69" s="116"/>
      <c r="AT69" s="116"/>
      <c r="AU69" s="116"/>
      <c r="AV69" s="116"/>
    </row>
    <row r="70" spans="8:48">
      <c r="H70" t="s">
        <v>1037</v>
      </c>
      <c r="P70" s="117" t="str">
        <f>IF('7.5_Compressor_Util_Perf'!P70="","",'7.5_Compressor_Util_Perf'!P70)</f>
        <v/>
      </c>
      <c r="Q70" s="117" t="str">
        <f>IF('7.5_Compressor_Util_Perf'!Q70="","",'7.5_Compressor_Util_Perf'!Q70)</f>
        <v/>
      </c>
      <c r="V70" s="99"/>
      <c r="AC70" t="s">
        <v>202</v>
      </c>
      <c r="AE70" s="116"/>
      <c r="AF70" s="116"/>
      <c r="AG70" s="116"/>
      <c r="AH70" s="116"/>
      <c r="AI70" s="835" t="str">
        <f t="shared" si="0"/>
        <v/>
      </c>
      <c r="AJ70" s="116"/>
      <c r="AK70" s="116"/>
      <c r="AL70" s="116"/>
      <c r="AM70" s="116"/>
      <c r="AN70" s="116"/>
      <c r="AO70" s="116"/>
      <c r="AP70" s="116"/>
      <c r="AQ70" s="116"/>
      <c r="AR70" s="116"/>
      <c r="AS70" s="116"/>
      <c r="AT70" s="116"/>
      <c r="AU70" s="116"/>
      <c r="AV70" s="116"/>
    </row>
    <row r="71" spans="8:48">
      <c r="H71" t="s">
        <v>1037</v>
      </c>
      <c r="P71" s="117" t="str">
        <f>IF('7.5_Compressor_Util_Perf'!P71="","",'7.5_Compressor_Util_Perf'!P71)</f>
        <v/>
      </c>
      <c r="Q71" s="117" t="str">
        <f>IF('7.5_Compressor_Util_Perf'!Q71="","",'7.5_Compressor_Util_Perf'!Q71)</f>
        <v/>
      </c>
      <c r="V71" s="99"/>
      <c r="AC71" t="s">
        <v>202</v>
      </c>
      <c r="AE71" s="116"/>
      <c r="AF71" s="116"/>
      <c r="AG71" s="116"/>
      <c r="AH71" s="116"/>
      <c r="AI71" s="835" t="str">
        <f t="shared" si="0"/>
        <v/>
      </c>
      <c r="AJ71" s="116"/>
      <c r="AK71" s="116"/>
      <c r="AL71" s="116"/>
      <c r="AM71" s="116"/>
      <c r="AN71" s="116"/>
      <c r="AO71" s="116"/>
      <c r="AP71" s="116"/>
      <c r="AQ71" s="116"/>
      <c r="AR71" s="116"/>
      <c r="AS71" s="116"/>
      <c r="AT71" s="116"/>
      <c r="AU71" s="116"/>
      <c r="AV71" s="116"/>
    </row>
    <row r="72" spans="8:48">
      <c r="H72" t="s">
        <v>1037</v>
      </c>
      <c r="P72" s="117" t="str">
        <f>IF('7.5_Compressor_Util_Perf'!P72="","",'7.5_Compressor_Util_Perf'!P72)</f>
        <v/>
      </c>
      <c r="Q72" s="117" t="str">
        <f>IF('7.5_Compressor_Util_Perf'!Q72="","",'7.5_Compressor_Util_Perf'!Q72)</f>
        <v/>
      </c>
      <c r="V72" s="99"/>
      <c r="AC72" t="s">
        <v>202</v>
      </c>
      <c r="AE72" s="116"/>
      <c r="AF72" s="116"/>
      <c r="AG72" s="116"/>
      <c r="AH72" s="116"/>
      <c r="AI72" s="835" t="str">
        <f t="shared" si="0"/>
        <v/>
      </c>
      <c r="AJ72" s="116"/>
      <c r="AK72" s="116"/>
      <c r="AL72" s="116"/>
      <c r="AM72" s="116"/>
      <c r="AN72" s="116"/>
      <c r="AO72" s="116"/>
      <c r="AP72" s="116"/>
      <c r="AQ72" s="116"/>
      <c r="AR72" s="116"/>
      <c r="AS72" s="116"/>
      <c r="AT72" s="116"/>
      <c r="AU72" s="116"/>
      <c r="AV72" s="116"/>
    </row>
    <row r="73" spans="8:48">
      <c r="H73" t="s">
        <v>1037</v>
      </c>
      <c r="P73" s="117" t="str">
        <f>IF('7.5_Compressor_Util_Perf'!P73="","",'7.5_Compressor_Util_Perf'!P73)</f>
        <v/>
      </c>
      <c r="Q73" s="117" t="str">
        <f>IF('7.5_Compressor_Util_Perf'!Q73="","",'7.5_Compressor_Util_Perf'!Q73)</f>
        <v/>
      </c>
      <c r="V73" s="99"/>
      <c r="AC73" t="s">
        <v>202</v>
      </c>
      <c r="AE73" s="116"/>
      <c r="AF73" s="116"/>
      <c r="AG73" s="116"/>
      <c r="AH73" s="116"/>
      <c r="AI73" s="835" t="str">
        <f t="shared" si="0"/>
        <v/>
      </c>
      <c r="AJ73" s="116"/>
      <c r="AK73" s="116"/>
      <c r="AL73" s="116"/>
      <c r="AM73" s="116"/>
      <c r="AN73" s="116"/>
      <c r="AO73" s="116"/>
      <c r="AP73" s="116"/>
      <c r="AQ73" s="116"/>
      <c r="AR73" s="116"/>
      <c r="AS73" s="116"/>
      <c r="AT73" s="116"/>
      <c r="AU73" s="116"/>
      <c r="AV73" s="116"/>
    </row>
    <row r="74" spans="8:48">
      <c r="H74" t="s">
        <v>1037</v>
      </c>
      <c r="P74" s="117" t="str">
        <f>IF('7.5_Compressor_Util_Perf'!P74="","",'7.5_Compressor_Util_Perf'!P74)</f>
        <v/>
      </c>
      <c r="Q74" s="117" t="str">
        <f>IF('7.5_Compressor_Util_Perf'!Q74="","",'7.5_Compressor_Util_Perf'!Q74)</f>
        <v/>
      </c>
      <c r="V74" s="99"/>
      <c r="AC74" t="s">
        <v>202</v>
      </c>
      <c r="AE74" s="116"/>
      <c r="AF74" s="116"/>
      <c r="AG74" s="116"/>
      <c r="AH74" s="116"/>
      <c r="AI74" s="835" t="str">
        <f t="shared" si="0"/>
        <v/>
      </c>
      <c r="AJ74" s="116"/>
      <c r="AK74" s="116"/>
      <c r="AL74" s="116"/>
      <c r="AM74" s="116"/>
      <c r="AN74" s="116"/>
      <c r="AO74" s="116"/>
      <c r="AP74" s="116"/>
      <c r="AQ74" s="116"/>
      <c r="AR74" s="116"/>
      <c r="AS74" s="116"/>
      <c r="AT74" s="116"/>
      <c r="AU74" s="116"/>
      <c r="AV74" s="116"/>
    </row>
    <row r="75" spans="8:48">
      <c r="H75" t="s">
        <v>1037</v>
      </c>
      <c r="P75" s="117" t="str">
        <f>IF('7.5_Compressor_Util_Perf'!P75="","",'7.5_Compressor_Util_Perf'!P75)</f>
        <v/>
      </c>
      <c r="Q75" s="117" t="str">
        <f>IF('7.5_Compressor_Util_Perf'!Q75="","",'7.5_Compressor_Util_Perf'!Q75)</f>
        <v/>
      </c>
      <c r="V75" s="99"/>
      <c r="AC75" t="s">
        <v>202</v>
      </c>
      <c r="AE75" s="116"/>
      <c r="AF75" s="116"/>
      <c r="AG75" s="116"/>
      <c r="AH75" s="116"/>
      <c r="AI75" s="835" t="str">
        <f t="shared" si="0"/>
        <v/>
      </c>
      <c r="AJ75" s="116"/>
      <c r="AK75" s="116"/>
      <c r="AL75" s="116"/>
      <c r="AM75" s="116"/>
      <c r="AN75" s="116"/>
      <c r="AO75" s="116"/>
      <c r="AP75" s="116"/>
      <c r="AQ75" s="116"/>
      <c r="AR75" s="116"/>
      <c r="AS75" s="116"/>
      <c r="AT75" s="116"/>
      <c r="AU75" s="116"/>
      <c r="AV75" s="116"/>
    </row>
    <row r="76" spans="8:48">
      <c r="H76" t="s">
        <v>1037</v>
      </c>
      <c r="P76" s="117" t="str">
        <f>IF('7.5_Compressor_Util_Perf'!P76="","",'7.5_Compressor_Util_Perf'!P76)</f>
        <v/>
      </c>
      <c r="Q76" s="117" t="str">
        <f>IF('7.5_Compressor_Util_Perf'!Q76="","",'7.5_Compressor_Util_Perf'!Q76)</f>
        <v/>
      </c>
      <c r="V76" s="99"/>
      <c r="AC76" t="s">
        <v>202</v>
      </c>
      <c r="AE76" s="116"/>
      <c r="AF76" s="116"/>
      <c r="AG76" s="116"/>
      <c r="AH76" s="116"/>
      <c r="AI76" s="835" t="str">
        <f t="shared" si="0"/>
        <v/>
      </c>
      <c r="AJ76" s="116"/>
      <c r="AK76" s="116"/>
      <c r="AL76" s="116"/>
      <c r="AM76" s="116"/>
      <c r="AN76" s="116"/>
      <c r="AO76" s="116"/>
      <c r="AP76" s="116"/>
      <c r="AQ76" s="116"/>
      <c r="AR76" s="116"/>
      <c r="AS76" s="116"/>
      <c r="AT76" s="116"/>
      <c r="AU76" s="116"/>
      <c r="AV76" s="116"/>
    </row>
    <row r="77" spans="8:48">
      <c r="H77" t="s">
        <v>1037</v>
      </c>
      <c r="P77" s="117" t="str">
        <f>IF('7.5_Compressor_Util_Perf'!P77="","",'7.5_Compressor_Util_Perf'!P77)</f>
        <v/>
      </c>
      <c r="Q77" s="117" t="str">
        <f>IF('7.5_Compressor_Util_Perf'!Q77="","",'7.5_Compressor_Util_Perf'!Q77)</f>
        <v/>
      </c>
      <c r="V77" s="99"/>
      <c r="AC77" t="s">
        <v>202</v>
      </c>
      <c r="AE77" s="116"/>
      <c r="AF77" s="116"/>
      <c r="AG77" s="116"/>
      <c r="AH77" s="116"/>
      <c r="AI77" s="835" t="str">
        <f t="shared" si="0"/>
        <v/>
      </c>
      <c r="AJ77" s="116"/>
      <c r="AK77" s="116"/>
      <c r="AL77" s="116"/>
      <c r="AM77" s="116"/>
      <c r="AN77" s="116"/>
      <c r="AO77" s="116"/>
      <c r="AP77" s="116"/>
      <c r="AQ77" s="116"/>
      <c r="AR77" s="116"/>
      <c r="AS77" s="116"/>
      <c r="AT77" s="116"/>
      <c r="AU77" s="116"/>
      <c r="AV77" s="116"/>
    </row>
    <row r="78" spans="8:48">
      <c r="H78" t="s">
        <v>1037</v>
      </c>
      <c r="P78" s="117" t="str">
        <f>IF('7.5_Compressor_Util_Perf'!P78="","",'7.5_Compressor_Util_Perf'!P78)</f>
        <v/>
      </c>
      <c r="Q78" s="117" t="str">
        <f>IF('7.5_Compressor_Util_Perf'!Q78="","",'7.5_Compressor_Util_Perf'!Q78)</f>
        <v/>
      </c>
      <c r="V78" s="99"/>
      <c r="AC78" t="s">
        <v>202</v>
      </c>
      <c r="AE78" s="116"/>
      <c r="AF78" s="116"/>
      <c r="AG78" s="116"/>
      <c r="AH78" s="116"/>
      <c r="AI78" s="835" t="str">
        <f t="shared" ref="AI78:AI91" si="1">IFERROR(AH78/AJ78,"")</f>
        <v/>
      </c>
      <c r="AJ78" s="116"/>
      <c r="AK78" s="116"/>
      <c r="AL78" s="116"/>
      <c r="AM78" s="116"/>
      <c r="AN78" s="116"/>
      <c r="AO78" s="116"/>
      <c r="AP78" s="116"/>
      <c r="AQ78" s="116"/>
      <c r="AR78" s="116"/>
      <c r="AS78" s="116"/>
      <c r="AT78" s="116"/>
      <c r="AU78" s="116"/>
      <c r="AV78" s="116"/>
    </row>
    <row r="79" spans="8:48">
      <c r="H79" t="s">
        <v>1037</v>
      </c>
      <c r="P79" s="117" t="str">
        <f>IF('7.5_Compressor_Util_Perf'!P79="","",'7.5_Compressor_Util_Perf'!P79)</f>
        <v/>
      </c>
      <c r="Q79" s="117" t="str">
        <f>IF('7.5_Compressor_Util_Perf'!Q79="","",'7.5_Compressor_Util_Perf'!Q79)</f>
        <v/>
      </c>
      <c r="V79" s="99"/>
      <c r="AC79" t="s">
        <v>202</v>
      </c>
      <c r="AE79" s="116"/>
      <c r="AF79" s="116"/>
      <c r="AG79" s="116"/>
      <c r="AH79" s="116"/>
      <c r="AI79" s="835" t="str">
        <f t="shared" si="1"/>
        <v/>
      </c>
      <c r="AJ79" s="116"/>
      <c r="AK79" s="116"/>
      <c r="AL79" s="116"/>
      <c r="AM79" s="116"/>
      <c r="AN79" s="116"/>
      <c r="AO79" s="116"/>
      <c r="AP79" s="116"/>
      <c r="AQ79" s="116"/>
      <c r="AR79" s="116"/>
      <c r="AS79" s="116"/>
      <c r="AT79" s="116"/>
      <c r="AU79" s="116"/>
      <c r="AV79" s="116"/>
    </row>
    <row r="80" spans="8:48">
      <c r="H80" t="s">
        <v>1037</v>
      </c>
      <c r="P80" s="117" t="str">
        <f>IF('7.5_Compressor_Util_Perf'!P80="","",'7.5_Compressor_Util_Perf'!P80)</f>
        <v/>
      </c>
      <c r="Q80" s="117" t="str">
        <f>IF('7.5_Compressor_Util_Perf'!Q80="","",'7.5_Compressor_Util_Perf'!Q80)</f>
        <v/>
      </c>
      <c r="V80" s="99"/>
      <c r="AC80" t="s">
        <v>202</v>
      </c>
      <c r="AE80" s="116"/>
      <c r="AF80" s="116"/>
      <c r="AG80" s="116"/>
      <c r="AH80" s="116"/>
      <c r="AI80" s="835" t="str">
        <f t="shared" si="1"/>
        <v/>
      </c>
      <c r="AJ80" s="116"/>
      <c r="AK80" s="116"/>
      <c r="AL80" s="116"/>
      <c r="AM80" s="116"/>
      <c r="AN80" s="116"/>
      <c r="AO80" s="116"/>
      <c r="AP80" s="116"/>
      <c r="AQ80" s="116"/>
      <c r="AR80" s="116"/>
      <c r="AS80" s="116"/>
      <c r="AT80" s="116"/>
      <c r="AU80" s="116"/>
      <c r="AV80" s="116"/>
    </row>
    <row r="81" spans="1:48">
      <c r="H81" t="s">
        <v>1037</v>
      </c>
      <c r="P81" s="117" t="str">
        <f>IF('7.5_Compressor_Util_Perf'!P81="","",'7.5_Compressor_Util_Perf'!P81)</f>
        <v/>
      </c>
      <c r="Q81" s="117" t="str">
        <f>IF('7.5_Compressor_Util_Perf'!Q81="","",'7.5_Compressor_Util_Perf'!Q81)</f>
        <v/>
      </c>
      <c r="V81" s="99"/>
      <c r="AC81" t="s">
        <v>202</v>
      </c>
      <c r="AE81" s="116"/>
      <c r="AF81" s="116"/>
      <c r="AG81" s="116"/>
      <c r="AH81" s="116"/>
      <c r="AI81" s="835" t="str">
        <f t="shared" si="1"/>
        <v/>
      </c>
      <c r="AJ81" s="116"/>
      <c r="AK81" s="116"/>
      <c r="AL81" s="116"/>
      <c r="AM81" s="116"/>
      <c r="AN81" s="116"/>
      <c r="AO81" s="116"/>
      <c r="AP81" s="116"/>
      <c r="AQ81" s="116"/>
      <c r="AR81" s="116"/>
      <c r="AS81" s="116"/>
      <c r="AT81" s="116"/>
      <c r="AU81" s="116"/>
      <c r="AV81" s="116"/>
    </row>
    <row r="82" spans="1:48">
      <c r="H82" t="s">
        <v>1037</v>
      </c>
      <c r="P82" s="117" t="str">
        <f>IF('7.5_Compressor_Util_Perf'!P82="","",'7.5_Compressor_Util_Perf'!P82)</f>
        <v/>
      </c>
      <c r="Q82" s="117" t="str">
        <f>IF('7.5_Compressor_Util_Perf'!Q82="","",'7.5_Compressor_Util_Perf'!Q82)</f>
        <v/>
      </c>
      <c r="V82" s="99"/>
      <c r="AC82" t="s">
        <v>202</v>
      </c>
      <c r="AE82" s="116"/>
      <c r="AF82" s="116"/>
      <c r="AG82" s="116"/>
      <c r="AH82" s="116"/>
      <c r="AI82" s="835" t="str">
        <f t="shared" si="1"/>
        <v/>
      </c>
      <c r="AJ82" s="116"/>
      <c r="AK82" s="116"/>
      <c r="AL82" s="116"/>
      <c r="AM82" s="116"/>
      <c r="AN82" s="116"/>
      <c r="AO82" s="116"/>
      <c r="AP82" s="116"/>
      <c r="AQ82" s="116"/>
      <c r="AR82" s="116"/>
      <c r="AS82" s="116"/>
      <c r="AT82" s="116"/>
      <c r="AU82" s="116"/>
      <c r="AV82" s="116"/>
    </row>
    <row r="83" spans="1:48">
      <c r="H83" t="s">
        <v>1037</v>
      </c>
      <c r="P83" s="117" t="str">
        <f>IF('7.5_Compressor_Util_Perf'!P83="","",'7.5_Compressor_Util_Perf'!P83)</f>
        <v/>
      </c>
      <c r="Q83" s="117" t="str">
        <f>IF('7.5_Compressor_Util_Perf'!Q83="","",'7.5_Compressor_Util_Perf'!Q83)</f>
        <v/>
      </c>
      <c r="V83" s="99"/>
      <c r="AC83" t="s">
        <v>202</v>
      </c>
      <c r="AE83" s="116"/>
      <c r="AF83" s="116"/>
      <c r="AG83" s="116"/>
      <c r="AH83" s="116"/>
      <c r="AI83" s="835" t="str">
        <f t="shared" si="1"/>
        <v/>
      </c>
      <c r="AJ83" s="116"/>
      <c r="AK83" s="116"/>
      <c r="AL83" s="116"/>
      <c r="AM83" s="116"/>
      <c r="AN83" s="116"/>
      <c r="AO83" s="116"/>
      <c r="AP83" s="116"/>
      <c r="AQ83" s="116"/>
      <c r="AR83" s="116"/>
      <c r="AS83" s="116"/>
      <c r="AT83" s="116"/>
      <c r="AU83" s="116"/>
      <c r="AV83" s="116"/>
    </row>
    <row r="84" spans="1:48">
      <c r="H84" t="s">
        <v>1037</v>
      </c>
      <c r="P84" s="117" t="str">
        <f>IF('7.5_Compressor_Util_Perf'!P84="","",'7.5_Compressor_Util_Perf'!P84)</f>
        <v/>
      </c>
      <c r="Q84" s="117" t="str">
        <f>IF('7.5_Compressor_Util_Perf'!Q84="","",'7.5_Compressor_Util_Perf'!Q84)</f>
        <v/>
      </c>
      <c r="V84" s="99"/>
      <c r="AC84" t="s">
        <v>202</v>
      </c>
      <c r="AE84" s="116"/>
      <c r="AF84" s="116"/>
      <c r="AG84" s="116"/>
      <c r="AH84" s="116"/>
      <c r="AI84" s="835" t="str">
        <f t="shared" si="1"/>
        <v/>
      </c>
      <c r="AJ84" s="116"/>
      <c r="AK84" s="116"/>
      <c r="AL84" s="116"/>
      <c r="AM84" s="116"/>
      <c r="AN84" s="116"/>
      <c r="AO84" s="116"/>
      <c r="AP84" s="116"/>
      <c r="AQ84" s="116"/>
      <c r="AR84" s="116"/>
      <c r="AS84" s="116"/>
      <c r="AT84" s="116"/>
      <c r="AU84" s="116"/>
      <c r="AV84" s="116"/>
    </row>
    <row r="85" spans="1:48">
      <c r="H85" t="s">
        <v>1037</v>
      </c>
      <c r="P85" s="117" t="str">
        <f>IF('7.5_Compressor_Util_Perf'!P85="","",'7.5_Compressor_Util_Perf'!P85)</f>
        <v/>
      </c>
      <c r="Q85" s="117" t="str">
        <f>IF('7.5_Compressor_Util_Perf'!Q85="","",'7.5_Compressor_Util_Perf'!Q85)</f>
        <v/>
      </c>
      <c r="V85" s="99"/>
      <c r="AC85" t="s">
        <v>202</v>
      </c>
      <c r="AE85" s="116"/>
      <c r="AF85" s="116"/>
      <c r="AG85" s="116"/>
      <c r="AH85" s="116"/>
      <c r="AI85" s="835" t="str">
        <f t="shared" si="1"/>
        <v/>
      </c>
      <c r="AJ85" s="116"/>
      <c r="AK85" s="116"/>
      <c r="AL85" s="116"/>
      <c r="AM85" s="116"/>
      <c r="AN85" s="116"/>
      <c r="AO85" s="116"/>
      <c r="AP85" s="116"/>
      <c r="AQ85" s="116"/>
      <c r="AR85" s="116"/>
      <c r="AS85" s="116"/>
      <c r="AT85" s="116"/>
      <c r="AU85" s="116"/>
      <c r="AV85" s="116"/>
    </row>
    <row r="86" spans="1:48">
      <c r="H86" t="s">
        <v>1037</v>
      </c>
      <c r="P86" s="117" t="str">
        <f>IF('7.5_Compressor_Util_Perf'!P86="","",'7.5_Compressor_Util_Perf'!P86)</f>
        <v/>
      </c>
      <c r="Q86" s="117" t="str">
        <f>IF('7.5_Compressor_Util_Perf'!Q86="","",'7.5_Compressor_Util_Perf'!Q86)</f>
        <v/>
      </c>
      <c r="V86" s="99"/>
      <c r="AC86" t="s">
        <v>202</v>
      </c>
      <c r="AE86" s="116"/>
      <c r="AF86" s="116"/>
      <c r="AG86" s="116"/>
      <c r="AH86" s="116"/>
      <c r="AI86" s="835" t="str">
        <f t="shared" si="1"/>
        <v/>
      </c>
      <c r="AJ86" s="116"/>
      <c r="AK86" s="116"/>
      <c r="AL86" s="116"/>
      <c r="AM86" s="116"/>
      <c r="AN86" s="116"/>
      <c r="AO86" s="116"/>
      <c r="AP86" s="116"/>
      <c r="AQ86" s="116"/>
      <c r="AR86" s="116"/>
      <c r="AS86" s="116"/>
      <c r="AT86" s="116"/>
      <c r="AU86" s="116"/>
      <c r="AV86" s="116"/>
    </row>
    <row r="87" spans="1:48">
      <c r="H87" t="s">
        <v>1037</v>
      </c>
      <c r="P87" s="117" t="str">
        <f>IF('7.5_Compressor_Util_Perf'!P87="","",'7.5_Compressor_Util_Perf'!P87)</f>
        <v/>
      </c>
      <c r="Q87" s="117" t="str">
        <f>IF('7.5_Compressor_Util_Perf'!Q87="","",'7.5_Compressor_Util_Perf'!Q87)</f>
        <v/>
      </c>
      <c r="V87" s="99"/>
      <c r="AC87" t="s">
        <v>202</v>
      </c>
      <c r="AE87" s="116"/>
      <c r="AF87" s="116"/>
      <c r="AG87" s="116"/>
      <c r="AH87" s="116"/>
      <c r="AI87" s="835" t="str">
        <f t="shared" si="1"/>
        <v/>
      </c>
      <c r="AJ87" s="116"/>
      <c r="AK87" s="116"/>
      <c r="AL87" s="116"/>
      <c r="AM87" s="116"/>
      <c r="AN87" s="116"/>
      <c r="AO87" s="116"/>
      <c r="AP87" s="116"/>
      <c r="AQ87" s="116"/>
      <c r="AR87" s="116"/>
      <c r="AS87" s="116"/>
      <c r="AT87" s="116"/>
      <c r="AU87" s="116"/>
      <c r="AV87" s="116"/>
    </row>
    <row r="88" spans="1:48">
      <c r="H88" t="s">
        <v>1037</v>
      </c>
      <c r="P88" s="117" t="str">
        <f>IF('7.5_Compressor_Util_Perf'!P88="","",'7.5_Compressor_Util_Perf'!P88)</f>
        <v/>
      </c>
      <c r="Q88" s="117" t="str">
        <f>IF('7.5_Compressor_Util_Perf'!Q88="","",'7.5_Compressor_Util_Perf'!Q88)</f>
        <v/>
      </c>
      <c r="V88" s="99"/>
      <c r="AC88" t="s">
        <v>202</v>
      </c>
      <c r="AE88" s="116"/>
      <c r="AF88" s="116"/>
      <c r="AG88" s="116"/>
      <c r="AH88" s="116"/>
      <c r="AI88" s="835" t="str">
        <f t="shared" si="1"/>
        <v/>
      </c>
      <c r="AJ88" s="116"/>
      <c r="AK88" s="116"/>
      <c r="AL88" s="116"/>
      <c r="AM88" s="116"/>
      <c r="AN88" s="116"/>
      <c r="AO88" s="116"/>
      <c r="AP88" s="116"/>
      <c r="AQ88" s="116"/>
      <c r="AR88" s="116"/>
      <c r="AS88" s="116"/>
      <c r="AT88" s="116"/>
      <c r="AU88" s="116"/>
      <c r="AV88" s="116"/>
    </row>
    <row r="89" spans="1:48">
      <c r="H89" t="s">
        <v>1037</v>
      </c>
      <c r="P89" s="117" t="str">
        <f>IF('7.5_Compressor_Util_Perf'!P89="","",'7.5_Compressor_Util_Perf'!P89)</f>
        <v/>
      </c>
      <c r="Q89" s="117" t="str">
        <f>IF('7.5_Compressor_Util_Perf'!Q89="","",'7.5_Compressor_Util_Perf'!Q89)</f>
        <v/>
      </c>
      <c r="V89" s="99"/>
      <c r="AC89" t="s">
        <v>202</v>
      </c>
      <c r="AE89" s="116"/>
      <c r="AF89" s="116"/>
      <c r="AG89" s="116"/>
      <c r="AH89" s="116"/>
      <c r="AI89" s="835" t="str">
        <f t="shared" si="1"/>
        <v/>
      </c>
      <c r="AJ89" s="116"/>
      <c r="AK89" s="116"/>
      <c r="AL89" s="116"/>
      <c r="AM89" s="116"/>
      <c r="AN89" s="116"/>
      <c r="AO89" s="116"/>
      <c r="AP89" s="116"/>
      <c r="AQ89" s="116"/>
      <c r="AR89" s="116"/>
      <c r="AS89" s="116"/>
      <c r="AT89" s="116"/>
      <c r="AU89" s="116"/>
      <c r="AV89" s="116"/>
    </row>
    <row r="90" spans="1:48">
      <c r="H90" t="s">
        <v>1037</v>
      </c>
      <c r="P90" s="117" t="str">
        <f>IF('7.5_Compressor_Util_Perf'!P90="","",'7.5_Compressor_Util_Perf'!P90)</f>
        <v/>
      </c>
      <c r="Q90" s="117" t="str">
        <f>IF('7.5_Compressor_Util_Perf'!Q90="","",'7.5_Compressor_Util_Perf'!Q90)</f>
        <v/>
      </c>
      <c r="V90" s="99"/>
      <c r="AC90" t="s">
        <v>202</v>
      </c>
      <c r="AE90" s="116"/>
      <c r="AF90" s="116"/>
      <c r="AG90" s="116"/>
      <c r="AH90" s="116"/>
      <c r="AI90" s="835" t="str">
        <f t="shared" si="1"/>
        <v/>
      </c>
      <c r="AJ90" s="116"/>
      <c r="AK90" s="116"/>
      <c r="AL90" s="116"/>
      <c r="AM90" s="116"/>
      <c r="AN90" s="116"/>
      <c r="AO90" s="116"/>
      <c r="AP90" s="116"/>
      <c r="AQ90" s="116"/>
      <c r="AR90" s="116"/>
      <c r="AS90" s="116"/>
      <c r="AT90" s="116"/>
      <c r="AU90" s="116"/>
      <c r="AV90" s="116"/>
    </row>
    <row r="91" spans="1:48">
      <c r="H91" t="s">
        <v>1037</v>
      </c>
      <c r="P91" s="117" t="str">
        <f>IF('7.5_Compressor_Util_Perf'!P91="","",'7.5_Compressor_Util_Perf'!P91)</f>
        <v/>
      </c>
      <c r="Q91" s="117" t="str">
        <f>IF('7.5_Compressor_Util_Perf'!Q91="","",'7.5_Compressor_Util_Perf'!Q91)</f>
        <v/>
      </c>
      <c r="V91" s="99"/>
      <c r="AC91" t="s">
        <v>202</v>
      </c>
      <c r="AE91" s="116"/>
      <c r="AF91" s="116"/>
      <c r="AG91" s="116"/>
      <c r="AH91" s="116"/>
      <c r="AI91" s="835" t="str">
        <f t="shared" si="1"/>
        <v/>
      </c>
      <c r="AJ91" s="116"/>
      <c r="AK91" s="116"/>
      <c r="AL91" s="116"/>
      <c r="AM91" s="116"/>
      <c r="AN91" s="116"/>
      <c r="AO91" s="116"/>
      <c r="AP91" s="116"/>
      <c r="AQ91" s="116"/>
      <c r="AR91" s="116"/>
      <c r="AS91" s="116"/>
      <c r="AT91" s="116"/>
      <c r="AU91" s="116"/>
      <c r="AV91" s="116"/>
    </row>
    <row r="93" spans="1:48" s="1" customFormat="1">
      <c r="A93" s="66"/>
      <c r="B93" s="78" t="s">
        <v>1038</v>
      </c>
      <c r="P93" s="115"/>
      <c r="Q93" s="115"/>
    </row>
    <row r="95" spans="1:48">
      <c r="H95" t="s">
        <v>1037</v>
      </c>
      <c r="P95" s="116"/>
      <c r="Q95" s="116"/>
      <c r="V95" s="99"/>
      <c r="AC95" t="s">
        <v>202</v>
      </c>
      <c r="AE95" s="116"/>
      <c r="AF95" s="116"/>
      <c r="AG95" s="116"/>
      <c r="AH95" s="116"/>
      <c r="AI95" s="835" t="str">
        <f t="shared" ref="AI95:AI121" si="2">IFERROR(AH95/AJ95,"")</f>
        <v/>
      </c>
      <c r="AJ95" s="116"/>
      <c r="AK95" s="97"/>
      <c r="AL95" s="97"/>
      <c r="AM95" s="97"/>
      <c r="AN95" s="97"/>
      <c r="AO95" s="97"/>
      <c r="AP95" s="97"/>
      <c r="AQ95" s="97"/>
      <c r="AR95" s="97"/>
      <c r="AS95" s="97"/>
      <c r="AT95" s="97"/>
      <c r="AU95" s="97"/>
      <c r="AV95" s="97"/>
    </row>
    <row r="96" spans="1:48">
      <c r="H96" t="s">
        <v>1037</v>
      </c>
      <c r="P96" s="116"/>
      <c r="Q96" s="116"/>
      <c r="V96" s="99"/>
      <c r="AC96" t="s">
        <v>202</v>
      </c>
      <c r="AE96" s="116"/>
      <c r="AF96" s="116"/>
      <c r="AG96" s="116"/>
      <c r="AH96" s="116"/>
      <c r="AI96" s="835" t="str">
        <f t="shared" si="2"/>
        <v/>
      </c>
      <c r="AJ96" s="116"/>
      <c r="AK96" s="97"/>
      <c r="AL96" s="97"/>
      <c r="AM96" s="97"/>
      <c r="AN96" s="97"/>
      <c r="AO96" s="97"/>
      <c r="AP96" s="97"/>
      <c r="AQ96" s="97"/>
      <c r="AR96" s="97"/>
      <c r="AS96" s="97"/>
      <c r="AT96" s="97"/>
      <c r="AU96" s="97"/>
      <c r="AV96" s="97"/>
    </row>
    <row r="97" spans="8:48">
      <c r="H97" t="s">
        <v>1037</v>
      </c>
      <c r="P97" s="116"/>
      <c r="Q97" s="116"/>
      <c r="V97" s="99"/>
      <c r="AC97" t="s">
        <v>202</v>
      </c>
      <c r="AE97" s="116"/>
      <c r="AF97" s="116"/>
      <c r="AG97" s="116"/>
      <c r="AH97" s="116"/>
      <c r="AI97" s="835" t="str">
        <f t="shared" si="2"/>
        <v/>
      </c>
      <c r="AJ97" s="116"/>
      <c r="AK97" s="97"/>
      <c r="AL97" s="97"/>
      <c r="AM97" s="97"/>
      <c r="AN97" s="97"/>
      <c r="AO97" s="97"/>
      <c r="AP97" s="97"/>
      <c r="AQ97" s="97"/>
      <c r="AR97" s="97"/>
      <c r="AS97" s="97"/>
      <c r="AT97" s="97"/>
      <c r="AU97" s="97"/>
      <c r="AV97" s="97"/>
    </row>
    <row r="98" spans="8:48">
      <c r="H98" t="s">
        <v>1037</v>
      </c>
      <c r="P98" s="116"/>
      <c r="Q98" s="116"/>
      <c r="V98" s="99"/>
      <c r="AC98" t="s">
        <v>202</v>
      </c>
      <c r="AE98" s="116"/>
      <c r="AF98" s="116"/>
      <c r="AG98" s="116"/>
      <c r="AH98" s="116"/>
      <c r="AI98" s="835" t="str">
        <f t="shared" si="2"/>
        <v/>
      </c>
      <c r="AJ98" s="116"/>
      <c r="AK98" s="97"/>
      <c r="AL98" s="97"/>
      <c r="AM98" s="97"/>
      <c r="AN98" s="97"/>
      <c r="AO98" s="97"/>
      <c r="AP98" s="97"/>
      <c r="AQ98" s="97"/>
      <c r="AR98" s="97"/>
      <c r="AS98" s="97"/>
      <c r="AT98" s="97"/>
      <c r="AU98" s="97"/>
      <c r="AV98" s="97"/>
    </row>
    <row r="99" spans="8:48">
      <c r="H99" t="s">
        <v>1037</v>
      </c>
      <c r="P99" s="116"/>
      <c r="Q99" s="116"/>
      <c r="V99" s="99"/>
      <c r="AC99" t="s">
        <v>202</v>
      </c>
      <c r="AE99" s="116"/>
      <c r="AF99" s="116"/>
      <c r="AG99" s="116"/>
      <c r="AH99" s="116"/>
      <c r="AI99" s="835" t="str">
        <f t="shared" si="2"/>
        <v/>
      </c>
      <c r="AJ99" s="116"/>
      <c r="AK99" s="97"/>
      <c r="AL99" s="97"/>
      <c r="AM99" s="97"/>
      <c r="AN99" s="97"/>
      <c r="AO99" s="97"/>
      <c r="AP99" s="97"/>
      <c r="AQ99" s="97"/>
      <c r="AR99" s="97"/>
      <c r="AS99" s="97"/>
      <c r="AT99" s="97"/>
      <c r="AU99" s="97"/>
      <c r="AV99" s="97"/>
    </row>
    <row r="100" spans="8:48">
      <c r="H100" t="s">
        <v>1037</v>
      </c>
      <c r="P100" s="116"/>
      <c r="Q100" s="116"/>
      <c r="V100" s="99"/>
      <c r="AC100" t="s">
        <v>202</v>
      </c>
      <c r="AE100" s="116"/>
      <c r="AF100" s="116"/>
      <c r="AG100" s="116"/>
      <c r="AH100" s="116"/>
      <c r="AI100" s="835" t="str">
        <f t="shared" si="2"/>
        <v/>
      </c>
      <c r="AJ100" s="116"/>
      <c r="AK100" s="97"/>
      <c r="AL100" s="97"/>
      <c r="AM100" s="97"/>
      <c r="AN100" s="97"/>
      <c r="AO100" s="97"/>
      <c r="AP100" s="97"/>
      <c r="AQ100" s="97"/>
      <c r="AR100" s="97"/>
      <c r="AS100" s="97"/>
      <c r="AT100" s="97"/>
      <c r="AU100" s="97"/>
      <c r="AV100" s="97"/>
    </row>
    <row r="101" spans="8:48">
      <c r="H101" t="s">
        <v>1037</v>
      </c>
      <c r="P101" s="116"/>
      <c r="Q101" s="116"/>
      <c r="V101" s="99"/>
      <c r="AC101" t="s">
        <v>202</v>
      </c>
      <c r="AE101" s="116"/>
      <c r="AF101" s="116"/>
      <c r="AG101" s="116"/>
      <c r="AH101" s="116"/>
      <c r="AI101" s="835" t="str">
        <f t="shared" si="2"/>
        <v/>
      </c>
      <c r="AJ101" s="116"/>
      <c r="AK101" s="97"/>
      <c r="AL101" s="97"/>
      <c r="AM101" s="97"/>
      <c r="AN101" s="97"/>
      <c r="AO101" s="97"/>
      <c r="AP101" s="97"/>
      <c r="AQ101" s="97"/>
      <c r="AR101" s="97"/>
      <c r="AS101" s="97"/>
      <c r="AT101" s="97"/>
      <c r="AU101" s="97"/>
      <c r="AV101" s="97"/>
    </row>
    <row r="102" spans="8:48">
      <c r="H102" t="s">
        <v>1037</v>
      </c>
      <c r="P102" s="116"/>
      <c r="Q102" s="116"/>
      <c r="V102" s="99"/>
      <c r="AC102" t="s">
        <v>202</v>
      </c>
      <c r="AE102" s="116"/>
      <c r="AF102" s="116"/>
      <c r="AG102" s="116"/>
      <c r="AH102" s="116"/>
      <c r="AI102" s="835" t="str">
        <f t="shared" si="2"/>
        <v/>
      </c>
      <c r="AJ102" s="116"/>
      <c r="AK102" s="97"/>
      <c r="AL102" s="97"/>
      <c r="AM102" s="97"/>
      <c r="AN102" s="97"/>
      <c r="AO102" s="97"/>
      <c r="AP102" s="97"/>
      <c r="AQ102" s="97"/>
      <c r="AR102" s="97"/>
      <c r="AS102" s="97"/>
      <c r="AT102" s="97"/>
      <c r="AU102" s="97"/>
      <c r="AV102" s="97"/>
    </row>
    <row r="103" spans="8:48">
      <c r="H103" t="s">
        <v>1037</v>
      </c>
      <c r="P103" s="116"/>
      <c r="Q103" s="116"/>
      <c r="V103" s="99"/>
      <c r="AC103" t="s">
        <v>202</v>
      </c>
      <c r="AE103" s="116"/>
      <c r="AF103" s="116"/>
      <c r="AG103" s="116"/>
      <c r="AH103" s="116"/>
      <c r="AI103" s="835" t="str">
        <f t="shared" si="2"/>
        <v/>
      </c>
      <c r="AJ103" s="116"/>
      <c r="AK103" s="97"/>
      <c r="AL103" s="97"/>
      <c r="AM103" s="97"/>
      <c r="AN103" s="97"/>
      <c r="AO103" s="97"/>
      <c r="AP103" s="97"/>
      <c r="AQ103" s="97"/>
      <c r="AR103" s="97"/>
      <c r="AS103" s="97"/>
      <c r="AT103" s="97"/>
      <c r="AU103" s="97"/>
      <c r="AV103" s="97"/>
    </row>
    <row r="104" spans="8:48">
      <c r="H104" t="s">
        <v>1037</v>
      </c>
      <c r="P104" s="116"/>
      <c r="Q104" s="116"/>
      <c r="V104" s="99"/>
      <c r="AC104" t="s">
        <v>202</v>
      </c>
      <c r="AE104" s="116"/>
      <c r="AF104" s="116"/>
      <c r="AG104" s="116"/>
      <c r="AH104" s="116"/>
      <c r="AI104" s="835" t="str">
        <f t="shared" si="2"/>
        <v/>
      </c>
      <c r="AJ104" s="116"/>
      <c r="AK104" s="97"/>
      <c r="AL104" s="97"/>
      <c r="AM104" s="97"/>
      <c r="AN104" s="97"/>
      <c r="AO104" s="97"/>
      <c r="AP104" s="97"/>
      <c r="AQ104" s="97"/>
      <c r="AR104" s="97"/>
      <c r="AS104" s="97"/>
      <c r="AT104" s="97"/>
      <c r="AU104" s="97"/>
      <c r="AV104" s="97"/>
    </row>
    <row r="105" spans="8:48">
      <c r="H105" t="s">
        <v>1037</v>
      </c>
      <c r="P105" s="116"/>
      <c r="Q105" s="116"/>
      <c r="V105" s="99"/>
      <c r="AC105" t="s">
        <v>202</v>
      </c>
      <c r="AE105" s="116"/>
      <c r="AF105" s="116"/>
      <c r="AG105" s="116"/>
      <c r="AH105" s="116"/>
      <c r="AI105" s="835" t="str">
        <f t="shared" si="2"/>
        <v/>
      </c>
      <c r="AJ105" s="116"/>
      <c r="AK105" s="97"/>
      <c r="AL105" s="97"/>
      <c r="AM105" s="97"/>
      <c r="AN105" s="97"/>
      <c r="AO105" s="97"/>
      <c r="AP105" s="97"/>
      <c r="AQ105" s="97"/>
      <c r="AR105" s="97"/>
      <c r="AS105" s="97"/>
      <c r="AT105" s="97"/>
      <c r="AU105" s="97"/>
      <c r="AV105" s="97"/>
    </row>
    <row r="106" spans="8:48">
      <c r="H106" t="s">
        <v>1037</v>
      </c>
      <c r="P106" s="116"/>
      <c r="Q106" s="116"/>
      <c r="V106" s="99"/>
      <c r="AC106" t="s">
        <v>202</v>
      </c>
      <c r="AE106" s="116"/>
      <c r="AF106" s="116"/>
      <c r="AG106" s="116"/>
      <c r="AH106" s="116"/>
      <c r="AI106" s="835" t="str">
        <f t="shared" si="2"/>
        <v/>
      </c>
      <c r="AJ106" s="116"/>
      <c r="AK106" s="97"/>
      <c r="AL106" s="97"/>
      <c r="AM106" s="97"/>
      <c r="AN106" s="97"/>
      <c r="AO106" s="97"/>
      <c r="AP106" s="97"/>
      <c r="AQ106" s="97"/>
      <c r="AR106" s="97"/>
      <c r="AS106" s="97"/>
      <c r="AT106" s="97"/>
      <c r="AU106" s="97"/>
      <c r="AV106" s="97"/>
    </row>
    <row r="107" spans="8:48">
      <c r="H107" t="s">
        <v>1037</v>
      </c>
      <c r="P107" s="116"/>
      <c r="Q107" s="116"/>
      <c r="V107" s="99"/>
      <c r="AC107" t="s">
        <v>202</v>
      </c>
      <c r="AE107" s="116"/>
      <c r="AF107" s="116"/>
      <c r="AG107" s="116"/>
      <c r="AH107" s="116"/>
      <c r="AI107" s="835" t="str">
        <f t="shared" si="2"/>
        <v/>
      </c>
      <c r="AJ107" s="116"/>
      <c r="AK107" s="97"/>
      <c r="AL107" s="97"/>
      <c r="AM107" s="97"/>
      <c r="AN107" s="97"/>
      <c r="AO107" s="97"/>
      <c r="AP107" s="97"/>
      <c r="AQ107" s="97"/>
      <c r="AR107" s="97"/>
      <c r="AS107" s="97"/>
      <c r="AT107" s="97"/>
      <c r="AU107" s="97"/>
      <c r="AV107" s="97"/>
    </row>
    <row r="108" spans="8:48">
      <c r="H108" t="s">
        <v>1037</v>
      </c>
      <c r="P108" s="116"/>
      <c r="Q108" s="116"/>
      <c r="V108" s="99"/>
      <c r="AC108" t="s">
        <v>202</v>
      </c>
      <c r="AE108" s="116"/>
      <c r="AF108" s="116"/>
      <c r="AG108" s="116"/>
      <c r="AH108" s="116"/>
      <c r="AI108" s="835" t="str">
        <f t="shared" si="2"/>
        <v/>
      </c>
      <c r="AJ108" s="116"/>
      <c r="AK108" s="97"/>
      <c r="AL108" s="97"/>
      <c r="AM108" s="97"/>
      <c r="AN108" s="97"/>
      <c r="AO108" s="97"/>
      <c r="AP108" s="97"/>
      <c r="AQ108" s="97"/>
      <c r="AR108" s="97"/>
      <c r="AS108" s="97"/>
      <c r="AT108" s="97"/>
      <c r="AU108" s="97"/>
      <c r="AV108" s="97"/>
    </row>
    <row r="109" spans="8:48">
      <c r="H109" t="s">
        <v>1037</v>
      </c>
      <c r="P109" s="116"/>
      <c r="Q109" s="116"/>
      <c r="V109" s="99"/>
      <c r="AC109" t="s">
        <v>202</v>
      </c>
      <c r="AE109" s="116"/>
      <c r="AF109" s="116"/>
      <c r="AG109" s="116"/>
      <c r="AH109" s="116"/>
      <c r="AI109" s="835" t="str">
        <f t="shared" si="2"/>
        <v/>
      </c>
      <c r="AJ109" s="116"/>
      <c r="AK109" s="97"/>
      <c r="AL109" s="97"/>
      <c r="AM109" s="97"/>
      <c r="AN109" s="97"/>
      <c r="AO109" s="97"/>
      <c r="AP109" s="97"/>
      <c r="AQ109" s="97"/>
      <c r="AR109" s="97"/>
      <c r="AS109" s="97"/>
      <c r="AT109" s="97"/>
      <c r="AU109" s="97"/>
      <c r="AV109" s="97"/>
    </row>
    <row r="110" spans="8:48">
      <c r="H110" t="s">
        <v>1037</v>
      </c>
      <c r="P110" s="116"/>
      <c r="Q110" s="116"/>
      <c r="V110" s="99"/>
      <c r="AC110" t="s">
        <v>202</v>
      </c>
      <c r="AE110" s="116"/>
      <c r="AF110" s="116"/>
      <c r="AG110" s="116"/>
      <c r="AH110" s="116"/>
      <c r="AI110" s="835" t="str">
        <f t="shared" si="2"/>
        <v/>
      </c>
      <c r="AJ110" s="116"/>
      <c r="AK110" s="97"/>
      <c r="AL110" s="97"/>
      <c r="AM110" s="97"/>
      <c r="AN110" s="97"/>
      <c r="AO110" s="97"/>
      <c r="AP110" s="97"/>
      <c r="AQ110" s="97"/>
      <c r="AR110" s="97"/>
      <c r="AS110" s="97"/>
      <c r="AT110" s="97"/>
      <c r="AU110" s="97"/>
      <c r="AV110" s="97"/>
    </row>
    <row r="111" spans="8:48">
      <c r="H111" t="s">
        <v>1037</v>
      </c>
      <c r="P111" s="116"/>
      <c r="Q111" s="116"/>
      <c r="V111" s="99"/>
      <c r="AC111" t="s">
        <v>202</v>
      </c>
      <c r="AE111" s="116"/>
      <c r="AF111" s="116"/>
      <c r="AG111" s="116"/>
      <c r="AH111" s="116"/>
      <c r="AI111" s="835" t="str">
        <f t="shared" si="2"/>
        <v/>
      </c>
      <c r="AJ111" s="116"/>
      <c r="AK111" s="97"/>
      <c r="AL111" s="97"/>
      <c r="AM111" s="97"/>
      <c r="AN111" s="97"/>
      <c r="AO111" s="97"/>
      <c r="AP111" s="97"/>
      <c r="AQ111" s="97"/>
      <c r="AR111" s="97"/>
      <c r="AS111" s="97"/>
      <c r="AT111" s="97"/>
      <c r="AU111" s="97"/>
      <c r="AV111" s="97"/>
    </row>
    <row r="112" spans="8:48">
      <c r="H112" t="s">
        <v>1037</v>
      </c>
      <c r="P112" s="116"/>
      <c r="Q112" s="116"/>
      <c r="V112" s="99"/>
      <c r="AC112" t="s">
        <v>202</v>
      </c>
      <c r="AE112" s="116"/>
      <c r="AF112" s="116"/>
      <c r="AG112" s="116"/>
      <c r="AH112" s="116"/>
      <c r="AI112" s="835" t="str">
        <f t="shared" si="2"/>
        <v/>
      </c>
      <c r="AJ112" s="116"/>
      <c r="AK112" s="97"/>
      <c r="AL112" s="97"/>
      <c r="AM112" s="97"/>
      <c r="AN112" s="97"/>
      <c r="AO112" s="97"/>
      <c r="AP112" s="97"/>
      <c r="AQ112" s="97"/>
      <c r="AR112" s="97"/>
      <c r="AS112" s="97"/>
      <c r="AT112" s="97"/>
      <c r="AU112" s="97"/>
      <c r="AV112" s="97"/>
    </row>
    <row r="113" spans="1:48">
      <c r="H113" t="s">
        <v>1037</v>
      </c>
      <c r="P113" s="116"/>
      <c r="Q113" s="116"/>
      <c r="V113" s="99"/>
      <c r="AC113" t="s">
        <v>202</v>
      </c>
      <c r="AE113" s="116"/>
      <c r="AF113" s="116"/>
      <c r="AG113" s="116"/>
      <c r="AH113" s="116"/>
      <c r="AI113" s="835" t="str">
        <f t="shared" si="2"/>
        <v/>
      </c>
      <c r="AJ113" s="116"/>
      <c r="AK113" s="97"/>
      <c r="AL113" s="97"/>
      <c r="AM113" s="97"/>
      <c r="AN113" s="97"/>
      <c r="AO113" s="97"/>
      <c r="AP113" s="97"/>
      <c r="AQ113" s="97"/>
      <c r="AR113" s="97"/>
      <c r="AS113" s="97"/>
      <c r="AT113" s="97"/>
      <c r="AU113" s="97"/>
      <c r="AV113" s="97"/>
    </row>
    <row r="114" spans="1:48">
      <c r="H114" t="s">
        <v>1037</v>
      </c>
      <c r="P114" s="116"/>
      <c r="Q114" s="116"/>
      <c r="V114" s="99"/>
      <c r="AC114" t="s">
        <v>202</v>
      </c>
      <c r="AE114" s="116"/>
      <c r="AF114" s="116"/>
      <c r="AG114" s="116"/>
      <c r="AH114" s="116"/>
      <c r="AI114" s="835" t="str">
        <f t="shared" si="2"/>
        <v/>
      </c>
      <c r="AJ114" s="116"/>
      <c r="AK114" s="97"/>
      <c r="AL114" s="97"/>
      <c r="AM114" s="97"/>
      <c r="AN114" s="97"/>
      <c r="AO114" s="97"/>
      <c r="AP114" s="97"/>
      <c r="AQ114" s="97"/>
      <c r="AR114" s="97"/>
      <c r="AS114" s="97"/>
      <c r="AT114" s="97"/>
      <c r="AU114" s="97"/>
      <c r="AV114" s="97"/>
    </row>
    <row r="115" spans="1:48">
      <c r="H115" t="s">
        <v>1037</v>
      </c>
      <c r="P115" s="116"/>
      <c r="Q115" s="116"/>
      <c r="V115" s="99"/>
      <c r="AC115" t="s">
        <v>202</v>
      </c>
      <c r="AE115" s="116"/>
      <c r="AF115" s="116"/>
      <c r="AG115" s="116"/>
      <c r="AH115" s="116"/>
      <c r="AI115" s="835" t="str">
        <f t="shared" si="2"/>
        <v/>
      </c>
      <c r="AJ115" s="116"/>
      <c r="AK115" s="97"/>
      <c r="AL115" s="97"/>
      <c r="AM115" s="97"/>
      <c r="AN115" s="97"/>
      <c r="AO115" s="97"/>
      <c r="AP115" s="97"/>
      <c r="AQ115" s="97"/>
      <c r="AR115" s="97"/>
      <c r="AS115" s="97"/>
      <c r="AT115" s="97"/>
      <c r="AU115" s="97"/>
      <c r="AV115" s="97"/>
    </row>
    <row r="116" spans="1:48">
      <c r="H116" t="s">
        <v>1037</v>
      </c>
      <c r="P116" s="116"/>
      <c r="Q116" s="116"/>
      <c r="V116" s="99"/>
      <c r="AC116" t="s">
        <v>202</v>
      </c>
      <c r="AE116" s="116"/>
      <c r="AF116" s="116"/>
      <c r="AG116" s="116"/>
      <c r="AH116" s="116"/>
      <c r="AI116" s="835" t="str">
        <f t="shared" si="2"/>
        <v/>
      </c>
      <c r="AJ116" s="116"/>
      <c r="AK116" s="97"/>
      <c r="AL116" s="97"/>
      <c r="AM116" s="97"/>
      <c r="AN116" s="97"/>
      <c r="AO116" s="97"/>
      <c r="AP116" s="97"/>
      <c r="AQ116" s="97"/>
      <c r="AR116" s="97"/>
      <c r="AS116" s="97"/>
      <c r="AT116" s="97"/>
      <c r="AU116" s="97"/>
      <c r="AV116" s="97"/>
    </row>
    <row r="117" spans="1:48">
      <c r="H117" t="s">
        <v>1037</v>
      </c>
      <c r="P117" s="116"/>
      <c r="Q117" s="116"/>
      <c r="V117" s="99"/>
      <c r="AC117" t="s">
        <v>202</v>
      </c>
      <c r="AE117" s="116"/>
      <c r="AF117" s="116"/>
      <c r="AG117" s="116"/>
      <c r="AH117" s="116"/>
      <c r="AI117" s="835" t="str">
        <f t="shared" si="2"/>
        <v/>
      </c>
      <c r="AJ117" s="116"/>
      <c r="AK117" s="97"/>
      <c r="AL117" s="97"/>
      <c r="AM117" s="97"/>
      <c r="AN117" s="97"/>
      <c r="AO117" s="97"/>
      <c r="AP117" s="97"/>
      <c r="AQ117" s="97"/>
      <c r="AR117" s="97"/>
      <c r="AS117" s="97"/>
      <c r="AT117" s="97"/>
      <c r="AU117" s="97"/>
      <c r="AV117" s="97"/>
    </row>
    <row r="118" spans="1:48">
      <c r="H118" t="s">
        <v>1037</v>
      </c>
      <c r="P118" s="116"/>
      <c r="Q118" s="116"/>
      <c r="V118" s="99"/>
      <c r="AC118" t="s">
        <v>202</v>
      </c>
      <c r="AE118" s="116"/>
      <c r="AF118" s="116"/>
      <c r="AG118" s="116"/>
      <c r="AH118" s="116"/>
      <c r="AI118" s="835" t="str">
        <f t="shared" si="2"/>
        <v/>
      </c>
      <c r="AJ118" s="116"/>
      <c r="AK118" s="97"/>
      <c r="AL118" s="97"/>
      <c r="AM118" s="97"/>
      <c r="AN118" s="97"/>
      <c r="AO118" s="97"/>
      <c r="AP118" s="97"/>
      <c r="AQ118" s="97"/>
      <c r="AR118" s="97"/>
      <c r="AS118" s="97"/>
      <c r="AT118" s="97"/>
      <c r="AU118" s="97"/>
      <c r="AV118" s="97"/>
    </row>
    <row r="119" spans="1:48">
      <c r="H119" t="s">
        <v>1037</v>
      </c>
      <c r="P119" s="116"/>
      <c r="Q119" s="116"/>
      <c r="V119" s="99"/>
      <c r="AC119" t="s">
        <v>202</v>
      </c>
      <c r="AE119" s="116"/>
      <c r="AF119" s="116"/>
      <c r="AG119" s="116"/>
      <c r="AH119" s="116"/>
      <c r="AI119" s="835" t="str">
        <f t="shared" si="2"/>
        <v/>
      </c>
      <c r="AJ119" s="116"/>
      <c r="AK119" s="97"/>
      <c r="AL119" s="97"/>
      <c r="AM119" s="97"/>
      <c r="AN119" s="97"/>
      <c r="AO119" s="97"/>
      <c r="AP119" s="97"/>
      <c r="AQ119" s="97"/>
      <c r="AR119" s="97"/>
      <c r="AS119" s="97"/>
      <c r="AT119" s="97"/>
      <c r="AU119" s="97"/>
      <c r="AV119" s="97"/>
    </row>
    <row r="120" spans="1:48">
      <c r="H120" t="s">
        <v>1037</v>
      </c>
      <c r="P120" s="116"/>
      <c r="Q120" s="116"/>
      <c r="V120" s="99"/>
      <c r="AC120" t="s">
        <v>202</v>
      </c>
      <c r="AE120" s="116"/>
      <c r="AF120" s="116"/>
      <c r="AG120" s="116"/>
      <c r="AH120" s="116"/>
      <c r="AI120" s="835" t="str">
        <f t="shared" si="2"/>
        <v/>
      </c>
      <c r="AJ120" s="116"/>
      <c r="AK120" s="97"/>
      <c r="AL120" s="97"/>
      <c r="AM120" s="97"/>
      <c r="AN120" s="97"/>
      <c r="AO120" s="97"/>
      <c r="AP120" s="97"/>
      <c r="AQ120" s="97"/>
      <c r="AR120" s="97"/>
      <c r="AS120" s="97"/>
      <c r="AT120" s="97"/>
      <c r="AU120" s="97"/>
      <c r="AV120" s="97"/>
    </row>
    <row r="121" spans="1:48">
      <c r="H121" t="s">
        <v>1037</v>
      </c>
      <c r="P121" s="116"/>
      <c r="Q121" s="116"/>
      <c r="V121" s="99"/>
      <c r="AC121" t="s">
        <v>202</v>
      </c>
      <c r="AE121" s="116"/>
      <c r="AF121" s="116"/>
      <c r="AG121" s="116"/>
      <c r="AH121" s="116"/>
      <c r="AI121" s="835" t="str">
        <f t="shared" si="2"/>
        <v/>
      </c>
      <c r="AJ121" s="116"/>
      <c r="AK121" s="97"/>
      <c r="AL121" s="97"/>
      <c r="AM121" s="97"/>
      <c r="AN121" s="97"/>
      <c r="AO121" s="97"/>
      <c r="AP121" s="97"/>
      <c r="AQ121" s="97"/>
      <c r="AR121" s="97"/>
      <c r="AS121" s="97"/>
      <c r="AT121" s="97"/>
      <c r="AU121" s="97"/>
      <c r="AV121" s="97"/>
    </row>
    <row r="123" spans="1:48" s="73" customFormat="1" ht="18">
      <c r="A123" s="74" t="s">
        <v>76</v>
      </c>
      <c r="P123" s="113"/>
      <c r="Q123" s="113"/>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rgb="FFFF9900"/>
  </sheetPr>
  <dimension ref="A1:AI165"/>
  <sheetViews>
    <sheetView zoomScale="80" zoomScaleNormal="80" workbookViewId="0">
      <pane ySplit="8" topLeftCell="A9" activePane="bottomLeft" state="frozen"/>
      <selection pane="bottomLeft"/>
    </sheetView>
  </sheetViews>
  <sheetFormatPr defaultRowHeight="14.25"/>
  <cols>
    <col min="1" max="7" width="1.73046875" customWidth="1"/>
    <col min="8" max="8" width="23.3984375" bestFit="1" customWidth="1"/>
    <col min="9" max="15" width="1.73046875" customWidth="1"/>
    <col min="16" max="16" width="17.73046875" bestFit="1" customWidth="1"/>
    <col min="17" max="17" width="14.59765625" customWidth="1"/>
    <col min="18" max="28" width="1.73046875" hidden="1" customWidth="1"/>
    <col min="29" max="29" width="9.1328125"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1860</v>
      </c>
    </row>
    <row r="6" spans="1:35">
      <c r="AD6" s="435"/>
      <c r="AE6" s="1362" t="s">
        <v>112</v>
      </c>
      <c r="AF6" s="1363"/>
      <c r="AG6" s="1363"/>
      <c r="AH6" s="1363"/>
      <c r="AI6" s="1364"/>
    </row>
    <row r="7" spans="1:35" s="67" customFormat="1">
      <c r="D7" s="87"/>
      <c r="E7" s="87"/>
      <c r="F7" s="87"/>
      <c r="G7" s="87"/>
      <c r="H7" s="87"/>
      <c r="I7" s="87"/>
      <c r="J7" s="87"/>
      <c r="K7" s="87"/>
      <c r="L7" s="87"/>
      <c r="M7" s="87"/>
      <c r="N7" s="87"/>
      <c r="O7" s="87"/>
      <c r="P7" s="119" t="s">
        <v>969</v>
      </c>
      <c r="Q7" s="119" t="s">
        <v>3086</v>
      </c>
      <c r="R7" s="86" t="s">
        <v>99</v>
      </c>
      <c r="S7" s="86" t="s">
        <v>98</v>
      </c>
      <c r="T7" s="86" t="s">
        <v>97</v>
      </c>
      <c r="U7" s="86" t="s">
        <v>96</v>
      </c>
      <c r="V7" s="86" t="s">
        <v>95</v>
      </c>
      <c r="W7" s="86" t="s">
        <v>94</v>
      </c>
      <c r="X7" s="86" t="s">
        <v>93</v>
      </c>
      <c r="Y7" s="86" t="s">
        <v>92</v>
      </c>
      <c r="Z7" s="86" t="s">
        <v>91</v>
      </c>
      <c r="AA7" s="86" t="s">
        <v>90</v>
      </c>
      <c r="AB7" s="86" t="s">
        <v>89</v>
      </c>
      <c r="AC7" s="67" t="s">
        <v>5</v>
      </c>
      <c r="AE7" s="90">
        <v>2022</v>
      </c>
      <c r="AF7" s="91">
        <v>2023</v>
      </c>
      <c r="AG7" s="91">
        <v>2024</v>
      </c>
      <c r="AH7" s="91">
        <v>2025</v>
      </c>
      <c r="AI7" s="92">
        <v>2026</v>
      </c>
    </row>
    <row r="8" spans="1:35">
      <c r="P8" s="67"/>
      <c r="Q8" s="67"/>
      <c r="R8" s="67"/>
      <c r="S8" s="67"/>
      <c r="T8" s="67"/>
      <c r="U8" s="67"/>
      <c r="V8" s="67"/>
    </row>
    <row r="9" spans="1:35" s="1" customFormat="1" ht="17.649999999999999">
      <c r="B9" s="2"/>
      <c r="P9" s="115"/>
      <c r="Q9" s="115"/>
    </row>
    <row r="10" spans="1:35">
      <c r="P10" s="114"/>
      <c r="Q10" s="114"/>
    </row>
    <row r="11" spans="1:35" s="1" customFormat="1">
      <c r="A11" s="66"/>
      <c r="B11" s="78" t="s">
        <v>996</v>
      </c>
      <c r="P11" s="115"/>
      <c r="Q11" s="115"/>
    </row>
    <row r="12" spans="1:35">
      <c r="P12" s="114"/>
      <c r="Q12" s="114"/>
    </row>
    <row r="13" spans="1:35">
      <c r="H13" t="s">
        <v>997</v>
      </c>
      <c r="P13" s="116" t="s">
        <v>979</v>
      </c>
      <c r="Q13" s="116" t="s">
        <v>21</v>
      </c>
      <c r="V13" s="99"/>
      <c r="AC13" t="s">
        <v>1003</v>
      </c>
      <c r="AD13" s="80"/>
      <c r="AE13" s="81"/>
      <c r="AF13" s="81"/>
      <c r="AG13" s="81"/>
      <c r="AH13" s="81"/>
      <c r="AI13" s="81"/>
    </row>
    <row r="14" spans="1:35">
      <c r="H14" t="s">
        <v>997</v>
      </c>
      <c r="P14" s="116" t="s">
        <v>979</v>
      </c>
      <c r="Q14" s="116" t="s">
        <v>22</v>
      </c>
      <c r="V14" s="99"/>
      <c r="AC14" t="s">
        <v>1003</v>
      </c>
      <c r="AD14" s="80"/>
      <c r="AE14" s="81"/>
      <c r="AF14" s="81"/>
      <c r="AG14" s="81"/>
      <c r="AH14" s="81"/>
      <c r="AI14" s="81"/>
    </row>
    <row r="15" spans="1:35">
      <c r="H15" t="s">
        <v>997</v>
      </c>
      <c r="P15" s="116" t="s">
        <v>979</v>
      </c>
      <c r="Q15" s="116" t="s">
        <v>23</v>
      </c>
      <c r="V15" s="99"/>
      <c r="AC15" t="s">
        <v>1003</v>
      </c>
      <c r="AD15" s="80"/>
      <c r="AE15" s="81"/>
      <c r="AF15" s="81"/>
      <c r="AG15" s="81"/>
      <c r="AH15" s="81"/>
      <c r="AI15" s="81"/>
    </row>
    <row r="16" spans="1:35">
      <c r="H16" t="s">
        <v>997</v>
      </c>
      <c r="P16" s="116" t="s">
        <v>989</v>
      </c>
      <c r="Q16" s="116" t="s">
        <v>21</v>
      </c>
      <c r="V16" s="99"/>
      <c r="AC16" t="s">
        <v>1003</v>
      </c>
      <c r="AD16" s="80"/>
      <c r="AE16" s="81"/>
      <c r="AF16" s="81"/>
      <c r="AG16" s="81"/>
      <c r="AH16" s="81"/>
      <c r="AI16" s="81"/>
    </row>
    <row r="17" spans="8:35">
      <c r="H17" t="s">
        <v>997</v>
      </c>
      <c r="P17" s="116" t="s">
        <v>989</v>
      </c>
      <c r="Q17" s="116" t="s">
        <v>22</v>
      </c>
      <c r="V17" s="99"/>
      <c r="AC17" t="s">
        <v>1003</v>
      </c>
      <c r="AD17" s="80"/>
      <c r="AE17" s="81"/>
      <c r="AF17" s="81"/>
      <c r="AG17" s="81"/>
      <c r="AH17" s="81"/>
      <c r="AI17" s="81"/>
    </row>
    <row r="18" spans="8:35">
      <c r="H18" t="s">
        <v>997</v>
      </c>
      <c r="P18" s="116" t="s">
        <v>989</v>
      </c>
      <c r="Q18" s="116" t="s">
        <v>23</v>
      </c>
      <c r="V18" s="99"/>
      <c r="AC18" t="s">
        <v>1003</v>
      </c>
      <c r="AE18" s="81"/>
      <c r="AF18" s="81"/>
      <c r="AG18" s="81"/>
      <c r="AH18" s="81"/>
      <c r="AI18" s="81"/>
    </row>
    <row r="19" spans="8:35">
      <c r="H19" t="s">
        <v>997</v>
      </c>
      <c r="P19" s="116" t="s">
        <v>981</v>
      </c>
      <c r="Q19" s="116" t="s">
        <v>998</v>
      </c>
      <c r="AC19" t="s">
        <v>1003</v>
      </c>
      <c r="AE19" s="81"/>
      <c r="AF19" s="81"/>
      <c r="AG19" s="81"/>
      <c r="AH19" s="81"/>
      <c r="AI19" s="81"/>
    </row>
    <row r="20" spans="8:35">
      <c r="H20" t="s">
        <v>997</v>
      </c>
      <c r="P20" s="116" t="s">
        <v>981</v>
      </c>
      <c r="Q20" s="116" t="s">
        <v>999</v>
      </c>
      <c r="V20" s="99"/>
      <c r="AC20" t="s">
        <v>1003</v>
      </c>
      <c r="AE20" s="81"/>
      <c r="AF20" s="81"/>
      <c r="AG20" s="81"/>
      <c r="AH20" s="81"/>
      <c r="AI20" s="81"/>
    </row>
    <row r="21" spans="8:35">
      <c r="H21" t="s">
        <v>997</v>
      </c>
      <c r="P21" s="116" t="s">
        <v>981</v>
      </c>
      <c r="Q21" s="116" t="s">
        <v>1000</v>
      </c>
      <c r="AC21" t="s">
        <v>1003</v>
      </c>
      <c r="AE21" s="81"/>
      <c r="AF21" s="81"/>
      <c r="AG21" s="81"/>
      <c r="AH21" s="81"/>
      <c r="AI21" s="81"/>
    </row>
    <row r="22" spans="8:35">
      <c r="H22" t="s">
        <v>997</v>
      </c>
      <c r="P22" s="116" t="s">
        <v>981</v>
      </c>
      <c r="Q22" s="116" t="s">
        <v>1001</v>
      </c>
      <c r="AC22" t="s">
        <v>1003</v>
      </c>
      <c r="AE22" s="81"/>
      <c r="AF22" s="81"/>
      <c r="AG22" s="81"/>
      <c r="AH22" s="81"/>
      <c r="AI22" s="81"/>
    </row>
    <row r="23" spans="8:35">
      <c r="H23" t="s">
        <v>997</v>
      </c>
      <c r="P23" s="116" t="s">
        <v>990</v>
      </c>
      <c r="Q23" s="116" t="s">
        <v>21</v>
      </c>
      <c r="AC23" t="s">
        <v>1003</v>
      </c>
      <c r="AE23" s="81"/>
      <c r="AF23" s="81"/>
      <c r="AG23" s="81"/>
      <c r="AH23" s="81"/>
      <c r="AI23" s="81"/>
    </row>
    <row r="24" spans="8:35">
      <c r="H24" t="s">
        <v>997</v>
      </c>
      <c r="P24" s="116" t="s">
        <v>990</v>
      </c>
      <c r="Q24" s="116" t="s">
        <v>22</v>
      </c>
      <c r="AC24" t="s">
        <v>1003</v>
      </c>
      <c r="AE24" s="81"/>
      <c r="AF24" s="81"/>
      <c r="AG24" s="81"/>
      <c r="AH24" s="81"/>
      <c r="AI24" s="81"/>
    </row>
    <row r="25" spans="8:35">
      <c r="H25" t="s">
        <v>997</v>
      </c>
      <c r="P25" s="116" t="s">
        <v>258</v>
      </c>
      <c r="Q25" s="116" t="s">
        <v>21</v>
      </c>
      <c r="AC25" t="s">
        <v>1003</v>
      </c>
      <c r="AE25" s="81"/>
      <c r="AF25" s="81"/>
      <c r="AG25" s="81"/>
      <c r="AH25" s="81"/>
      <c r="AI25" s="81"/>
    </row>
    <row r="26" spans="8:35">
      <c r="H26" t="s">
        <v>997</v>
      </c>
      <c r="P26" s="116" t="s">
        <v>258</v>
      </c>
      <c r="Q26" s="116" t="s">
        <v>22</v>
      </c>
      <c r="AC26" t="s">
        <v>1003</v>
      </c>
      <c r="AE26" s="81"/>
      <c r="AF26" s="81"/>
      <c r="AG26" s="81"/>
      <c r="AH26" s="81"/>
      <c r="AI26" s="81"/>
    </row>
    <row r="27" spans="8:35">
      <c r="H27" t="s">
        <v>997</v>
      </c>
      <c r="P27" s="116" t="s">
        <v>988</v>
      </c>
      <c r="Q27" s="116" t="s">
        <v>21</v>
      </c>
      <c r="AC27" t="s">
        <v>1003</v>
      </c>
      <c r="AE27" s="81"/>
      <c r="AF27" s="81"/>
      <c r="AG27" s="81"/>
      <c r="AH27" s="81"/>
      <c r="AI27" s="81"/>
    </row>
    <row r="28" spans="8:35">
      <c r="H28" t="s">
        <v>997</v>
      </c>
      <c r="P28" s="116" t="s">
        <v>988</v>
      </c>
      <c r="Q28" s="116" t="s">
        <v>22</v>
      </c>
      <c r="AC28" t="s">
        <v>1003</v>
      </c>
      <c r="AE28" s="81"/>
      <c r="AF28" s="81"/>
      <c r="AG28" s="81"/>
      <c r="AH28" s="81"/>
      <c r="AI28" s="81"/>
    </row>
    <row r="29" spans="8:35">
      <c r="H29" t="s">
        <v>997</v>
      </c>
      <c r="P29" s="116" t="s">
        <v>988</v>
      </c>
      <c r="Q29" s="116" t="s">
        <v>23</v>
      </c>
      <c r="AC29" t="s">
        <v>1003</v>
      </c>
      <c r="AE29" s="81"/>
      <c r="AF29" s="81"/>
      <c r="AG29" s="81"/>
      <c r="AH29" s="81"/>
      <c r="AI29" s="81"/>
    </row>
    <row r="30" spans="8:35">
      <c r="H30" t="s">
        <v>997</v>
      </c>
      <c r="P30" s="116" t="s">
        <v>983</v>
      </c>
      <c r="Q30" s="116" t="s">
        <v>22</v>
      </c>
      <c r="AC30" t="s">
        <v>1003</v>
      </c>
      <c r="AE30" s="81"/>
      <c r="AF30" s="81"/>
      <c r="AG30" s="81"/>
      <c r="AH30" s="81"/>
      <c r="AI30" s="81"/>
    </row>
    <row r="31" spans="8:35">
      <c r="H31" t="s">
        <v>997</v>
      </c>
      <c r="P31" s="116" t="s">
        <v>983</v>
      </c>
      <c r="Q31" s="116" t="s">
        <v>23</v>
      </c>
      <c r="AC31" t="s">
        <v>1003</v>
      </c>
      <c r="AE31" s="81"/>
      <c r="AF31" s="81"/>
      <c r="AG31" s="81"/>
      <c r="AH31" s="81"/>
      <c r="AI31" s="81"/>
    </row>
    <row r="32" spans="8:35">
      <c r="H32" t="s">
        <v>997</v>
      </c>
      <c r="P32" s="116" t="s">
        <v>1002</v>
      </c>
      <c r="Q32" s="116" t="s">
        <v>21</v>
      </c>
      <c r="AC32" t="s">
        <v>1003</v>
      </c>
      <c r="AE32" s="81"/>
      <c r="AF32" s="81"/>
      <c r="AG32" s="81"/>
      <c r="AH32" s="81"/>
      <c r="AI32" s="81"/>
    </row>
    <row r="33" spans="8:35">
      <c r="H33" t="s">
        <v>997</v>
      </c>
      <c r="P33" s="116" t="s">
        <v>1002</v>
      </c>
      <c r="Q33" s="116" t="s">
        <v>22</v>
      </c>
      <c r="AC33" t="s">
        <v>1003</v>
      </c>
      <c r="AE33" s="81"/>
      <c r="AF33" s="81"/>
      <c r="AG33" s="81"/>
      <c r="AH33" s="81"/>
      <c r="AI33" s="81"/>
    </row>
    <row r="34" spans="8:35">
      <c r="H34" t="s">
        <v>997</v>
      </c>
      <c r="P34" s="116" t="s">
        <v>256</v>
      </c>
      <c r="Q34" s="116" t="s">
        <v>24</v>
      </c>
      <c r="AC34" t="s">
        <v>1003</v>
      </c>
      <c r="AE34" s="81"/>
      <c r="AF34" s="81"/>
      <c r="AG34" s="81"/>
      <c r="AH34" s="81"/>
      <c r="AI34" s="81"/>
    </row>
    <row r="35" spans="8:35">
      <c r="H35" t="s">
        <v>997</v>
      </c>
      <c r="P35" s="116" t="s">
        <v>987</v>
      </c>
      <c r="Q35" s="116" t="s">
        <v>21</v>
      </c>
      <c r="AC35" t="s">
        <v>1003</v>
      </c>
      <c r="AE35" s="81"/>
      <c r="AF35" s="81"/>
      <c r="AG35" s="81"/>
      <c r="AH35" s="81"/>
      <c r="AI35" s="81"/>
    </row>
    <row r="36" spans="8:35">
      <c r="H36" t="s">
        <v>997</v>
      </c>
      <c r="P36" s="116" t="s">
        <v>987</v>
      </c>
      <c r="Q36" s="116" t="s">
        <v>22</v>
      </c>
      <c r="AC36" t="s">
        <v>1003</v>
      </c>
      <c r="AE36" s="81"/>
      <c r="AF36" s="81"/>
      <c r="AG36" s="81"/>
      <c r="AH36" s="81"/>
      <c r="AI36" s="81"/>
    </row>
    <row r="37" spans="8:35">
      <c r="H37" t="s">
        <v>997</v>
      </c>
      <c r="P37" s="116" t="s">
        <v>987</v>
      </c>
      <c r="Q37" s="116" t="s">
        <v>23</v>
      </c>
      <c r="AC37" t="s">
        <v>1003</v>
      </c>
      <c r="AE37" s="81"/>
      <c r="AF37" s="81"/>
      <c r="AG37" s="81"/>
      <c r="AH37" s="81"/>
      <c r="AI37" s="81"/>
    </row>
    <row r="38" spans="8:35">
      <c r="H38" t="s">
        <v>997</v>
      </c>
      <c r="P38" s="116" t="s">
        <v>992</v>
      </c>
      <c r="Q38" s="116" t="s">
        <v>22</v>
      </c>
      <c r="AC38" t="s">
        <v>1003</v>
      </c>
      <c r="AE38" s="81"/>
      <c r="AF38" s="81"/>
      <c r="AG38" s="81"/>
      <c r="AH38" s="81"/>
      <c r="AI38" s="81"/>
    </row>
    <row r="39" spans="8:35">
      <c r="H39" t="s">
        <v>997</v>
      </c>
      <c r="P39" s="116" t="s">
        <v>992</v>
      </c>
      <c r="Q39" s="116" t="s">
        <v>23</v>
      </c>
      <c r="AC39" t="s">
        <v>1003</v>
      </c>
      <c r="AE39" s="81"/>
      <c r="AF39" s="81"/>
      <c r="AG39" s="81"/>
      <c r="AH39" s="81"/>
      <c r="AI39" s="81"/>
    </row>
    <row r="40" spans="8:35">
      <c r="H40" t="s">
        <v>997</v>
      </c>
      <c r="P40" s="116" t="s">
        <v>252</v>
      </c>
      <c r="Q40" s="116" t="s">
        <v>21</v>
      </c>
      <c r="AC40" t="s">
        <v>1003</v>
      </c>
      <c r="AE40" s="81"/>
      <c r="AF40" s="81"/>
      <c r="AG40" s="81"/>
      <c r="AH40" s="81"/>
      <c r="AI40" s="81"/>
    </row>
    <row r="41" spans="8:35">
      <c r="H41" t="s">
        <v>997</v>
      </c>
      <c r="P41" s="116" t="s">
        <v>252</v>
      </c>
      <c r="Q41" s="116" t="s">
        <v>22</v>
      </c>
      <c r="AC41" t="s">
        <v>1003</v>
      </c>
      <c r="AE41" s="81"/>
      <c r="AF41" s="81"/>
      <c r="AG41" s="81"/>
      <c r="AH41" s="81"/>
      <c r="AI41" s="81"/>
    </row>
    <row r="42" spans="8:35">
      <c r="H42" t="s">
        <v>997</v>
      </c>
      <c r="P42" s="116" t="s">
        <v>252</v>
      </c>
      <c r="Q42" s="116" t="s">
        <v>23</v>
      </c>
      <c r="AC42" t="s">
        <v>1003</v>
      </c>
      <c r="AE42" s="81"/>
      <c r="AF42" s="81"/>
      <c r="AG42" s="81"/>
      <c r="AH42" s="81"/>
      <c r="AI42" s="81"/>
    </row>
    <row r="43" spans="8:35">
      <c r="H43" t="s">
        <v>997</v>
      </c>
      <c r="P43" s="116" t="s">
        <v>986</v>
      </c>
      <c r="Q43" s="116" t="s">
        <v>21</v>
      </c>
      <c r="AC43" t="s">
        <v>1003</v>
      </c>
      <c r="AE43" s="81"/>
      <c r="AF43" s="81"/>
      <c r="AG43" s="81"/>
      <c r="AH43" s="81"/>
      <c r="AI43" s="81"/>
    </row>
    <row r="44" spans="8:35">
      <c r="H44" t="s">
        <v>997</v>
      </c>
      <c r="P44" s="116" t="s">
        <v>986</v>
      </c>
      <c r="Q44" s="116" t="s">
        <v>22</v>
      </c>
      <c r="AC44" t="s">
        <v>1003</v>
      </c>
      <c r="AE44" s="81"/>
      <c r="AF44" s="81"/>
      <c r="AG44" s="81"/>
      <c r="AH44" s="81"/>
      <c r="AI44" s="81"/>
    </row>
    <row r="45" spans="8:35">
      <c r="H45" t="s">
        <v>997</v>
      </c>
      <c r="P45" s="116" t="s">
        <v>986</v>
      </c>
      <c r="Q45" s="116" t="s">
        <v>23</v>
      </c>
      <c r="AC45" t="s">
        <v>1003</v>
      </c>
      <c r="AE45" s="81"/>
      <c r="AF45" s="81"/>
      <c r="AG45" s="81"/>
      <c r="AH45" s="81"/>
      <c r="AI45" s="81"/>
    </row>
    <row r="46" spans="8:35">
      <c r="H46" t="s">
        <v>997</v>
      </c>
      <c r="P46" s="116" t="s">
        <v>290</v>
      </c>
      <c r="Q46" s="116" t="s">
        <v>22</v>
      </c>
      <c r="AC46" t="s">
        <v>1003</v>
      </c>
      <c r="AE46" s="81"/>
      <c r="AF46" s="81"/>
      <c r="AG46" s="81"/>
      <c r="AH46" s="81"/>
      <c r="AI46" s="81"/>
    </row>
    <row r="47" spans="8:35">
      <c r="H47" t="s">
        <v>997</v>
      </c>
      <c r="P47" s="116" t="s">
        <v>290</v>
      </c>
      <c r="Q47" s="116" t="s">
        <v>23</v>
      </c>
      <c r="AC47" t="s">
        <v>1003</v>
      </c>
      <c r="AE47" s="81"/>
      <c r="AF47" s="81"/>
      <c r="AG47" s="81"/>
      <c r="AH47" s="81"/>
      <c r="AI47" s="81"/>
    </row>
    <row r="48" spans="8:35">
      <c r="H48" t="s">
        <v>997</v>
      </c>
      <c r="P48" s="116" t="s">
        <v>290</v>
      </c>
      <c r="Q48" s="116" t="s">
        <v>24</v>
      </c>
      <c r="AC48" t="s">
        <v>1003</v>
      </c>
      <c r="AE48" s="81"/>
      <c r="AF48" s="81"/>
      <c r="AG48" s="81"/>
      <c r="AH48" s="81"/>
      <c r="AI48" s="81"/>
    </row>
    <row r="49" spans="8:35">
      <c r="H49" t="s">
        <v>997</v>
      </c>
      <c r="P49" s="116" t="s">
        <v>980</v>
      </c>
      <c r="Q49" s="116" t="s">
        <v>21</v>
      </c>
      <c r="AC49" t="s">
        <v>1003</v>
      </c>
      <c r="AE49" s="81"/>
      <c r="AF49" s="81"/>
      <c r="AG49" s="81"/>
      <c r="AH49" s="81"/>
      <c r="AI49" s="81"/>
    </row>
    <row r="50" spans="8:35">
      <c r="H50" t="s">
        <v>997</v>
      </c>
      <c r="P50" s="116" t="s">
        <v>980</v>
      </c>
      <c r="Q50" s="116" t="s">
        <v>22</v>
      </c>
      <c r="AC50" t="s">
        <v>1003</v>
      </c>
      <c r="AE50" s="81"/>
      <c r="AF50" s="81"/>
      <c r="AG50" s="81"/>
      <c r="AH50" s="81"/>
      <c r="AI50" s="81"/>
    </row>
    <row r="51" spans="8:35">
      <c r="H51" t="s">
        <v>997</v>
      </c>
      <c r="P51" s="116" t="s">
        <v>980</v>
      </c>
      <c r="Q51" s="116" t="s">
        <v>23</v>
      </c>
      <c r="AC51" t="s">
        <v>1003</v>
      </c>
      <c r="AE51" s="81"/>
      <c r="AF51" s="81"/>
      <c r="AG51" s="81"/>
      <c r="AH51" s="81"/>
      <c r="AI51" s="81"/>
    </row>
    <row r="52" spans="8:35">
      <c r="H52" t="s">
        <v>997</v>
      </c>
      <c r="P52" s="116" t="s">
        <v>928</v>
      </c>
      <c r="Q52" s="116" t="s">
        <v>21</v>
      </c>
      <c r="AC52" t="s">
        <v>1003</v>
      </c>
      <c r="AE52" s="81"/>
      <c r="AF52" s="81"/>
      <c r="AG52" s="81"/>
      <c r="AH52" s="81"/>
      <c r="AI52" s="81"/>
    </row>
    <row r="53" spans="8:35">
      <c r="H53" t="s">
        <v>997</v>
      </c>
      <c r="P53" s="116" t="s">
        <v>928</v>
      </c>
      <c r="Q53" s="116" t="s">
        <v>22</v>
      </c>
      <c r="AC53" t="s">
        <v>1003</v>
      </c>
      <c r="AE53" s="81"/>
      <c r="AF53" s="81"/>
      <c r="AG53" s="81"/>
      <c r="AH53" s="81"/>
      <c r="AI53" s="81"/>
    </row>
    <row r="54" spans="8:35">
      <c r="H54" t="s">
        <v>997</v>
      </c>
      <c r="P54" s="116" t="s">
        <v>984</v>
      </c>
      <c r="Q54" s="116" t="s">
        <v>21</v>
      </c>
      <c r="AC54" t="s">
        <v>1003</v>
      </c>
      <c r="AE54" s="81"/>
      <c r="AF54" s="81"/>
      <c r="AG54" s="81"/>
      <c r="AH54" s="81"/>
      <c r="AI54" s="81"/>
    </row>
    <row r="55" spans="8:35">
      <c r="H55" t="s">
        <v>997</v>
      </c>
      <c r="P55" s="116" t="s">
        <v>984</v>
      </c>
      <c r="Q55" s="116" t="s">
        <v>22</v>
      </c>
      <c r="AC55" t="s">
        <v>1003</v>
      </c>
      <c r="AE55" s="81"/>
      <c r="AF55" s="81"/>
      <c r="AG55" s="81"/>
      <c r="AH55" s="81"/>
      <c r="AI55" s="81"/>
    </row>
    <row r="56" spans="8:35">
      <c r="H56" t="s">
        <v>997</v>
      </c>
      <c r="P56" s="116" t="s">
        <v>254</v>
      </c>
      <c r="Q56" s="116" t="s">
        <v>21</v>
      </c>
      <c r="AC56" t="s">
        <v>1003</v>
      </c>
      <c r="AE56" s="81"/>
      <c r="AF56" s="81"/>
      <c r="AG56" s="81"/>
      <c r="AH56" s="81"/>
      <c r="AI56" s="81"/>
    </row>
    <row r="57" spans="8:35">
      <c r="H57" t="s">
        <v>997</v>
      </c>
      <c r="P57" s="116" t="s">
        <v>254</v>
      </c>
      <c r="Q57" s="116" t="s">
        <v>22</v>
      </c>
      <c r="AC57" t="s">
        <v>1003</v>
      </c>
      <c r="AE57" s="81"/>
      <c r="AF57" s="81"/>
      <c r="AG57" s="81"/>
      <c r="AH57" s="81"/>
      <c r="AI57" s="81"/>
    </row>
    <row r="58" spans="8:35">
      <c r="H58" t="s">
        <v>997</v>
      </c>
      <c r="P58" s="116" t="s">
        <v>254</v>
      </c>
      <c r="Q58" s="116" t="s">
        <v>23</v>
      </c>
      <c r="AC58" t="s">
        <v>1003</v>
      </c>
      <c r="AE58" s="81"/>
      <c r="AF58" s="81"/>
      <c r="AG58" s="81"/>
      <c r="AH58" s="81"/>
      <c r="AI58" s="81"/>
    </row>
    <row r="59" spans="8:35">
      <c r="H59" t="s">
        <v>997</v>
      </c>
      <c r="P59" s="116" t="s">
        <v>298</v>
      </c>
      <c r="Q59" s="116" t="s">
        <v>972</v>
      </c>
      <c r="AC59" t="s">
        <v>1003</v>
      </c>
      <c r="AE59" s="81"/>
      <c r="AF59" s="81"/>
      <c r="AG59" s="81"/>
      <c r="AH59" s="81"/>
      <c r="AI59" s="81"/>
    </row>
    <row r="60" spans="8:35">
      <c r="H60" t="s">
        <v>997</v>
      </c>
      <c r="P60" s="116" t="s">
        <v>298</v>
      </c>
      <c r="Q60" s="116" t="s">
        <v>973</v>
      </c>
      <c r="AC60" t="s">
        <v>1003</v>
      </c>
      <c r="AE60" s="81"/>
      <c r="AF60" s="81"/>
      <c r="AG60" s="81"/>
      <c r="AH60" s="81"/>
      <c r="AI60" s="81"/>
    </row>
    <row r="61" spans="8:35">
      <c r="H61" t="s">
        <v>997</v>
      </c>
      <c r="P61" s="116" t="s">
        <v>298</v>
      </c>
      <c r="Q61" s="116" t="s">
        <v>974</v>
      </c>
      <c r="AC61" t="s">
        <v>1003</v>
      </c>
      <c r="AE61" s="81"/>
      <c r="AF61" s="81"/>
      <c r="AG61" s="81"/>
      <c r="AH61" s="81"/>
      <c r="AI61" s="81"/>
    </row>
    <row r="62" spans="8:35">
      <c r="H62" t="s">
        <v>997</v>
      </c>
      <c r="P62" s="116" t="s">
        <v>298</v>
      </c>
      <c r="Q62" s="116" t="s">
        <v>975</v>
      </c>
      <c r="AC62" t="s">
        <v>1003</v>
      </c>
      <c r="AE62" s="81"/>
      <c r="AF62" s="81"/>
      <c r="AG62" s="81"/>
      <c r="AH62" s="81"/>
      <c r="AI62" s="81"/>
    </row>
    <row r="63" spans="8:35">
      <c r="H63" t="s">
        <v>997</v>
      </c>
      <c r="P63" s="116" t="s">
        <v>298</v>
      </c>
      <c r="Q63" s="116" t="s">
        <v>976</v>
      </c>
      <c r="AC63" t="s">
        <v>1003</v>
      </c>
      <c r="AE63" s="81"/>
      <c r="AF63" s="81"/>
      <c r="AG63" s="81"/>
      <c r="AH63" s="81"/>
      <c r="AI63" s="81"/>
    </row>
    <row r="64" spans="8:35">
      <c r="H64" t="s">
        <v>997</v>
      </c>
      <c r="P64" s="116" t="s">
        <v>298</v>
      </c>
      <c r="Q64" s="116" t="s">
        <v>977</v>
      </c>
      <c r="AC64" t="s">
        <v>1003</v>
      </c>
      <c r="AE64" s="81"/>
      <c r="AF64" s="81"/>
      <c r="AG64" s="81"/>
      <c r="AH64" s="81"/>
      <c r="AI64" s="81"/>
    </row>
    <row r="65" spans="8:35">
      <c r="H65" t="s">
        <v>997</v>
      </c>
      <c r="P65" s="116" t="s">
        <v>298</v>
      </c>
      <c r="Q65" s="116" t="s">
        <v>978</v>
      </c>
      <c r="AC65" t="s">
        <v>1003</v>
      </c>
      <c r="AE65" s="81"/>
      <c r="AF65" s="81"/>
      <c r="AG65" s="81"/>
      <c r="AH65" s="81"/>
      <c r="AI65" s="81"/>
    </row>
    <row r="66" spans="8:35">
      <c r="H66" t="s">
        <v>997</v>
      </c>
      <c r="P66" s="116" t="s">
        <v>253</v>
      </c>
      <c r="Q66" s="116" t="s">
        <v>21</v>
      </c>
      <c r="AC66" t="s">
        <v>1003</v>
      </c>
      <c r="AE66" s="81"/>
      <c r="AF66" s="81"/>
      <c r="AG66" s="81"/>
      <c r="AH66" s="81"/>
      <c r="AI66" s="81"/>
    </row>
    <row r="67" spans="8:35">
      <c r="H67" t="s">
        <v>997</v>
      </c>
      <c r="P67" s="116" t="s">
        <v>253</v>
      </c>
      <c r="Q67" s="116" t="s">
        <v>22</v>
      </c>
      <c r="AC67" t="s">
        <v>1003</v>
      </c>
      <c r="AE67" s="81"/>
      <c r="AF67" s="81"/>
      <c r="AG67" s="81"/>
      <c r="AH67" s="81"/>
      <c r="AI67" s="81"/>
    </row>
    <row r="68" spans="8:35">
      <c r="H68" t="s">
        <v>997</v>
      </c>
      <c r="P68" s="116" t="s">
        <v>985</v>
      </c>
      <c r="Q68" s="116" t="s">
        <v>21</v>
      </c>
      <c r="AC68" t="s">
        <v>1003</v>
      </c>
      <c r="AE68" s="81"/>
      <c r="AF68" s="81"/>
      <c r="AG68" s="81"/>
      <c r="AH68" s="81"/>
      <c r="AI68" s="81"/>
    </row>
    <row r="69" spans="8:35">
      <c r="H69" t="s">
        <v>997</v>
      </c>
      <c r="P69" s="116" t="s">
        <v>985</v>
      </c>
      <c r="Q69" s="116" t="s">
        <v>22</v>
      </c>
      <c r="AC69" t="s">
        <v>1003</v>
      </c>
      <c r="AE69" s="81"/>
      <c r="AF69" s="81"/>
      <c r="AG69" s="81"/>
      <c r="AH69" s="81"/>
      <c r="AI69" s="81"/>
    </row>
    <row r="70" spans="8:35">
      <c r="H70" t="s">
        <v>997</v>
      </c>
      <c r="P70" s="116" t="s">
        <v>982</v>
      </c>
      <c r="Q70" s="116" t="s">
        <v>21</v>
      </c>
      <c r="AC70" t="s">
        <v>1003</v>
      </c>
      <c r="AE70" s="81"/>
      <c r="AF70" s="81"/>
      <c r="AG70" s="81"/>
      <c r="AH70" s="81"/>
      <c r="AI70" s="81"/>
    </row>
    <row r="71" spans="8:35">
      <c r="H71" t="s">
        <v>997</v>
      </c>
      <c r="P71" s="116" t="s">
        <v>982</v>
      </c>
      <c r="Q71" s="116" t="s">
        <v>22</v>
      </c>
      <c r="AC71" t="s">
        <v>1003</v>
      </c>
      <c r="AE71" s="81"/>
      <c r="AF71" s="81"/>
      <c r="AG71" s="81"/>
      <c r="AH71" s="81"/>
      <c r="AI71" s="81"/>
    </row>
    <row r="72" spans="8:35">
      <c r="H72" t="s">
        <v>997</v>
      </c>
      <c r="P72" s="116" t="s">
        <v>297</v>
      </c>
      <c r="Q72" s="116" t="s">
        <v>21</v>
      </c>
      <c r="AC72" t="s">
        <v>1003</v>
      </c>
      <c r="AE72" s="81"/>
      <c r="AF72" s="81"/>
      <c r="AG72" s="81"/>
      <c r="AH72" s="81"/>
      <c r="AI72" s="81"/>
    </row>
    <row r="73" spans="8:35">
      <c r="H73" t="s">
        <v>997</v>
      </c>
      <c r="P73" s="116" t="s">
        <v>297</v>
      </c>
      <c r="Q73" s="116" t="s">
        <v>22</v>
      </c>
      <c r="AC73" t="s">
        <v>1003</v>
      </c>
      <c r="AE73" s="81"/>
      <c r="AF73" s="81"/>
      <c r="AG73" s="81"/>
      <c r="AH73" s="81"/>
      <c r="AI73" s="81"/>
    </row>
    <row r="74" spans="8:35">
      <c r="H74" t="s">
        <v>997</v>
      </c>
      <c r="P74" s="116"/>
      <c r="Q74" s="116"/>
      <c r="AC74" t="s">
        <v>1003</v>
      </c>
      <c r="AE74" s="81"/>
      <c r="AF74" s="81"/>
      <c r="AG74" s="81"/>
      <c r="AH74" s="81"/>
      <c r="AI74" s="81"/>
    </row>
    <row r="75" spans="8:35">
      <c r="H75" t="s">
        <v>997</v>
      </c>
      <c r="P75" s="116"/>
      <c r="Q75" s="116"/>
      <c r="AC75" t="s">
        <v>1003</v>
      </c>
      <c r="AE75" s="81"/>
      <c r="AF75" s="81"/>
      <c r="AG75" s="81"/>
      <c r="AH75" s="81"/>
      <c r="AI75" s="81"/>
    </row>
    <row r="76" spans="8:35">
      <c r="H76" t="s">
        <v>997</v>
      </c>
      <c r="P76" s="116"/>
      <c r="Q76" s="116"/>
      <c r="AC76" t="s">
        <v>1003</v>
      </c>
      <c r="AE76" s="81"/>
      <c r="AF76" s="81"/>
      <c r="AG76" s="81"/>
      <c r="AH76" s="81"/>
      <c r="AI76" s="81"/>
    </row>
    <row r="77" spans="8:35">
      <c r="H77" t="s">
        <v>997</v>
      </c>
      <c r="P77" s="116"/>
      <c r="Q77" s="116"/>
      <c r="AC77" t="s">
        <v>1003</v>
      </c>
      <c r="AE77" s="81"/>
      <c r="AF77" s="81"/>
      <c r="AG77" s="81"/>
      <c r="AH77" s="81"/>
      <c r="AI77" s="81"/>
    </row>
    <row r="78" spans="8:35">
      <c r="H78" t="s">
        <v>997</v>
      </c>
      <c r="P78" s="116"/>
      <c r="Q78" s="116"/>
      <c r="AC78" t="s">
        <v>1003</v>
      </c>
      <c r="AE78" s="81"/>
      <c r="AF78" s="81"/>
      <c r="AG78" s="81"/>
      <c r="AH78" s="81"/>
      <c r="AI78" s="81"/>
    </row>
    <row r="79" spans="8:35">
      <c r="H79" t="s">
        <v>997</v>
      </c>
      <c r="P79" s="116"/>
      <c r="Q79" s="116"/>
      <c r="AC79" t="s">
        <v>1003</v>
      </c>
      <c r="AE79" s="81"/>
      <c r="AF79" s="81"/>
      <c r="AG79" s="81"/>
      <c r="AH79" s="81"/>
      <c r="AI79" s="81"/>
    </row>
    <row r="80" spans="8:35">
      <c r="H80" t="s">
        <v>997</v>
      </c>
      <c r="P80" s="116"/>
      <c r="Q80" s="116"/>
      <c r="AC80" t="s">
        <v>1003</v>
      </c>
      <c r="AE80" s="81"/>
      <c r="AF80" s="81"/>
      <c r="AG80" s="81"/>
      <c r="AH80" s="81"/>
      <c r="AI80" s="81"/>
    </row>
    <row r="81" spans="1:35">
      <c r="H81" t="s">
        <v>997</v>
      </c>
      <c r="P81" s="116"/>
      <c r="Q81" s="116"/>
      <c r="AC81" t="s">
        <v>1003</v>
      </c>
      <c r="AE81" s="81"/>
      <c r="AF81" s="81"/>
      <c r="AG81" s="81"/>
      <c r="AH81" s="81"/>
      <c r="AI81" s="81"/>
    </row>
    <row r="82" spans="1:35">
      <c r="H82" t="s">
        <v>997</v>
      </c>
      <c r="P82" s="116"/>
      <c r="Q82" s="116"/>
      <c r="AC82" t="s">
        <v>1003</v>
      </c>
      <c r="AE82" s="81"/>
      <c r="AF82" s="81"/>
      <c r="AG82" s="81"/>
      <c r="AH82" s="81"/>
      <c r="AI82" s="81"/>
    </row>
    <row r="83" spans="1:35">
      <c r="H83" t="s">
        <v>997</v>
      </c>
      <c r="P83" s="116"/>
      <c r="Q83" s="116"/>
      <c r="AC83" t="s">
        <v>1003</v>
      </c>
      <c r="AE83" s="81"/>
      <c r="AF83" s="81"/>
      <c r="AG83" s="81"/>
      <c r="AH83" s="81"/>
      <c r="AI83" s="81"/>
    </row>
    <row r="84" spans="1:35">
      <c r="P84" s="114"/>
      <c r="Q84" s="114"/>
    </row>
    <row r="85" spans="1:35" s="1" customFormat="1">
      <c r="A85" s="66"/>
      <c r="B85" s="78" t="s">
        <v>1861</v>
      </c>
      <c r="P85" s="115"/>
      <c r="Q85" s="115"/>
    </row>
    <row r="86" spans="1:35">
      <c r="P86" s="114"/>
      <c r="Q86" s="114"/>
    </row>
    <row r="87" spans="1:35">
      <c r="H87" t="s">
        <v>1006</v>
      </c>
      <c r="P87" s="117" t="str">
        <f t="shared" ref="P87:Q106" si="0">P13</f>
        <v>Aberdeen</v>
      </c>
      <c r="Q87" s="117" t="str">
        <f t="shared" si="0"/>
        <v>A</v>
      </c>
      <c r="AC87" t="s">
        <v>1004</v>
      </c>
      <c r="AE87" s="81"/>
      <c r="AF87" s="81"/>
      <c r="AG87" s="81"/>
      <c r="AH87" s="81"/>
      <c r="AI87" s="81"/>
    </row>
    <row r="88" spans="1:35">
      <c r="H88" t="s">
        <v>1006</v>
      </c>
      <c r="P88" s="117" t="str">
        <f t="shared" si="0"/>
        <v>Aberdeen</v>
      </c>
      <c r="Q88" s="117" t="str">
        <f t="shared" si="0"/>
        <v>B</v>
      </c>
      <c r="AC88" t="s">
        <v>1004</v>
      </c>
      <c r="AE88" s="81"/>
      <c r="AF88" s="81"/>
      <c r="AG88" s="81"/>
      <c r="AH88" s="81"/>
      <c r="AI88" s="81"/>
    </row>
    <row r="89" spans="1:35">
      <c r="H89" t="s">
        <v>1006</v>
      </c>
      <c r="P89" s="117" t="str">
        <f t="shared" si="0"/>
        <v>Aberdeen</v>
      </c>
      <c r="Q89" s="117" t="str">
        <f t="shared" si="0"/>
        <v>C</v>
      </c>
      <c r="AC89" t="s">
        <v>1004</v>
      </c>
      <c r="AE89" s="81"/>
      <c r="AF89" s="81"/>
      <c r="AG89" s="81"/>
      <c r="AH89" s="81"/>
      <c r="AI89" s="81"/>
    </row>
    <row r="90" spans="1:35">
      <c r="H90" t="s">
        <v>1006</v>
      </c>
      <c r="P90" s="117" t="str">
        <f t="shared" si="0"/>
        <v>Alrewas</v>
      </c>
      <c r="Q90" s="117" t="str">
        <f t="shared" si="0"/>
        <v>A</v>
      </c>
      <c r="AC90" t="s">
        <v>1004</v>
      </c>
      <c r="AE90" s="81"/>
      <c r="AF90" s="81"/>
      <c r="AG90" s="81"/>
      <c r="AH90" s="81"/>
      <c r="AI90" s="81"/>
    </row>
    <row r="91" spans="1:35">
      <c r="H91" t="s">
        <v>1006</v>
      </c>
      <c r="P91" s="117" t="str">
        <f t="shared" si="0"/>
        <v>Alrewas</v>
      </c>
      <c r="Q91" s="117" t="str">
        <f t="shared" si="0"/>
        <v>B</v>
      </c>
      <c r="AC91" t="s">
        <v>1004</v>
      </c>
      <c r="AE91" s="81"/>
      <c r="AF91" s="81"/>
      <c r="AG91" s="81"/>
      <c r="AH91" s="81"/>
      <c r="AI91" s="81"/>
    </row>
    <row r="92" spans="1:35">
      <c r="H92" t="s">
        <v>1006</v>
      </c>
      <c r="P92" s="117" t="str">
        <f t="shared" si="0"/>
        <v>Alrewas</v>
      </c>
      <c r="Q92" s="117" t="str">
        <f t="shared" si="0"/>
        <v>C</v>
      </c>
      <c r="AC92" t="s">
        <v>1004</v>
      </c>
      <c r="AE92" s="81"/>
      <c r="AF92" s="81"/>
      <c r="AG92" s="81"/>
      <c r="AH92" s="81"/>
      <c r="AI92" s="81"/>
    </row>
    <row r="93" spans="1:35">
      <c r="H93" t="s">
        <v>1006</v>
      </c>
      <c r="P93" s="117" t="str">
        <f t="shared" si="0"/>
        <v>Avonbridge</v>
      </c>
      <c r="Q93" s="117" t="str">
        <f t="shared" si="0"/>
        <v>1A {W}</v>
      </c>
      <c r="AC93" t="s">
        <v>1004</v>
      </c>
      <c r="AE93" s="81"/>
      <c r="AF93" s="81"/>
      <c r="AG93" s="81"/>
      <c r="AH93" s="81"/>
      <c r="AI93" s="81"/>
    </row>
    <row r="94" spans="1:35">
      <c r="H94" t="s">
        <v>1006</v>
      </c>
      <c r="P94" s="117" t="str">
        <f t="shared" si="0"/>
        <v>Avonbridge</v>
      </c>
      <c r="Q94" s="117" t="str">
        <f t="shared" si="0"/>
        <v>1B {W}</v>
      </c>
      <c r="AC94" t="s">
        <v>1004</v>
      </c>
      <c r="AE94" s="81"/>
      <c r="AF94" s="81"/>
      <c r="AG94" s="81"/>
      <c r="AH94" s="81"/>
      <c r="AI94" s="81"/>
    </row>
    <row r="95" spans="1:35">
      <c r="H95" t="s">
        <v>1006</v>
      </c>
      <c r="P95" s="117" t="str">
        <f t="shared" si="0"/>
        <v>Avonbridge</v>
      </c>
      <c r="Q95" s="117" t="str">
        <f t="shared" si="0"/>
        <v>2A {E}</v>
      </c>
      <c r="AC95" t="s">
        <v>1004</v>
      </c>
      <c r="AE95" s="81"/>
      <c r="AF95" s="81"/>
      <c r="AG95" s="81"/>
      <c r="AH95" s="81"/>
      <c r="AI95" s="81"/>
    </row>
    <row r="96" spans="1:35">
      <c r="H96" t="s">
        <v>1006</v>
      </c>
      <c r="P96" s="117" t="str">
        <f t="shared" si="0"/>
        <v>Avonbridge</v>
      </c>
      <c r="Q96" s="117" t="str">
        <f t="shared" si="0"/>
        <v>2B {E}</v>
      </c>
      <c r="AC96" t="s">
        <v>1004</v>
      </c>
      <c r="AE96" s="81"/>
      <c r="AF96" s="81"/>
      <c r="AG96" s="81"/>
      <c r="AH96" s="81"/>
      <c r="AI96" s="81"/>
    </row>
    <row r="97" spans="8:35">
      <c r="H97" t="s">
        <v>1006</v>
      </c>
      <c r="P97" s="117" t="str">
        <f t="shared" si="0"/>
        <v>Aylesbury</v>
      </c>
      <c r="Q97" s="117" t="str">
        <f t="shared" si="0"/>
        <v>A</v>
      </c>
      <c r="AC97" t="s">
        <v>1004</v>
      </c>
      <c r="AE97" s="81"/>
      <c r="AF97" s="81"/>
      <c r="AG97" s="81"/>
      <c r="AH97" s="81"/>
      <c r="AI97" s="81"/>
    </row>
    <row r="98" spans="8:35">
      <c r="H98" t="s">
        <v>1006</v>
      </c>
      <c r="P98" s="117" t="str">
        <f t="shared" si="0"/>
        <v>Aylesbury</v>
      </c>
      <c r="Q98" s="117" t="str">
        <f t="shared" si="0"/>
        <v>B</v>
      </c>
      <c r="AC98" t="s">
        <v>1004</v>
      </c>
      <c r="AE98" s="81"/>
      <c r="AF98" s="81"/>
      <c r="AG98" s="81"/>
      <c r="AH98" s="81"/>
      <c r="AI98" s="81"/>
    </row>
    <row r="99" spans="8:35">
      <c r="H99" t="s">
        <v>1006</v>
      </c>
      <c r="P99" s="117" t="str">
        <f t="shared" si="0"/>
        <v>Bishop Auckland</v>
      </c>
      <c r="Q99" s="117" t="str">
        <f t="shared" si="0"/>
        <v>A</v>
      </c>
      <c r="AC99" t="s">
        <v>1004</v>
      </c>
      <c r="AE99" s="81"/>
      <c r="AF99" s="81"/>
      <c r="AG99" s="81"/>
      <c r="AH99" s="81"/>
      <c r="AI99" s="81"/>
    </row>
    <row r="100" spans="8:35">
      <c r="H100" t="s">
        <v>1006</v>
      </c>
      <c r="P100" s="117" t="str">
        <f t="shared" si="0"/>
        <v>Bishop Auckland</v>
      </c>
      <c r="Q100" s="117" t="str">
        <f t="shared" si="0"/>
        <v>B</v>
      </c>
      <c r="AC100" t="s">
        <v>1004</v>
      </c>
      <c r="AE100" s="81"/>
      <c r="AF100" s="81"/>
      <c r="AG100" s="81"/>
      <c r="AH100" s="81"/>
      <c r="AI100" s="81"/>
    </row>
    <row r="101" spans="8:35">
      <c r="H101" t="s">
        <v>1006</v>
      </c>
      <c r="P101" s="117" t="str">
        <f t="shared" si="0"/>
        <v>Cambridge</v>
      </c>
      <c r="Q101" s="117" t="str">
        <f t="shared" si="0"/>
        <v>A</v>
      </c>
      <c r="AC101" t="s">
        <v>1004</v>
      </c>
      <c r="AE101" s="81"/>
      <c r="AF101" s="81"/>
      <c r="AG101" s="81"/>
      <c r="AH101" s="81"/>
      <c r="AI101" s="81"/>
    </row>
    <row r="102" spans="8:35">
      <c r="H102" t="s">
        <v>1006</v>
      </c>
      <c r="P102" s="117" t="str">
        <f t="shared" si="0"/>
        <v>Cambridge</v>
      </c>
      <c r="Q102" s="117" t="str">
        <f t="shared" si="0"/>
        <v>B</v>
      </c>
      <c r="AC102" t="s">
        <v>1004</v>
      </c>
      <c r="AE102" s="81"/>
      <c r="AF102" s="81"/>
      <c r="AG102" s="81"/>
      <c r="AH102" s="81"/>
      <c r="AI102" s="81"/>
    </row>
    <row r="103" spans="8:35">
      <c r="H103" t="s">
        <v>1006</v>
      </c>
      <c r="P103" s="117" t="str">
        <f t="shared" si="0"/>
        <v>Cambridge</v>
      </c>
      <c r="Q103" s="117" t="str">
        <f t="shared" si="0"/>
        <v>C</v>
      </c>
      <c r="AC103" t="s">
        <v>1004</v>
      </c>
      <c r="AE103" s="81"/>
      <c r="AF103" s="81"/>
      <c r="AG103" s="81"/>
      <c r="AH103" s="81"/>
      <c r="AI103" s="81"/>
    </row>
    <row r="104" spans="8:35">
      <c r="H104" t="s">
        <v>1006</v>
      </c>
      <c r="P104" s="117" t="str">
        <f t="shared" si="0"/>
        <v>Carnforth</v>
      </c>
      <c r="Q104" s="117" t="str">
        <f t="shared" si="0"/>
        <v>B</v>
      </c>
      <c r="AC104" t="s">
        <v>1004</v>
      </c>
      <c r="AE104" s="81"/>
      <c r="AF104" s="81"/>
      <c r="AG104" s="81"/>
      <c r="AH104" s="81"/>
      <c r="AI104" s="81"/>
    </row>
    <row r="105" spans="8:35">
      <c r="H105" t="s">
        <v>1006</v>
      </c>
      <c r="P105" s="117" t="str">
        <f t="shared" si="0"/>
        <v>Carnforth</v>
      </c>
      <c r="Q105" s="117" t="str">
        <f t="shared" si="0"/>
        <v>C</v>
      </c>
      <c r="AC105" t="s">
        <v>1004</v>
      </c>
      <c r="AE105" s="81"/>
      <c r="AF105" s="81"/>
      <c r="AG105" s="81"/>
      <c r="AH105" s="81"/>
      <c r="AI105" s="81"/>
    </row>
    <row r="106" spans="8:35">
      <c r="H106" t="s">
        <v>1006</v>
      </c>
      <c r="P106" s="117" t="str">
        <f t="shared" si="0"/>
        <v>Chelmsford</v>
      </c>
      <c r="Q106" s="117" t="str">
        <f t="shared" si="0"/>
        <v>A</v>
      </c>
      <c r="AC106" t="s">
        <v>1004</v>
      </c>
      <c r="AE106" s="81"/>
      <c r="AF106" s="81"/>
      <c r="AG106" s="81"/>
      <c r="AH106" s="81"/>
      <c r="AI106" s="81"/>
    </row>
    <row r="107" spans="8:35">
      <c r="H107" t="s">
        <v>1006</v>
      </c>
      <c r="P107" s="117" t="str">
        <f t="shared" ref="P107:Q126" si="1">P33</f>
        <v>Chelmsford</v>
      </c>
      <c r="Q107" s="117" t="str">
        <f t="shared" si="1"/>
        <v>B</v>
      </c>
      <c r="AC107" t="s">
        <v>1004</v>
      </c>
      <c r="AE107" s="81"/>
      <c r="AF107" s="81"/>
      <c r="AG107" s="81"/>
      <c r="AH107" s="81"/>
      <c r="AI107" s="81"/>
    </row>
    <row r="108" spans="8:35">
      <c r="H108" t="s">
        <v>1006</v>
      </c>
      <c r="P108" s="117" t="str">
        <f t="shared" si="1"/>
        <v>Churchover</v>
      </c>
      <c r="Q108" s="117" t="str">
        <f t="shared" si="1"/>
        <v>D</v>
      </c>
      <c r="AC108" t="s">
        <v>1004</v>
      </c>
      <c r="AE108" s="81"/>
      <c r="AF108" s="81"/>
      <c r="AG108" s="81"/>
      <c r="AH108" s="81"/>
      <c r="AI108" s="81"/>
    </row>
    <row r="109" spans="8:35">
      <c r="H109" t="s">
        <v>1006</v>
      </c>
      <c r="P109" s="117" t="str">
        <f t="shared" si="1"/>
        <v>Diss</v>
      </c>
      <c r="Q109" s="117" t="str">
        <f t="shared" si="1"/>
        <v>A</v>
      </c>
      <c r="AC109" t="s">
        <v>1004</v>
      </c>
      <c r="AE109" s="81"/>
      <c r="AF109" s="81"/>
      <c r="AG109" s="81"/>
      <c r="AH109" s="81"/>
      <c r="AI109" s="81"/>
    </row>
    <row r="110" spans="8:35">
      <c r="H110" t="s">
        <v>1006</v>
      </c>
      <c r="P110" s="117" t="str">
        <f t="shared" si="1"/>
        <v>Diss</v>
      </c>
      <c r="Q110" s="117" t="str">
        <f t="shared" si="1"/>
        <v>B</v>
      </c>
      <c r="AC110" t="s">
        <v>1004</v>
      </c>
      <c r="AE110" s="81"/>
      <c r="AF110" s="81"/>
      <c r="AG110" s="81"/>
      <c r="AH110" s="81"/>
      <c r="AI110" s="81"/>
    </row>
    <row r="111" spans="8:35">
      <c r="H111" t="s">
        <v>1006</v>
      </c>
      <c r="P111" s="117" t="str">
        <f t="shared" si="1"/>
        <v>Diss</v>
      </c>
      <c r="Q111" s="117" t="str">
        <f t="shared" si="1"/>
        <v>C</v>
      </c>
      <c r="AC111" t="s">
        <v>1004</v>
      </c>
      <c r="AE111" s="81"/>
      <c r="AF111" s="81"/>
      <c r="AG111" s="81"/>
      <c r="AH111" s="81"/>
      <c r="AI111" s="81"/>
    </row>
    <row r="112" spans="8:35">
      <c r="H112" t="s">
        <v>1006</v>
      </c>
      <c r="P112" s="117" t="str">
        <f t="shared" si="1"/>
        <v>Felindre</v>
      </c>
      <c r="Q112" s="117" t="str">
        <f t="shared" si="1"/>
        <v>B</v>
      </c>
      <c r="AC112" t="s">
        <v>1004</v>
      </c>
      <c r="AE112" s="81"/>
      <c r="AF112" s="81"/>
      <c r="AG112" s="81"/>
      <c r="AH112" s="81"/>
      <c r="AI112" s="81"/>
    </row>
    <row r="113" spans="8:35">
      <c r="H113" t="s">
        <v>1006</v>
      </c>
      <c r="P113" s="117" t="str">
        <f t="shared" si="1"/>
        <v>Felindre</v>
      </c>
      <c r="Q113" s="117" t="str">
        <f t="shared" si="1"/>
        <v>C</v>
      </c>
      <c r="AC113" t="s">
        <v>1004</v>
      </c>
      <c r="AE113" s="81"/>
      <c r="AF113" s="81"/>
      <c r="AG113" s="81"/>
      <c r="AH113" s="81"/>
      <c r="AI113" s="81"/>
    </row>
    <row r="114" spans="8:35">
      <c r="H114" t="s">
        <v>1006</v>
      </c>
      <c r="P114" s="117" t="str">
        <f t="shared" si="1"/>
        <v>Hatton</v>
      </c>
      <c r="Q114" s="117" t="str">
        <f t="shared" si="1"/>
        <v>A</v>
      </c>
      <c r="AC114" t="s">
        <v>1004</v>
      </c>
      <c r="AE114" s="81"/>
      <c r="AF114" s="81"/>
      <c r="AG114" s="81"/>
      <c r="AH114" s="81"/>
      <c r="AI114" s="81"/>
    </row>
    <row r="115" spans="8:35">
      <c r="H115" t="s">
        <v>1006</v>
      </c>
      <c r="P115" s="117" t="str">
        <f t="shared" si="1"/>
        <v>Hatton</v>
      </c>
      <c r="Q115" s="117" t="str">
        <f t="shared" si="1"/>
        <v>B</v>
      </c>
      <c r="AC115" t="s">
        <v>1004</v>
      </c>
      <c r="AE115" s="81"/>
      <c r="AF115" s="81"/>
      <c r="AG115" s="81"/>
      <c r="AH115" s="81"/>
      <c r="AI115" s="81"/>
    </row>
    <row r="116" spans="8:35">
      <c r="H116" t="s">
        <v>1006</v>
      </c>
      <c r="P116" s="117" t="str">
        <f t="shared" si="1"/>
        <v>Hatton</v>
      </c>
      <c r="Q116" s="117" t="str">
        <f t="shared" si="1"/>
        <v>C</v>
      </c>
      <c r="AC116" t="s">
        <v>1004</v>
      </c>
      <c r="AE116" s="81"/>
      <c r="AF116" s="81"/>
      <c r="AG116" s="81"/>
      <c r="AH116" s="81"/>
      <c r="AI116" s="81"/>
    </row>
    <row r="117" spans="8:35">
      <c r="H117" t="s">
        <v>1006</v>
      </c>
      <c r="P117" s="117" t="str">
        <f t="shared" si="1"/>
        <v>Huntingdon</v>
      </c>
      <c r="Q117" s="117" t="str">
        <f t="shared" si="1"/>
        <v>A</v>
      </c>
      <c r="AC117" t="s">
        <v>1004</v>
      </c>
      <c r="AE117" s="81"/>
      <c r="AF117" s="81"/>
      <c r="AG117" s="81"/>
      <c r="AH117" s="81"/>
      <c r="AI117" s="81"/>
    </row>
    <row r="118" spans="8:35">
      <c r="H118" t="s">
        <v>1006</v>
      </c>
      <c r="P118" s="117" t="str">
        <f t="shared" si="1"/>
        <v>Huntingdon</v>
      </c>
      <c r="Q118" s="117" t="str">
        <f t="shared" si="1"/>
        <v>B</v>
      </c>
      <c r="AC118" t="s">
        <v>1004</v>
      </c>
      <c r="AE118" s="81"/>
      <c r="AF118" s="81"/>
      <c r="AG118" s="81"/>
      <c r="AH118" s="81"/>
      <c r="AI118" s="81"/>
    </row>
    <row r="119" spans="8:35">
      <c r="H119" t="s">
        <v>1006</v>
      </c>
      <c r="P119" s="117" t="str">
        <f t="shared" si="1"/>
        <v>Huntingdon</v>
      </c>
      <c r="Q119" s="117" t="str">
        <f t="shared" si="1"/>
        <v>C</v>
      </c>
      <c r="AC119" t="s">
        <v>1004</v>
      </c>
      <c r="AE119" s="81"/>
      <c r="AF119" s="81"/>
      <c r="AG119" s="81"/>
      <c r="AH119" s="81"/>
      <c r="AI119" s="81"/>
    </row>
    <row r="120" spans="8:35">
      <c r="H120" t="s">
        <v>1006</v>
      </c>
      <c r="P120" s="117" t="str">
        <f t="shared" si="1"/>
        <v>Kings Lynn</v>
      </c>
      <c r="Q120" s="117" t="str">
        <f t="shared" si="1"/>
        <v>B</v>
      </c>
      <c r="AC120" t="s">
        <v>1004</v>
      </c>
      <c r="AE120" s="81"/>
      <c r="AF120" s="81"/>
      <c r="AG120" s="81"/>
      <c r="AH120" s="81"/>
      <c r="AI120" s="81"/>
    </row>
    <row r="121" spans="8:35">
      <c r="H121" t="s">
        <v>1006</v>
      </c>
      <c r="P121" s="117" t="str">
        <f t="shared" si="1"/>
        <v>Kings Lynn</v>
      </c>
      <c r="Q121" s="117" t="str">
        <f t="shared" si="1"/>
        <v>C</v>
      </c>
      <c r="AC121" t="s">
        <v>1004</v>
      </c>
      <c r="AE121" s="81"/>
      <c r="AF121" s="81"/>
      <c r="AG121" s="81"/>
      <c r="AH121" s="81"/>
      <c r="AI121" s="81"/>
    </row>
    <row r="122" spans="8:35">
      <c r="H122" t="s">
        <v>1006</v>
      </c>
      <c r="P122" s="117" t="str">
        <f t="shared" si="1"/>
        <v>Kings Lynn</v>
      </c>
      <c r="Q122" s="117" t="str">
        <f t="shared" si="1"/>
        <v>D</v>
      </c>
      <c r="AC122" t="s">
        <v>1004</v>
      </c>
      <c r="AE122" s="81"/>
      <c r="AF122" s="81"/>
      <c r="AG122" s="81"/>
      <c r="AH122" s="81"/>
      <c r="AI122" s="81"/>
    </row>
    <row r="123" spans="8:35">
      <c r="H123" t="s">
        <v>1006</v>
      </c>
      <c r="P123" s="117" t="str">
        <f t="shared" si="1"/>
        <v>Kirriemuir</v>
      </c>
      <c r="Q123" s="117" t="str">
        <f t="shared" si="1"/>
        <v>A</v>
      </c>
      <c r="AC123" t="s">
        <v>1004</v>
      </c>
      <c r="AE123" s="81"/>
      <c r="AF123" s="81"/>
      <c r="AG123" s="81"/>
      <c r="AH123" s="81"/>
      <c r="AI123" s="81"/>
    </row>
    <row r="124" spans="8:35">
      <c r="H124" t="s">
        <v>1006</v>
      </c>
      <c r="P124" s="117" t="str">
        <f t="shared" si="1"/>
        <v>Kirriemuir</v>
      </c>
      <c r="Q124" s="117" t="str">
        <f t="shared" si="1"/>
        <v>B</v>
      </c>
      <c r="AC124" t="s">
        <v>1004</v>
      </c>
      <c r="AE124" s="81"/>
      <c r="AF124" s="81"/>
      <c r="AG124" s="81"/>
      <c r="AH124" s="81"/>
      <c r="AI124" s="81"/>
    </row>
    <row r="125" spans="8:35">
      <c r="H125" t="s">
        <v>1006</v>
      </c>
      <c r="P125" s="117" t="str">
        <f t="shared" si="1"/>
        <v>Kirriemuir</v>
      </c>
      <c r="Q125" s="117" t="str">
        <f t="shared" si="1"/>
        <v>C</v>
      </c>
      <c r="AC125" t="s">
        <v>1004</v>
      </c>
      <c r="AE125" s="81"/>
      <c r="AF125" s="81"/>
      <c r="AG125" s="81"/>
      <c r="AH125" s="81"/>
      <c r="AI125" s="81"/>
    </row>
    <row r="126" spans="8:35">
      <c r="H126" t="s">
        <v>1006</v>
      </c>
      <c r="P126" s="117" t="str">
        <f t="shared" si="1"/>
        <v>Moffat</v>
      </c>
      <c r="Q126" s="117" t="str">
        <f t="shared" si="1"/>
        <v>A</v>
      </c>
      <c r="AC126" t="s">
        <v>1004</v>
      </c>
      <c r="AE126" s="81"/>
      <c r="AF126" s="81"/>
      <c r="AG126" s="81"/>
      <c r="AH126" s="81"/>
      <c r="AI126" s="81"/>
    </row>
    <row r="127" spans="8:35">
      <c r="H127" t="s">
        <v>1006</v>
      </c>
      <c r="P127" s="117" t="str">
        <f t="shared" ref="P127:Q146" si="2">P53</f>
        <v>Moffat</v>
      </c>
      <c r="Q127" s="117" t="str">
        <f t="shared" si="2"/>
        <v>B</v>
      </c>
      <c r="AC127" t="s">
        <v>1004</v>
      </c>
      <c r="AE127" s="81"/>
      <c r="AF127" s="81"/>
      <c r="AG127" s="81"/>
      <c r="AH127" s="81"/>
      <c r="AI127" s="81"/>
    </row>
    <row r="128" spans="8:35">
      <c r="H128" t="s">
        <v>1006</v>
      </c>
      <c r="P128" s="117" t="str">
        <f t="shared" si="2"/>
        <v>Nether Kellet</v>
      </c>
      <c r="Q128" s="117" t="str">
        <f t="shared" si="2"/>
        <v>A</v>
      </c>
      <c r="AC128" t="s">
        <v>1004</v>
      </c>
      <c r="AE128" s="81"/>
      <c r="AF128" s="81"/>
      <c r="AG128" s="81"/>
      <c r="AH128" s="81"/>
      <c r="AI128" s="81"/>
    </row>
    <row r="129" spans="8:35">
      <c r="H129" t="s">
        <v>1006</v>
      </c>
      <c r="P129" s="117" t="str">
        <f t="shared" si="2"/>
        <v>Nether Kellet</v>
      </c>
      <c r="Q129" s="117" t="str">
        <f t="shared" si="2"/>
        <v>B</v>
      </c>
      <c r="AC129" t="s">
        <v>1004</v>
      </c>
      <c r="AE129" s="81"/>
      <c r="AF129" s="81"/>
      <c r="AG129" s="81"/>
      <c r="AH129" s="81"/>
      <c r="AI129" s="81"/>
    </row>
    <row r="130" spans="8:35">
      <c r="H130" t="s">
        <v>1006</v>
      </c>
      <c r="P130" s="117" t="str">
        <f t="shared" si="2"/>
        <v>Peterborough</v>
      </c>
      <c r="Q130" s="117" t="str">
        <f t="shared" si="2"/>
        <v>A</v>
      </c>
      <c r="AC130" t="s">
        <v>1004</v>
      </c>
      <c r="AE130" s="81"/>
      <c r="AF130" s="81"/>
      <c r="AG130" s="81"/>
      <c r="AH130" s="81"/>
      <c r="AI130" s="81"/>
    </row>
    <row r="131" spans="8:35">
      <c r="H131" t="s">
        <v>1006</v>
      </c>
      <c r="P131" s="117" t="str">
        <f t="shared" si="2"/>
        <v>Peterborough</v>
      </c>
      <c r="Q131" s="117" t="str">
        <f t="shared" si="2"/>
        <v>B</v>
      </c>
      <c r="AC131" t="s">
        <v>1004</v>
      </c>
      <c r="AE131" s="81"/>
      <c r="AF131" s="81"/>
      <c r="AG131" s="81"/>
      <c r="AH131" s="81"/>
      <c r="AI131" s="81"/>
    </row>
    <row r="132" spans="8:35">
      <c r="H132" t="s">
        <v>1006</v>
      </c>
      <c r="P132" s="117" t="str">
        <f t="shared" si="2"/>
        <v>Peterborough</v>
      </c>
      <c r="Q132" s="117" t="str">
        <f t="shared" si="2"/>
        <v>C</v>
      </c>
      <c r="AC132" t="s">
        <v>1004</v>
      </c>
      <c r="AE132" s="81"/>
      <c r="AF132" s="81"/>
      <c r="AG132" s="81"/>
      <c r="AH132" s="81"/>
      <c r="AI132" s="81"/>
    </row>
    <row r="133" spans="8:35">
      <c r="H133" t="s">
        <v>1006</v>
      </c>
      <c r="P133" s="117" t="str">
        <f t="shared" si="2"/>
        <v>St Fergus</v>
      </c>
      <c r="Q133" s="117" t="str">
        <f t="shared" si="2"/>
        <v>1A</v>
      </c>
      <c r="AC133" t="s">
        <v>1004</v>
      </c>
      <c r="AE133" s="81"/>
      <c r="AF133" s="81"/>
      <c r="AG133" s="81"/>
      <c r="AH133" s="81"/>
      <c r="AI133" s="81"/>
    </row>
    <row r="134" spans="8:35">
      <c r="H134" t="s">
        <v>1006</v>
      </c>
      <c r="P134" s="117" t="str">
        <f t="shared" si="2"/>
        <v>St Fergus</v>
      </c>
      <c r="Q134" s="117" t="str">
        <f t="shared" si="2"/>
        <v>1B</v>
      </c>
      <c r="AC134" t="s">
        <v>1004</v>
      </c>
      <c r="AE134" s="81"/>
      <c r="AF134" s="81"/>
      <c r="AG134" s="81"/>
      <c r="AH134" s="81"/>
      <c r="AI134" s="81"/>
    </row>
    <row r="135" spans="8:35">
      <c r="H135" t="s">
        <v>1006</v>
      </c>
      <c r="P135" s="117" t="str">
        <f t="shared" si="2"/>
        <v>St Fergus</v>
      </c>
      <c r="Q135" s="117" t="str">
        <f t="shared" si="2"/>
        <v>1C</v>
      </c>
      <c r="AC135" t="s">
        <v>1004</v>
      </c>
      <c r="AE135" s="81"/>
      <c r="AF135" s="81"/>
      <c r="AG135" s="81"/>
      <c r="AH135" s="81"/>
      <c r="AI135" s="81"/>
    </row>
    <row r="136" spans="8:35">
      <c r="H136" t="s">
        <v>1006</v>
      </c>
      <c r="P136" s="117" t="str">
        <f t="shared" si="2"/>
        <v>St Fergus</v>
      </c>
      <c r="Q136" s="117" t="str">
        <f t="shared" si="2"/>
        <v>1D</v>
      </c>
      <c r="AC136" t="s">
        <v>1004</v>
      </c>
      <c r="AE136" s="81"/>
      <c r="AF136" s="81"/>
      <c r="AG136" s="81"/>
      <c r="AH136" s="81"/>
      <c r="AI136" s="81"/>
    </row>
    <row r="137" spans="8:35">
      <c r="H137" t="s">
        <v>1006</v>
      </c>
      <c r="P137" s="117" t="str">
        <f t="shared" si="2"/>
        <v>St Fergus</v>
      </c>
      <c r="Q137" s="117" t="str">
        <f t="shared" si="2"/>
        <v>2A</v>
      </c>
      <c r="AC137" t="s">
        <v>1004</v>
      </c>
      <c r="AE137" s="81"/>
      <c r="AF137" s="81"/>
      <c r="AG137" s="81"/>
      <c r="AH137" s="81"/>
      <c r="AI137" s="81"/>
    </row>
    <row r="138" spans="8:35">
      <c r="H138" t="s">
        <v>1006</v>
      </c>
      <c r="P138" s="117" t="str">
        <f t="shared" si="2"/>
        <v>St Fergus</v>
      </c>
      <c r="Q138" s="117" t="str">
        <f t="shared" si="2"/>
        <v>2B</v>
      </c>
      <c r="AC138" t="s">
        <v>1004</v>
      </c>
      <c r="AE138" s="81"/>
      <c r="AF138" s="81"/>
      <c r="AG138" s="81"/>
      <c r="AH138" s="81"/>
      <c r="AI138" s="81"/>
    </row>
    <row r="139" spans="8:35">
      <c r="H139" t="s">
        <v>1006</v>
      </c>
      <c r="P139" s="117" t="str">
        <f t="shared" si="2"/>
        <v>St Fergus</v>
      </c>
      <c r="Q139" s="117" t="str">
        <f t="shared" si="2"/>
        <v>2D</v>
      </c>
      <c r="AC139" t="s">
        <v>1004</v>
      </c>
      <c r="AE139" s="81"/>
      <c r="AF139" s="81"/>
      <c r="AG139" s="81"/>
      <c r="AH139" s="81"/>
      <c r="AI139" s="81"/>
    </row>
    <row r="140" spans="8:35">
      <c r="H140" t="s">
        <v>1006</v>
      </c>
      <c r="P140" s="117" t="str">
        <f t="shared" si="2"/>
        <v>Warrington</v>
      </c>
      <c r="Q140" s="117" t="str">
        <f t="shared" si="2"/>
        <v>A</v>
      </c>
      <c r="AC140" t="s">
        <v>1004</v>
      </c>
      <c r="AE140" s="81"/>
      <c r="AF140" s="81"/>
      <c r="AG140" s="81"/>
      <c r="AH140" s="81"/>
      <c r="AI140" s="81"/>
    </row>
    <row r="141" spans="8:35">
      <c r="H141" t="s">
        <v>1006</v>
      </c>
      <c r="P141" s="117" t="str">
        <f t="shared" si="2"/>
        <v>Warrington</v>
      </c>
      <c r="Q141" s="117" t="str">
        <f t="shared" si="2"/>
        <v>B</v>
      </c>
      <c r="AC141" t="s">
        <v>1004</v>
      </c>
      <c r="AE141" s="81"/>
      <c r="AF141" s="81"/>
      <c r="AG141" s="81"/>
      <c r="AH141" s="81"/>
      <c r="AI141" s="81"/>
    </row>
    <row r="142" spans="8:35">
      <c r="H142" t="s">
        <v>1006</v>
      </c>
      <c r="P142" s="117" t="str">
        <f t="shared" si="2"/>
        <v>Wisbech</v>
      </c>
      <c r="Q142" s="117" t="str">
        <f t="shared" si="2"/>
        <v>A</v>
      </c>
      <c r="AC142" t="s">
        <v>1004</v>
      </c>
      <c r="AE142" s="81"/>
      <c r="AF142" s="81"/>
      <c r="AG142" s="81"/>
      <c r="AH142" s="81"/>
      <c r="AI142" s="81"/>
    </row>
    <row r="143" spans="8:35">
      <c r="H143" t="s">
        <v>1006</v>
      </c>
      <c r="P143" s="117" t="str">
        <f t="shared" si="2"/>
        <v>Wisbech</v>
      </c>
      <c r="Q143" s="117" t="str">
        <f t="shared" si="2"/>
        <v>B</v>
      </c>
      <c r="AC143" t="s">
        <v>1004</v>
      </c>
      <c r="AE143" s="81"/>
      <c r="AF143" s="81"/>
      <c r="AG143" s="81"/>
      <c r="AH143" s="81"/>
      <c r="AI143" s="81"/>
    </row>
    <row r="144" spans="8:35">
      <c r="H144" t="s">
        <v>1006</v>
      </c>
      <c r="P144" s="117" t="str">
        <f t="shared" si="2"/>
        <v>Wooler</v>
      </c>
      <c r="Q144" s="117" t="str">
        <f t="shared" si="2"/>
        <v>A</v>
      </c>
      <c r="AC144" t="s">
        <v>1004</v>
      </c>
      <c r="AE144" s="81"/>
      <c r="AF144" s="81"/>
      <c r="AG144" s="81"/>
      <c r="AH144" s="81"/>
      <c r="AI144" s="81"/>
    </row>
    <row r="145" spans="1:35">
      <c r="H145" t="s">
        <v>1006</v>
      </c>
      <c r="P145" s="117" t="str">
        <f t="shared" si="2"/>
        <v>Wooler</v>
      </c>
      <c r="Q145" s="117" t="str">
        <f t="shared" si="2"/>
        <v>B</v>
      </c>
      <c r="AC145" t="s">
        <v>1004</v>
      </c>
      <c r="AE145" s="81"/>
      <c r="AF145" s="81"/>
      <c r="AG145" s="81"/>
      <c r="AH145" s="81"/>
      <c r="AI145" s="81"/>
    </row>
    <row r="146" spans="1:35">
      <c r="H146" t="s">
        <v>1006</v>
      </c>
      <c r="P146" s="117" t="str">
        <f t="shared" si="2"/>
        <v>Wormington</v>
      </c>
      <c r="Q146" s="117" t="str">
        <f t="shared" si="2"/>
        <v>A</v>
      </c>
      <c r="AC146" t="s">
        <v>1004</v>
      </c>
      <c r="AE146" s="81"/>
      <c r="AF146" s="81"/>
      <c r="AG146" s="81"/>
      <c r="AH146" s="81"/>
      <c r="AI146" s="81"/>
    </row>
    <row r="147" spans="1:35">
      <c r="H147" t="s">
        <v>1006</v>
      </c>
      <c r="P147" s="117" t="str">
        <f t="shared" ref="P147:Q147" si="3">P73</f>
        <v>Wormington</v>
      </c>
      <c r="Q147" s="117" t="str">
        <f t="shared" si="3"/>
        <v>B</v>
      </c>
      <c r="AC147" t="s">
        <v>1004</v>
      </c>
      <c r="AE147" s="81"/>
      <c r="AF147" s="81"/>
      <c r="AG147" s="81"/>
      <c r="AH147" s="81"/>
      <c r="AI147" s="81"/>
    </row>
    <row r="148" spans="1:35">
      <c r="H148" t="s">
        <v>1006</v>
      </c>
      <c r="P148" s="117"/>
      <c r="Q148" s="117"/>
      <c r="AC148" t="s">
        <v>1004</v>
      </c>
      <c r="AE148" s="81"/>
      <c r="AF148" s="81"/>
      <c r="AG148" s="81"/>
      <c r="AH148" s="81"/>
      <c r="AI148" s="81"/>
    </row>
    <row r="149" spans="1:35">
      <c r="H149" t="s">
        <v>1006</v>
      </c>
      <c r="P149" s="117"/>
      <c r="Q149" s="117"/>
      <c r="AC149" t="s">
        <v>1004</v>
      </c>
      <c r="AE149" s="81"/>
      <c r="AF149" s="81"/>
      <c r="AG149" s="81"/>
      <c r="AH149" s="81"/>
      <c r="AI149" s="81"/>
    </row>
    <row r="150" spans="1:35">
      <c r="H150" t="s">
        <v>1006</v>
      </c>
      <c r="P150" s="117"/>
      <c r="Q150" s="117"/>
      <c r="AC150" t="s">
        <v>1004</v>
      </c>
      <c r="AE150" s="81"/>
      <c r="AF150" s="81"/>
      <c r="AG150" s="81"/>
      <c r="AH150" s="81"/>
      <c r="AI150" s="81"/>
    </row>
    <row r="151" spans="1:35">
      <c r="H151" t="s">
        <v>1006</v>
      </c>
      <c r="P151" s="117"/>
      <c r="Q151" s="117"/>
      <c r="AC151" t="s">
        <v>1004</v>
      </c>
      <c r="AE151" s="81"/>
      <c r="AF151" s="81"/>
      <c r="AG151" s="81"/>
      <c r="AH151" s="81"/>
      <c r="AI151" s="81"/>
    </row>
    <row r="152" spans="1:35">
      <c r="H152" t="s">
        <v>1006</v>
      </c>
      <c r="P152" s="117"/>
      <c r="Q152" s="117"/>
      <c r="AC152" t="s">
        <v>1004</v>
      </c>
      <c r="AE152" s="81"/>
      <c r="AF152" s="81"/>
      <c r="AG152" s="81"/>
      <c r="AH152" s="81"/>
      <c r="AI152" s="81"/>
    </row>
    <row r="153" spans="1:35">
      <c r="H153" t="s">
        <v>1006</v>
      </c>
      <c r="P153" s="117"/>
      <c r="Q153" s="117"/>
      <c r="AC153" t="s">
        <v>1004</v>
      </c>
      <c r="AE153" s="81"/>
      <c r="AF153" s="81"/>
      <c r="AG153" s="81"/>
      <c r="AH153" s="81"/>
      <c r="AI153" s="81"/>
    </row>
    <row r="154" spans="1:35">
      <c r="H154" t="s">
        <v>1006</v>
      </c>
      <c r="P154" s="117"/>
      <c r="Q154" s="117"/>
      <c r="AC154" t="s">
        <v>1004</v>
      </c>
      <c r="AE154" s="81"/>
      <c r="AF154" s="81"/>
      <c r="AG154" s="81"/>
      <c r="AH154" s="81"/>
      <c r="AI154" s="81"/>
    </row>
    <row r="155" spans="1:35">
      <c r="H155" t="s">
        <v>1006</v>
      </c>
      <c r="P155" s="117"/>
      <c r="Q155" s="117"/>
      <c r="AC155" t="s">
        <v>1004</v>
      </c>
      <c r="AE155" s="81"/>
      <c r="AF155" s="81"/>
      <c r="AG155" s="81"/>
      <c r="AH155" s="81"/>
      <c r="AI155" s="81"/>
    </row>
    <row r="156" spans="1:35">
      <c r="H156" t="s">
        <v>1006</v>
      </c>
      <c r="P156" s="117"/>
      <c r="Q156" s="117"/>
      <c r="AC156" t="s">
        <v>1004</v>
      </c>
      <c r="AE156" s="81"/>
      <c r="AF156" s="81"/>
      <c r="AG156" s="81"/>
      <c r="AH156" s="81"/>
      <c r="AI156" s="81"/>
    </row>
    <row r="157" spans="1:35">
      <c r="H157" t="s">
        <v>1006</v>
      </c>
      <c r="P157" s="117"/>
      <c r="Q157" s="117"/>
      <c r="AC157" t="s">
        <v>1004</v>
      </c>
      <c r="AE157" s="81"/>
      <c r="AF157" s="81"/>
      <c r="AG157" s="81"/>
      <c r="AH157" s="81"/>
      <c r="AI157" s="81"/>
    </row>
    <row r="159" spans="1:35" s="1" customFormat="1">
      <c r="A159" s="66"/>
      <c r="B159" s="78" t="s">
        <v>1005</v>
      </c>
      <c r="P159" s="115"/>
      <c r="Q159" s="115"/>
    </row>
    <row r="161" spans="8:35">
      <c r="H161" t="s">
        <v>1007</v>
      </c>
      <c r="I161" t="s">
        <v>259</v>
      </c>
      <c r="AC161" t="s">
        <v>1009</v>
      </c>
      <c r="AE161" s="81"/>
      <c r="AF161" s="81"/>
      <c r="AG161" s="81"/>
      <c r="AH161" s="81"/>
      <c r="AI161" s="81"/>
    </row>
    <row r="162" spans="8:35">
      <c r="H162" t="s">
        <v>1007</v>
      </c>
      <c r="I162" t="s">
        <v>1008</v>
      </c>
      <c r="AC162" t="s">
        <v>1009</v>
      </c>
      <c r="AE162" s="81"/>
      <c r="AF162" s="81"/>
      <c r="AG162" s="81"/>
      <c r="AH162" s="81"/>
      <c r="AI162" s="81"/>
    </row>
    <row r="164" spans="8:35">
      <c r="H164" t="s">
        <v>1007</v>
      </c>
      <c r="I164" t="s">
        <v>1010</v>
      </c>
      <c r="AC164" t="s">
        <v>965</v>
      </c>
      <c r="AE164" s="81"/>
      <c r="AF164" s="81"/>
      <c r="AG164" s="81"/>
      <c r="AH164" s="81"/>
      <c r="AI164" s="81"/>
    </row>
    <row r="165" spans="8:35">
      <c r="H165" t="s">
        <v>1007</v>
      </c>
      <c r="I165" t="s">
        <v>1011</v>
      </c>
      <c r="AC165" t="s">
        <v>965</v>
      </c>
      <c r="AE165" s="81"/>
      <c r="AF165" s="81"/>
      <c r="AG165" s="81"/>
      <c r="AH165" s="81"/>
      <c r="AI165" s="81"/>
    </row>
  </sheetData>
  <mergeCells count="1">
    <mergeCell ref="AE6:AI6"/>
  </mergeCells>
  <phoneticPr fontId="5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rgb="FFFF9900"/>
  </sheetPr>
  <dimension ref="A1:AI764"/>
  <sheetViews>
    <sheetView zoomScale="80" zoomScaleNormal="80" workbookViewId="0"/>
  </sheetViews>
  <sheetFormatPr defaultRowHeight="14.25"/>
  <cols>
    <col min="1" max="15" width="1.73046875" customWidth="1"/>
    <col min="16" max="16" width="18" customWidth="1"/>
    <col min="17" max="17" width="17.265625" customWidth="1"/>
    <col min="18" max="20" width="14.59765625" customWidth="1"/>
    <col min="21" max="21" width="16.86328125" customWidth="1"/>
    <col min="22" max="22" width="14.59765625" customWidth="1"/>
    <col min="23" max="23" width="19.1328125" customWidth="1"/>
    <col min="24" max="24" width="14.59765625" customWidth="1"/>
    <col min="25" max="28" width="0" hidden="1" customWidth="1"/>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1860</v>
      </c>
    </row>
    <row r="6" spans="1:35" s="435" customFormat="1">
      <c r="AE6" s="1362" t="s">
        <v>112</v>
      </c>
      <c r="AF6" s="1363"/>
      <c r="AG6" s="1363"/>
      <c r="AH6" s="1363"/>
      <c r="AI6" s="1364"/>
    </row>
    <row r="7" spans="1:35" s="67" customFormat="1" ht="44.45" customHeight="1">
      <c r="D7" s="87"/>
      <c r="E7" s="87"/>
      <c r="F7" s="87"/>
      <c r="G7" s="87"/>
      <c r="H7" s="87"/>
      <c r="I7" s="87"/>
      <c r="J7" s="87"/>
      <c r="K7" s="87"/>
      <c r="L7" s="87"/>
      <c r="M7" s="87"/>
      <c r="N7" s="87"/>
      <c r="O7" s="87"/>
      <c r="P7" s="1321" t="s">
        <v>259</v>
      </c>
      <c r="Q7" s="1321" t="s">
        <v>2743</v>
      </c>
      <c r="R7" s="1321" t="s">
        <v>2744</v>
      </c>
      <c r="S7" s="1321" t="s">
        <v>2745</v>
      </c>
      <c r="T7" s="1321" t="s">
        <v>2746</v>
      </c>
      <c r="U7" s="1321" t="s">
        <v>2747</v>
      </c>
      <c r="V7" s="1321" t="s">
        <v>2748</v>
      </c>
      <c r="W7" s="1321" t="s">
        <v>2749</v>
      </c>
      <c r="X7" s="1321" t="s">
        <v>2750</v>
      </c>
      <c r="Y7" s="86" t="s">
        <v>92</v>
      </c>
      <c r="Z7" s="86" t="s">
        <v>91</v>
      </c>
      <c r="AA7" s="86" t="s">
        <v>90</v>
      </c>
      <c r="AB7" s="86" t="s">
        <v>89</v>
      </c>
      <c r="AC7" s="67" t="s">
        <v>5</v>
      </c>
      <c r="AE7" s="90">
        <v>2022</v>
      </c>
      <c r="AF7" s="91">
        <v>2023</v>
      </c>
      <c r="AG7" s="91">
        <v>2024</v>
      </c>
      <c r="AH7" s="91">
        <v>2025</v>
      </c>
      <c r="AI7" s="92">
        <v>2026</v>
      </c>
    </row>
    <row r="8" spans="1:35" s="435" customFormat="1">
      <c r="P8" s="67"/>
      <c r="Q8" s="67"/>
      <c r="R8" s="67"/>
      <c r="S8" s="67"/>
      <c r="T8" s="67"/>
      <c r="U8" s="67"/>
      <c r="V8" s="67"/>
    </row>
    <row r="9" spans="1:35" s="1" customFormat="1" ht="17.649999999999999">
      <c r="A9" s="78" t="s">
        <v>2756</v>
      </c>
      <c r="B9" s="2"/>
      <c r="P9" s="115"/>
      <c r="Q9" s="115"/>
    </row>
    <row r="11" spans="1:35" s="1" customFormat="1">
      <c r="A11" s="66"/>
      <c r="B11" s="78" t="s">
        <v>259</v>
      </c>
      <c r="P11" s="115"/>
      <c r="Q11" s="115"/>
    </row>
    <row r="12" spans="1:35" s="435" customFormat="1"/>
    <row r="13" spans="1:35">
      <c r="P13" s="81"/>
      <c r="Q13" s="81"/>
      <c r="R13" s="81"/>
      <c r="S13" s="81"/>
      <c r="T13" s="81"/>
      <c r="U13" s="81"/>
      <c r="V13" s="81"/>
      <c r="W13" s="81"/>
      <c r="X13" s="81"/>
      <c r="AC13" t="s">
        <v>2755</v>
      </c>
      <c r="AE13" s="81"/>
      <c r="AF13" s="81"/>
      <c r="AG13" s="81"/>
      <c r="AH13" s="81"/>
      <c r="AI13" s="81"/>
    </row>
    <row r="14" spans="1:35">
      <c r="P14" s="81"/>
      <c r="Q14" s="81"/>
      <c r="R14" s="81"/>
      <c r="S14" s="81"/>
      <c r="T14" s="81"/>
      <c r="U14" s="81"/>
      <c r="V14" s="81"/>
      <c r="W14" s="81"/>
      <c r="X14" s="81"/>
      <c r="Y14" s="435"/>
      <c r="Z14" s="435"/>
      <c r="AA14" s="435"/>
      <c r="AB14" s="435"/>
      <c r="AC14" s="435" t="s">
        <v>2755</v>
      </c>
      <c r="AD14" s="435"/>
      <c r="AE14" s="81"/>
      <c r="AF14" s="81"/>
      <c r="AG14" s="81"/>
      <c r="AH14" s="81"/>
      <c r="AI14" s="81"/>
    </row>
    <row r="15" spans="1:35">
      <c r="P15" s="81"/>
      <c r="Q15" s="81"/>
      <c r="R15" s="81"/>
      <c r="S15" s="81"/>
      <c r="T15" s="81"/>
      <c r="U15" s="81"/>
      <c r="V15" s="81"/>
      <c r="W15" s="81"/>
      <c r="X15" s="81"/>
      <c r="Y15" s="435"/>
      <c r="Z15" s="435"/>
      <c r="AA15" s="435"/>
      <c r="AB15" s="435"/>
      <c r="AC15" s="435" t="s">
        <v>2755</v>
      </c>
      <c r="AD15" s="435"/>
      <c r="AE15" s="81"/>
      <c r="AF15" s="81"/>
      <c r="AG15" s="81"/>
      <c r="AH15" s="81"/>
      <c r="AI15" s="81"/>
    </row>
    <row r="16" spans="1:35">
      <c r="P16" s="81"/>
      <c r="Q16" s="81"/>
      <c r="R16" s="81"/>
      <c r="S16" s="81"/>
      <c r="T16" s="81"/>
      <c r="U16" s="81"/>
      <c r="V16" s="81"/>
      <c r="W16" s="81"/>
      <c r="X16" s="81"/>
      <c r="Y16" s="435"/>
      <c r="Z16" s="435"/>
      <c r="AA16" s="435"/>
      <c r="AB16" s="435"/>
      <c r="AC16" s="435" t="s">
        <v>2755</v>
      </c>
      <c r="AD16" s="435"/>
      <c r="AE16" s="81"/>
      <c r="AF16" s="81"/>
      <c r="AG16" s="81"/>
      <c r="AH16" s="81"/>
      <c r="AI16" s="81"/>
    </row>
    <row r="17" spans="16:35">
      <c r="P17" s="81"/>
      <c r="Q17" s="81"/>
      <c r="R17" s="81"/>
      <c r="S17" s="81"/>
      <c r="T17" s="81"/>
      <c r="U17" s="81"/>
      <c r="V17" s="81"/>
      <c r="W17" s="81"/>
      <c r="X17" s="81"/>
      <c r="Y17" s="435"/>
      <c r="Z17" s="435"/>
      <c r="AA17" s="435"/>
      <c r="AB17" s="435"/>
      <c r="AC17" s="435" t="s">
        <v>2755</v>
      </c>
      <c r="AD17" s="435"/>
      <c r="AE17" s="81"/>
      <c r="AF17" s="81"/>
      <c r="AG17" s="81"/>
      <c r="AH17" s="81"/>
      <c r="AI17" s="81"/>
    </row>
    <row r="18" spans="16:35">
      <c r="P18" s="81"/>
      <c r="Q18" s="81"/>
      <c r="R18" s="81"/>
      <c r="S18" s="81"/>
      <c r="T18" s="81"/>
      <c r="U18" s="81"/>
      <c r="V18" s="81"/>
      <c r="W18" s="81"/>
      <c r="X18" s="81"/>
      <c r="Y18" s="435"/>
      <c r="Z18" s="435"/>
      <c r="AA18" s="435"/>
      <c r="AB18" s="435"/>
      <c r="AC18" s="435" t="s">
        <v>2755</v>
      </c>
      <c r="AD18" s="435"/>
      <c r="AE18" s="81"/>
      <c r="AF18" s="81"/>
      <c r="AG18" s="81"/>
      <c r="AH18" s="81"/>
      <c r="AI18" s="81"/>
    </row>
    <row r="19" spans="16:35">
      <c r="P19" s="81"/>
      <c r="Q19" s="81"/>
      <c r="R19" s="81"/>
      <c r="S19" s="81"/>
      <c r="T19" s="81"/>
      <c r="U19" s="81"/>
      <c r="V19" s="81"/>
      <c r="W19" s="81"/>
      <c r="X19" s="81"/>
      <c r="Y19" s="435"/>
      <c r="Z19" s="435"/>
      <c r="AA19" s="435"/>
      <c r="AB19" s="435"/>
      <c r="AC19" s="435" t="s">
        <v>2755</v>
      </c>
      <c r="AD19" s="435"/>
      <c r="AE19" s="81"/>
      <c r="AF19" s="81"/>
      <c r="AG19" s="81"/>
      <c r="AH19" s="81"/>
      <c r="AI19" s="81"/>
    </row>
    <row r="20" spans="16:35">
      <c r="P20" s="81"/>
      <c r="Q20" s="81"/>
      <c r="R20" s="81"/>
      <c r="S20" s="81"/>
      <c r="T20" s="81"/>
      <c r="U20" s="81"/>
      <c r="V20" s="81"/>
      <c r="W20" s="81"/>
      <c r="X20" s="81"/>
      <c r="Y20" s="435"/>
      <c r="Z20" s="435"/>
      <c r="AA20" s="435"/>
      <c r="AB20" s="435"/>
      <c r="AC20" s="435" t="s">
        <v>2755</v>
      </c>
      <c r="AD20" s="435"/>
      <c r="AE20" s="81"/>
      <c r="AF20" s="81"/>
      <c r="AG20" s="81"/>
      <c r="AH20" s="81"/>
      <c r="AI20" s="81"/>
    </row>
    <row r="21" spans="16:35">
      <c r="P21" s="81"/>
      <c r="Q21" s="81"/>
      <c r="R21" s="81"/>
      <c r="S21" s="81"/>
      <c r="T21" s="81"/>
      <c r="U21" s="81"/>
      <c r="V21" s="81"/>
      <c r="W21" s="81"/>
      <c r="X21" s="81"/>
      <c r="Y21" s="435"/>
      <c r="Z21" s="435"/>
      <c r="AA21" s="435"/>
      <c r="AB21" s="435"/>
      <c r="AC21" s="435" t="s">
        <v>2755</v>
      </c>
      <c r="AD21" s="435"/>
      <c r="AE21" s="81"/>
      <c r="AF21" s="81"/>
      <c r="AG21" s="81"/>
      <c r="AH21" s="81"/>
      <c r="AI21" s="81"/>
    </row>
    <row r="22" spans="16:35">
      <c r="P22" s="81"/>
      <c r="Q22" s="81"/>
      <c r="R22" s="81"/>
      <c r="S22" s="81"/>
      <c r="T22" s="81"/>
      <c r="U22" s="81"/>
      <c r="V22" s="81"/>
      <c r="W22" s="81"/>
      <c r="X22" s="81"/>
      <c r="Y22" s="435"/>
      <c r="Z22" s="435"/>
      <c r="AA22" s="435"/>
      <c r="AB22" s="435"/>
      <c r="AC22" s="435" t="s">
        <v>2755</v>
      </c>
      <c r="AD22" s="435"/>
      <c r="AE22" s="81"/>
      <c r="AF22" s="81"/>
      <c r="AG22" s="81"/>
      <c r="AH22" s="81"/>
      <c r="AI22" s="81"/>
    </row>
    <row r="23" spans="16:35">
      <c r="P23" s="81"/>
      <c r="Q23" s="81"/>
      <c r="R23" s="81"/>
      <c r="S23" s="81"/>
      <c r="T23" s="81"/>
      <c r="U23" s="81"/>
      <c r="V23" s="81"/>
      <c r="W23" s="81"/>
      <c r="X23" s="81"/>
      <c r="Y23" s="435"/>
      <c r="Z23" s="435"/>
      <c r="AA23" s="435"/>
      <c r="AB23" s="435"/>
      <c r="AC23" s="435" t="s">
        <v>2755</v>
      </c>
      <c r="AD23" s="435"/>
      <c r="AE23" s="81"/>
      <c r="AF23" s="81"/>
      <c r="AG23" s="81"/>
      <c r="AH23" s="81"/>
      <c r="AI23" s="81"/>
    </row>
    <row r="24" spans="16:35">
      <c r="P24" s="81"/>
      <c r="Q24" s="81"/>
      <c r="R24" s="81"/>
      <c r="S24" s="81"/>
      <c r="T24" s="81"/>
      <c r="U24" s="81"/>
      <c r="V24" s="81"/>
      <c r="W24" s="81"/>
      <c r="X24" s="81"/>
      <c r="Y24" s="435"/>
      <c r="Z24" s="435"/>
      <c r="AA24" s="435"/>
      <c r="AB24" s="435"/>
      <c r="AC24" s="435" t="s">
        <v>2755</v>
      </c>
      <c r="AD24" s="435"/>
      <c r="AE24" s="81"/>
      <c r="AF24" s="81"/>
      <c r="AG24" s="81"/>
      <c r="AH24" s="81"/>
      <c r="AI24" s="81"/>
    </row>
    <row r="25" spans="16:35">
      <c r="P25" s="81"/>
      <c r="Q25" s="81"/>
      <c r="R25" s="81"/>
      <c r="S25" s="81"/>
      <c r="T25" s="81"/>
      <c r="U25" s="81"/>
      <c r="V25" s="81"/>
      <c r="W25" s="81"/>
      <c r="X25" s="81"/>
      <c r="Y25" s="435"/>
      <c r="Z25" s="435"/>
      <c r="AA25" s="435"/>
      <c r="AB25" s="435"/>
      <c r="AC25" s="435" t="s">
        <v>2755</v>
      </c>
      <c r="AD25" s="435"/>
      <c r="AE25" s="81"/>
      <c r="AF25" s="81"/>
      <c r="AG25" s="81"/>
      <c r="AH25" s="81"/>
      <c r="AI25" s="81"/>
    </row>
    <row r="26" spans="16:35">
      <c r="P26" s="81"/>
      <c r="Q26" s="81"/>
      <c r="R26" s="81"/>
      <c r="S26" s="81"/>
      <c r="T26" s="81"/>
      <c r="U26" s="81"/>
      <c r="V26" s="81"/>
      <c r="W26" s="81"/>
      <c r="X26" s="81"/>
      <c r="Y26" s="435"/>
      <c r="Z26" s="435"/>
      <c r="AA26" s="435"/>
      <c r="AB26" s="435"/>
      <c r="AC26" s="435" t="s">
        <v>2755</v>
      </c>
      <c r="AD26" s="435"/>
      <c r="AE26" s="81"/>
      <c r="AF26" s="81"/>
      <c r="AG26" s="81"/>
      <c r="AH26" s="81"/>
      <c r="AI26" s="81"/>
    </row>
    <row r="27" spans="16:35">
      <c r="P27" s="81"/>
      <c r="Q27" s="81"/>
      <c r="R27" s="81"/>
      <c r="S27" s="81"/>
      <c r="T27" s="81"/>
      <c r="U27" s="81"/>
      <c r="V27" s="81"/>
      <c r="W27" s="81"/>
      <c r="X27" s="81"/>
      <c r="Y27" s="435"/>
      <c r="Z27" s="435"/>
      <c r="AA27" s="435"/>
      <c r="AB27" s="435"/>
      <c r="AC27" s="435" t="s">
        <v>2755</v>
      </c>
      <c r="AD27" s="435"/>
      <c r="AE27" s="81"/>
      <c r="AF27" s="81"/>
      <c r="AG27" s="81"/>
      <c r="AH27" s="81"/>
      <c r="AI27" s="81"/>
    </row>
    <row r="28" spans="16:35">
      <c r="P28" s="81"/>
      <c r="Q28" s="81"/>
      <c r="R28" s="81"/>
      <c r="S28" s="81"/>
      <c r="T28" s="81"/>
      <c r="U28" s="81"/>
      <c r="V28" s="81"/>
      <c r="W28" s="81"/>
      <c r="X28" s="81"/>
      <c r="Y28" s="435"/>
      <c r="Z28" s="435"/>
      <c r="AA28" s="435"/>
      <c r="AB28" s="435"/>
      <c r="AC28" s="435" t="s">
        <v>2755</v>
      </c>
      <c r="AD28" s="435"/>
      <c r="AE28" s="81"/>
      <c r="AF28" s="81"/>
      <c r="AG28" s="81"/>
      <c r="AH28" s="81"/>
      <c r="AI28" s="81"/>
    </row>
    <row r="29" spans="16:35">
      <c r="P29" s="81"/>
      <c r="Q29" s="81"/>
      <c r="R29" s="81"/>
      <c r="S29" s="81"/>
      <c r="T29" s="81"/>
      <c r="U29" s="81"/>
      <c r="V29" s="81"/>
      <c r="W29" s="81"/>
      <c r="X29" s="81"/>
      <c r="Y29" s="435"/>
      <c r="Z29" s="435"/>
      <c r="AA29" s="435"/>
      <c r="AB29" s="435"/>
      <c r="AC29" s="435" t="s">
        <v>2755</v>
      </c>
      <c r="AD29" s="435"/>
      <c r="AE29" s="81"/>
      <c r="AF29" s="81"/>
      <c r="AG29" s="81"/>
      <c r="AH29" s="81"/>
      <c r="AI29" s="81"/>
    </row>
    <row r="30" spans="16:35">
      <c r="P30" s="81"/>
      <c r="Q30" s="81"/>
      <c r="R30" s="81"/>
      <c r="S30" s="81"/>
      <c r="T30" s="81"/>
      <c r="U30" s="81"/>
      <c r="V30" s="81"/>
      <c r="W30" s="81"/>
      <c r="X30" s="81"/>
      <c r="Y30" s="435"/>
      <c r="Z30" s="435"/>
      <c r="AA30" s="435"/>
      <c r="AB30" s="435"/>
      <c r="AC30" s="435" t="s">
        <v>2755</v>
      </c>
      <c r="AD30" s="435"/>
      <c r="AE30" s="81"/>
      <c r="AF30" s="81"/>
      <c r="AG30" s="81"/>
      <c r="AH30" s="81"/>
      <c r="AI30" s="81"/>
    </row>
    <row r="31" spans="16:35">
      <c r="P31" s="81"/>
      <c r="Q31" s="81"/>
      <c r="R31" s="81"/>
      <c r="S31" s="81"/>
      <c r="T31" s="81"/>
      <c r="U31" s="81"/>
      <c r="V31" s="81"/>
      <c r="W31" s="81"/>
      <c r="X31" s="81"/>
      <c r="Y31" s="435"/>
      <c r="Z31" s="435"/>
      <c r="AA31" s="435"/>
      <c r="AB31" s="435"/>
      <c r="AC31" s="435" t="s">
        <v>2755</v>
      </c>
      <c r="AD31" s="435"/>
      <c r="AE31" s="81"/>
      <c r="AF31" s="81"/>
      <c r="AG31" s="81"/>
      <c r="AH31" s="81"/>
      <c r="AI31" s="81"/>
    </row>
    <row r="32" spans="16:35">
      <c r="P32" s="81"/>
      <c r="Q32" s="81"/>
      <c r="R32" s="81"/>
      <c r="S32" s="81"/>
      <c r="T32" s="81"/>
      <c r="U32" s="81"/>
      <c r="V32" s="81"/>
      <c r="W32" s="81"/>
      <c r="X32" s="81"/>
      <c r="Y32" s="435"/>
      <c r="Z32" s="435"/>
      <c r="AA32" s="435"/>
      <c r="AB32" s="435"/>
      <c r="AC32" s="435" t="s">
        <v>2755</v>
      </c>
      <c r="AD32" s="435"/>
      <c r="AE32" s="81"/>
      <c r="AF32" s="81"/>
      <c r="AG32" s="81"/>
      <c r="AH32" s="81"/>
      <c r="AI32" s="81"/>
    </row>
    <row r="33" spans="16:35">
      <c r="P33" s="81"/>
      <c r="Q33" s="81"/>
      <c r="R33" s="81"/>
      <c r="S33" s="81"/>
      <c r="T33" s="81"/>
      <c r="U33" s="81"/>
      <c r="V33" s="81"/>
      <c r="W33" s="81"/>
      <c r="X33" s="81"/>
      <c r="Y33" s="435"/>
      <c r="Z33" s="435"/>
      <c r="AA33" s="435"/>
      <c r="AB33" s="435"/>
      <c r="AC33" s="435" t="s">
        <v>2755</v>
      </c>
      <c r="AD33" s="435"/>
      <c r="AE33" s="81"/>
      <c r="AF33" s="81"/>
      <c r="AG33" s="81"/>
      <c r="AH33" s="81"/>
      <c r="AI33" s="81"/>
    </row>
    <row r="34" spans="16:35">
      <c r="P34" s="81"/>
      <c r="Q34" s="81"/>
      <c r="R34" s="81"/>
      <c r="S34" s="81"/>
      <c r="T34" s="81"/>
      <c r="U34" s="81"/>
      <c r="V34" s="81"/>
      <c r="W34" s="81"/>
      <c r="X34" s="81"/>
      <c r="Y34" s="435"/>
      <c r="Z34" s="435"/>
      <c r="AA34" s="435"/>
      <c r="AB34" s="435"/>
      <c r="AC34" s="435" t="s">
        <v>2755</v>
      </c>
      <c r="AD34" s="435"/>
      <c r="AE34" s="81"/>
      <c r="AF34" s="81"/>
      <c r="AG34" s="81"/>
      <c r="AH34" s="81"/>
      <c r="AI34" s="81"/>
    </row>
    <row r="35" spans="16:35">
      <c r="P35" s="81"/>
      <c r="Q35" s="81"/>
      <c r="R35" s="81"/>
      <c r="S35" s="81"/>
      <c r="T35" s="81"/>
      <c r="U35" s="81"/>
      <c r="V35" s="81"/>
      <c r="W35" s="81"/>
      <c r="X35" s="81"/>
      <c r="Y35" s="435"/>
      <c r="Z35" s="435"/>
      <c r="AA35" s="435"/>
      <c r="AB35" s="435"/>
      <c r="AC35" s="435" t="s">
        <v>2755</v>
      </c>
      <c r="AD35" s="435"/>
      <c r="AE35" s="81"/>
      <c r="AF35" s="81"/>
      <c r="AG35" s="81"/>
      <c r="AH35" s="81"/>
      <c r="AI35" s="81"/>
    </row>
    <row r="36" spans="16:35">
      <c r="P36" s="81"/>
      <c r="Q36" s="81"/>
      <c r="R36" s="81"/>
      <c r="S36" s="81"/>
      <c r="T36" s="81"/>
      <c r="U36" s="81"/>
      <c r="V36" s="81"/>
      <c r="W36" s="81"/>
      <c r="X36" s="81"/>
      <c r="Y36" s="435"/>
      <c r="Z36" s="435"/>
      <c r="AA36" s="435"/>
      <c r="AB36" s="435"/>
      <c r="AC36" s="435" t="s">
        <v>2755</v>
      </c>
      <c r="AD36" s="435"/>
      <c r="AE36" s="81"/>
      <c r="AF36" s="81"/>
      <c r="AG36" s="81"/>
      <c r="AH36" s="81"/>
      <c r="AI36" s="81"/>
    </row>
    <row r="37" spans="16:35">
      <c r="P37" s="81"/>
      <c r="Q37" s="81"/>
      <c r="R37" s="81"/>
      <c r="S37" s="81"/>
      <c r="T37" s="81"/>
      <c r="U37" s="81"/>
      <c r="V37" s="81"/>
      <c r="W37" s="81"/>
      <c r="X37" s="81"/>
      <c r="Y37" s="435"/>
      <c r="Z37" s="435"/>
      <c r="AA37" s="435"/>
      <c r="AB37" s="435"/>
      <c r="AC37" s="435" t="s">
        <v>2755</v>
      </c>
      <c r="AD37" s="435"/>
      <c r="AE37" s="81"/>
      <c r="AF37" s="81"/>
      <c r="AG37" s="81"/>
      <c r="AH37" s="81"/>
      <c r="AI37" s="81"/>
    </row>
    <row r="38" spans="16:35">
      <c r="P38" s="81"/>
      <c r="Q38" s="81"/>
      <c r="R38" s="81"/>
      <c r="S38" s="81"/>
      <c r="T38" s="81"/>
      <c r="U38" s="81"/>
      <c r="V38" s="81"/>
      <c r="W38" s="81"/>
      <c r="X38" s="81"/>
      <c r="Y38" s="435"/>
      <c r="Z38" s="435"/>
      <c r="AA38" s="435"/>
      <c r="AB38" s="435"/>
      <c r="AC38" s="435" t="s">
        <v>2755</v>
      </c>
      <c r="AD38" s="435"/>
      <c r="AE38" s="81"/>
      <c r="AF38" s="81"/>
      <c r="AG38" s="81"/>
      <c r="AH38" s="81"/>
      <c r="AI38" s="81"/>
    </row>
    <row r="39" spans="16:35">
      <c r="P39" s="81"/>
      <c r="Q39" s="81"/>
      <c r="R39" s="81"/>
      <c r="S39" s="81"/>
      <c r="T39" s="81"/>
      <c r="U39" s="81"/>
      <c r="V39" s="81"/>
      <c r="W39" s="81"/>
      <c r="X39" s="81"/>
      <c r="Y39" s="435"/>
      <c r="Z39" s="435"/>
      <c r="AA39" s="435"/>
      <c r="AB39" s="435"/>
      <c r="AC39" s="435" t="s">
        <v>2755</v>
      </c>
      <c r="AD39" s="435"/>
      <c r="AE39" s="81"/>
      <c r="AF39" s="81"/>
      <c r="AG39" s="81"/>
      <c r="AH39" s="81"/>
      <c r="AI39" s="81"/>
    </row>
    <row r="40" spans="16:35">
      <c r="P40" s="81"/>
      <c r="Q40" s="81"/>
      <c r="R40" s="81"/>
      <c r="S40" s="81"/>
      <c r="T40" s="81"/>
      <c r="U40" s="81"/>
      <c r="V40" s="81"/>
      <c r="W40" s="81"/>
      <c r="X40" s="81"/>
      <c r="Y40" s="435"/>
      <c r="Z40" s="435"/>
      <c r="AA40" s="435"/>
      <c r="AB40" s="435"/>
      <c r="AC40" s="435" t="s">
        <v>2755</v>
      </c>
      <c r="AD40" s="435"/>
      <c r="AE40" s="81"/>
      <c r="AF40" s="81"/>
      <c r="AG40" s="81"/>
      <c r="AH40" s="81"/>
      <c r="AI40" s="81"/>
    </row>
    <row r="41" spans="16:35">
      <c r="P41" s="81"/>
      <c r="Q41" s="81"/>
      <c r="R41" s="81"/>
      <c r="S41" s="81"/>
      <c r="T41" s="81"/>
      <c r="U41" s="81"/>
      <c r="V41" s="81"/>
      <c r="W41" s="81"/>
      <c r="X41" s="81"/>
      <c r="Y41" s="435"/>
      <c r="Z41" s="435"/>
      <c r="AA41" s="435"/>
      <c r="AB41" s="435"/>
      <c r="AC41" s="435" t="s">
        <v>2755</v>
      </c>
      <c r="AD41" s="435"/>
      <c r="AE41" s="81"/>
      <c r="AF41" s="81"/>
      <c r="AG41" s="81"/>
      <c r="AH41" s="81"/>
      <c r="AI41" s="81"/>
    </row>
    <row r="42" spans="16:35">
      <c r="P42" s="81"/>
      <c r="Q42" s="81"/>
      <c r="R42" s="81"/>
      <c r="S42" s="81"/>
      <c r="T42" s="81"/>
      <c r="U42" s="81"/>
      <c r="V42" s="81"/>
      <c r="W42" s="81"/>
      <c r="X42" s="81"/>
      <c r="Y42" s="435"/>
      <c r="Z42" s="435"/>
      <c r="AA42" s="435"/>
      <c r="AB42" s="435"/>
      <c r="AC42" s="435" t="s">
        <v>2755</v>
      </c>
      <c r="AD42" s="435"/>
      <c r="AE42" s="81"/>
      <c r="AF42" s="81"/>
      <c r="AG42" s="81"/>
      <c r="AH42" s="81"/>
      <c r="AI42" s="81"/>
    </row>
    <row r="43" spans="16:35">
      <c r="P43" s="81"/>
      <c r="Q43" s="81"/>
      <c r="R43" s="81"/>
      <c r="S43" s="81"/>
      <c r="T43" s="81"/>
      <c r="U43" s="81"/>
      <c r="V43" s="81"/>
      <c r="W43" s="81"/>
      <c r="X43" s="81"/>
      <c r="Y43" s="435"/>
      <c r="Z43" s="435"/>
      <c r="AA43" s="435"/>
      <c r="AB43" s="435"/>
      <c r="AC43" s="435" t="s">
        <v>2755</v>
      </c>
      <c r="AD43" s="435"/>
      <c r="AE43" s="81"/>
      <c r="AF43" s="81"/>
      <c r="AG43" s="81"/>
      <c r="AH43" s="81"/>
      <c r="AI43" s="81"/>
    </row>
    <row r="44" spans="16:35">
      <c r="P44" s="81"/>
      <c r="Q44" s="81"/>
      <c r="R44" s="81"/>
      <c r="S44" s="81"/>
      <c r="T44" s="81"/>
      <c r="U44" s="81"/>
      <c r="V44" s="81"/>
      <c r="W44" s="81"/>
      <c r="X44" s="81"/>
      <c r="Y44" s="435"/>
      <c r="Z44" s="435"/>
      <c r="AA44" s="435"/>
      <c r="AB44" s="435"/>
      <c r="AC44" s="435" t="s">
        <v>2755</v>
      </c>
      <c r="AD44" s="435"/>
      <c r="AE44" s="81"/>
      <c r="AF44" s="81"/>
      <c r="AG44" s="81"/>
      <c r="AH44" s="81"/>
      <c r="AI44" s="81"/>
    </row>
    <row r="45" spans="16:35">
      <c r="P45" s="81"/>
      <c r="Q45" s="81"/>
      <c r="R45" s="81"/>
      <c r="S45" s="81"/>
      <c r="T45" s="81"/>
      <c r="U45" s="81"/>
      <c r="V45" s="81"/>
      <c r="W45" s="81"/>
      <c r="X45" s="81"/>
      <c r="Y45" s="435"/>
      <c r="Z45" s="435"/>
      <c r="AA45" s="435"/>
      <c r="AB45" s="435"/>
      <c r="AC45" s="435" t="s">
        <v>2755</v>
      </c>
      <c r="AD45" s="435"/>
      <c r="AE45" s="81"/>
      <c r="AF45" s="81"/>
      <c r="AG45" s="81"/>
      <c r="AH45" s="81"/>
      <c r="AI45" s="81"/>
    </row>
    <row r="46" spans="16:35">
      <c r="P46" s="81"/>
      <c r="Q46" s="81"/>
      <c r="R46" s="81"/>
      <c r="S46" s="81"/>
      <c r="T46" s="81"/>
      <c r="U46" s="81"/>
      <c r="V46" s="81"/>
      <c r="W46" s="81"/>
      <c r="X46" s="81"/>
      <c r="Y46" s="435"/>
      <c r="Z46" s="435"/>
      <c r="AA46" s="435"/>
      <c r="AB46" s="435"/>
      <c r="AC46" s="435" t="s">
        <v>2755</v>
      </c>
      <c r="AD46" s="435"/>
      <c r="AE46" s="81"/>
      <c r="AF46" s="81"/>
      <c r="AG46" s="81"/>
      <c r="AH46" s="81"/>
      <c r="AI46" s="81"/>
    </row>
    <row r="47" spans="16:35">
      <c r="P47" s="81"/>
      <c r="Q47" s="81"/>
      <c r="R47" s="81"/>
      <c r="S47" s="81"/>
      <c r="T47" s="81"/>
      <c r="U47" s="81"/>
      <c r="V47" s="81"/>
      <c r="W47" s="81"/>
      <c r="X47" s="81"/>
      <c r="Y47" s="435"/>
      <c r="Z47" s="435"/>
      <c r="AA47" s="435"/>
      <c r="AB47" s="435"/>
      <c r="AC47" s="435" t="s">
        <v>2755</v>
      </c>
      <c r="AD47" s="435"/>
      <c r="AE47" s="81"/>
      <c r="AF47" s="81"/>
      <c r="AG47" s="81"/>
      <c r="AH47" s="81"/>
      <c r="AI47" s="81"/>
    </row>
    <row r="48" spans="16:35">
      <c r="P48" s="81"/>
      <c r="Q48" s="81"/>
      <c r="R48" s="81"/>
      <c r="S48" s="81"/>
      <c r="T48" s="81"/>
      <c r="U48" s="81"/>
      <c r="V48" s="81"/>
      <c r="W48" s="81"/>
      <c r="X48" s="81"/>
      <c r="Y48" s="435"/>
      <c r="Z48" s="435"/>
      <c r="AA48" s="435"/>
      <c r="AB48" s="435"/>
      <c r="AC48" s="435" t="s">
        <v>2755</v>
      </c>
      <c r="AD48" s="435"/>
      <c r="AE48" s="81"/>
      <c r="AF48" s="81"/>
      <c r="AG48" s="81"/>
      <c r="AH48" s="81"/>
      <c r="AI48" s="81"/>
    </row>
    <row r="49" spans="16:35">
      <c r="P49" s="81"/>
      <c r="Q49" s="81"/>
      <c r="R49" s="81"/>
      <c r="S49" s="81"/>
      <c r="T49" s="81"/>
      <c r="U49" s="81"/>
      <c r="V49" s="81"/>
      <c r="W49" s="81"/>
      <c r="X49" s="81"/>
      <c r="Y49" s="435"/>
      <c r="Z49" s="435"/>
      <c r="AA49" s="435"/>
      <c r="AB49" s="435"/>
      <c r="AC49" s="435" t="s">
        <v>2755</v>
      </c>
      <c r="AD49" s="435"/>
      <c r="AE49" s="81"/>
      <c r="AF49" s="81"/>
      <c r="AG49" s="81"/>
      <c r="AH49" s="81"/>
      <c r="AI49" s="81"/>
    </row>
    <row r="50" spans="16:35">
      <c r="P50" s="81"/>
      <c r="Q50" s="81"/>
      <c r="R50" s="81"/>
      <c r="S50" s="81"/>
      <c r="T50" s="81"/>
      <c r="U50" s="81"/>
      <c r="V50" s="81"/>
      <c r="W50" s="81"/>
      <c r="X50" s="81"/>
      <c r="Y50" s="435"/>
      <c r="Z50" s="435"/>
      <c r="AA50" s="435"/>
      <c r="AB50" s="435"/>
      <c r="AC50" s="435" t="s">
        <v>2755</v>
      </c>
      <c r="AD50" s="435"/>
      <c r="AE50" s="81"/>
      <c r="AF50" s="81"/>
      <c r="AG50" s="81"/>
      <c r="AH50" s="81"/>
      <c r="AI50" s="81"/>
    </row>
    <row r="51" spans="16:35">
      <c r="P51" s="81"/>
      <c r="Q51" s="81"/>
      <c r="R51" s="81"/>
      <c r="S51" s="81"/>
      <c r="T51" s="81"/>
      <c r="U51" s="81"/>
      <c r="V51" s="81"/>
      <c r="W51" s="81"/>
      <c r="X51" s="81"/>
      <c r="Y51" s="435"/>
      <c r="Z51" s="435"/>
      <c r="AA51" s="435"/>
      <c r="AB51" s="435"/>
      <c r="AC51" s="435" t="s">
        <v>2755</v>
      </c>
      <c r="AD51" s="435"/>
      <c r="AE51" s="81"/>
      <c r="AF51" s="81"/>
      <c r="AG51" s="81"/>
      <c r="AH51" s="81"/>
      <c r="AI51" s="81"/>
    </row>
    <row r="52" spans="16:35">
      <c r="P52" s="81"/>
      <c r="Q52" s="81"/>
      <c r="R52" s="81"/>
      <c r="S52" s="81"/>
      <c r="T52" s="81"/>
      <c r="U52" s="81"/>
      <c r="V52" s="81"/>
      <c r="W52" s="81"/>
      <c r="X52" s="81"/>
      <c r="Y52" s="435"/>
      <c r="Z52" s="435"/>
      <c r="AA52" s="435"/>
      <c r="AB52" s="435"/>
      <c r="AC52" s="435" t="s">
        <v>2755</v>
      </c>
      <c r="AD52" s="435"/>
      <c r="AE52" s="81"/>
      <c r="AF52" s="81"/>
      <c r="AG52" s="81"/>
      <c r="AH52" s="81"/>
      <c r="AI52" s="81"/>
    </row>
    <row r="53" spans="16:35">
      <c r="P53" s="81"/>
      <c r="Q53" s="81"/>
      <c r="R53" s="81"/>
      <c r="S53" s="81"/>
      <c r="T53" s="81"/>
      <c r="U53" s="81"/>
      <c r="V53" s="81"/>
      <c r="W53" s="81"/>
      <c r="X53" s="81"/>
      <c r="Y53" s="435"/>
      <c r="Z53" s="435"/>
      <c r="AA53" s="435"/>
      <c r="AB53" s="435"/>
      <c r="AC53" s="435" t="s">
        <v>2755</v>
      </c>
      <c r="AD53" s="435"/>
      <c r="AE53" s="81"/>
      <c r="AF53" s="81"/>
      <c r="AG53" s="81"/>
      <c r="AH53" s="81"/>
      <c r="AI53" s="81"/>
    </row>
    <row r="54" spans="16:35">
      <c r="P54" s="81"/>
      <c r="Q54" s="81"/>
      <c r="R54" s="81"/>
      <c r="S54" s="81"/>
      <c r="T54" s="81"/>
      <c r="U54" s="81"/>
      <c r="V54" s="81"/>
      <c r="W54" s="81"/>
      <c r="X54" s="81"/>
      <c r="Y54" s="435"/>
      <c r="Z54" s="435"/>
      <c r="AA54" s="435"/>
      <c r="AB54" s="435"/>
      <c r="AC54" s="435" t="s">
        <v>2755</v>
      </c>
      <c r="AD54" s="435"/>
      <c r="AE54" s="81"/>
      <c r="AF54" s="81"/>
      <c r="AG54" s="81"/>
      <c r="AH54" s="81"/>
      <c r="AI54" s="81"/>
    </row>
    <row r="55" spans="16:35">
      <c r="P55" s="81"/>
      <c r="Q55" s="81"/>
      <c r="R55" s="81"/>
      <c r="S55" s="81"/>
      <c r="T55" s="81"/>
      <c r="U55" s="81"/>
      <c r="V55" s="81"/>
      <c r="W55" s="81"/>
      <c r="X55" s="81"/>
      <c r="Y55" s="435"/>
      <c r="Z55" s="435"/>
      <c r="AA55" s="435"/>
      <c r="AB55" s="435"/>
      <c r="AC55" s="435" t="s">
        <v>2755</v>
      </c>
      <c r="AD55" s="435"/>
      <c r="AE55" s="81"/>
      <c r="AF55" s="81"/>
      <c r="AG55" s="81"/>
      <c r="AH55" s="81"/>
      <c r="AI55" s="81"/>
    </row>
    <row r="56" spans="16:35">
      <c r="P56" s="81"/>
      <c r="Q56" s="81"/>
      <c r="R56" s="81"/>
      <c r="S56" s="81"/>
      <c r="T56" s="81"/>
      <c r="U56" s="81"/>
      <c r="V56" s="81"/>
      <c r="W56" s="81"/>
      <c r="X56" s="81"/>
      <c r="Y56" s="435"/>
      <c r="Z56" s="435"/>
      <c r="AA56" s="435"/>
      <c r="AB56" s="435"/>
      <c r="AC56" s="435" t="s">
        <v>2755</v>
      </c>
      <c r="AD56" s="435"/>
      <c r="AE56" s="81"/>
      <c r="AF56" s="81"/>
      <c r="AG56" s="81"/>
      <c r="AH56" s="81"/>
      <c r="AI56" s="81"/>
    </row>
    <row r="57" spans="16:35">
      <c r="P57" s="81"/>
      <c r="Q57" s="81"/>
      <c r="R57" s="81"/>
      <c r="S57" s="81"/>
      <c r="T57" s="81"/>
      <c r="U57" s="81"/>
      <c r="V57" s="81"/>
      <c r="W57" s="81"/>
      <c r="X57" s="81"/>
      <c r="Y57" s="435"/>
      <c r="Z57" s="435"/>
      <c r="AA57" s="435"/>
      <c r="AB57" s="435"/>
      <c r="AC57" s="435" t="s">
        <v>2755</v>
      </c>
      <c r="AD57" s="435"/>
      <c r="AE57" s="81"/>
      <c r="AF57" s="81"/>
      <c r="AG57" s="81"/>
      <c r="AH57" s="81"/>
      <c r="AI57" s="81"/>
    </row>
    <row r="58" spans="16:35">
      <c r="P58" s="81"/>
      <c r="Q58" s="81"/>
      <c r="R58" s="81"/>
      <c r="S58" s="81"/>
      <c r="T58" s="81"/>
      <c r="U58" s="81"/>
      <c r="V58" s="81"/>
      <c r="W58" s="81"/>
      <c r="X58" s="81"/>
      <c r="Y58" s="435"/>
      <c r="Z58" s="435"/>
      <c r="AA58" s="435"/>
      <c r="AB58" s="435"/>
      <c r="AC58" s="435" t="s">
        <v>2755</v>
      </c>
      <c r="AD58" s="435"/>
      <c r="AE58" s="81"/>
      <c r="AF58" s="81"/>
      <c r="AG58" s="81"/>
      <c r="AH58" s="81"/>
      <c r="AI58" s="81"/>
    </row>
    <row r="59" spans="16:35">
      <c r="P59" s="81"/>
      <c r="Q59" s="81"/>
      <c r="R59" s="81"/>
      <c r="S59" s="81"/>
      <c r="T59" s="81"/>
      <c r="U59" s="81"/>
      <c r="V59" s="81"/>
      <c r="W59" s="81"/>
      <c r="X59" s="81"/>
      <c r="Y59" s="435"/>
      <c r="Z59" s="435"/>
      <c r="AA59" s="435"/>
      <c r="AB59" s="435"/>
      <c r="AC59" s="435" t="s">
        <v>2755</v>
      </c>
      <c r="AD59" s="435"/>
      <c r="AE59" s="81"/>
      <c r="AF59" s="81"/>
      <c r="AG59" s="81"/>
      <c r="AH59" s="81"/>
      <c r="AI59" s="81"/>
    </row>
    <row r="60" spans="16:35">
      <c r="P60" s="81"/>
      <c r="Q60" s="81"/>
      <c r="R60" s="81"/>
      <c r="S60" s="81"/>
      <c r="T60" s="81"/>
      <c r="U60" s="81"/>
      <c r="V60" s="81"/>
      <c r="W60" s="81"/>
      <c r="X60" s="81"/>
      <c r="Y60" s="435"/>
      <c r="Z60" s="435"/>
      <c r="AA60" s="435"/>
      <c r="AB60" s="435"/>
      <c r="AC60" s="435" t="s">
        <v>2755</v>
      </c>
      <c r="AD60" s="435"/>
      <c r="AE60" s="81"/>
      <c r="AF60" s="81"/>
      <c r="AG60" s="81"/>
      <c r="AH60" s="81"/>
      <c r="AI60" s="81"/>
    </row>
    <row r="61" spans="16:35">
      <c r="P61" s="81"/>
      <c r="Q61" s="81"/>
      <c r="R61" s="81"/>
      <c r="S61" s="81"/>
      <c r="T61" s="81"/>
      <c r="U61" s="81"/>
      <c r="V61" s="81"/>
      <c r="W61" s="81"/>
      <c r="X61" s="81"/>
      <c r="Y61" s="435"/>
      <c r="Z61" s="435"/>
      <c r="AA61" s="435"/>
      <c r="AB61" s="435"/>
      <c r="AC61" s="435" t="s">
        <v>2755</v>
      </c>
      <c r="AD61" s="435"/>
      <c r="AE61" s="81"/>
      <c r="AF61" s="81"/>
      <c r="AG61" s="81"/>
      <c r="AH61" s="81"/>
      <c r="AI61" s="81"/>
    </row>
    <row r="62" spans="16:35">
      <c r="P62" s="81"/>
      <c r="Q62" s="81"/>
      <c r="R62" s="81"/>
      <c r="S62" s="81"/>
      <c r="T62" s="81"/>
      <c r="U62" s="81"/>
      <c r="V62" s="81"/>
      <c r="W62" s="81"/>
      <c r="X62" s="81"/>
      <c r="Y62" s="435"/>
      <c r="Z62" s="435"/>
      <c r="AA62" s="435"/>
      <c r="AB62" s="435"/>
      <c r="AC62" s="435" t="s">
        <v>2755</v>
      </c>
      <c r="AD62" s="435"/>
      <c r="AE62" s="81"/>
      <c r="AF62" s="81"/>
      <c r="AG62" s="81"/>
      <c r="AH62" s="81"/>
      <c r="AI62" s="81"/>
    </row>
    <row r="63" spans="16:35">
      <c r="P63" s="81"/>
      <c r="Q63" s="81"/>
      <c r="R63" s="81"/>
      <c r="S63" s="81"/>
      <c r="T63" s="81"/>
      <c r="U63" s="81"/>
      <c r="V63" s="81"/>
      <c r="W63" s="81"/>
      <c r="X63" s="81"/>
      <c r="Y63" s="435"/>
      <c r="Z63" s="435"/>
      <c r="AA63" s="435"/>
      <c r="AB63" s="435"/>
      <c r="AC63" s="435" t="s">
        <v>2755</v>
      </c>
      <c r="AD63" s="435"/>
      <c r="AE63" s="81"/>
      <c r="AF63" s="81"/>
      <c r="AG63" s="81"/>
      <c r="AH63" s="81"/>
      <c r="AI63" s="81"/>
    </row>
    <row r="64" spans="16:35">
      <c r="P64" s="81"/>
      <c r="Q64" s="81"/>
      <c r="R64" s="81"/>
      <c r="S64" s="81"/>
      <c r="T64" s="81"/>
      <c r="U64" s="81"/>
      <c r="V64" s="81"/>
      <c r="W64" s="81"/>
      <c r="X64" s="81"/>
      <c r="Y64" s="435"/>
      <c r="Z64" s="435"/>
      <c r="AA64" s="435"/>
      <c r="AB64" s="435"/>
      <c r="AC64" s="435" t="s">
        <v>2755</v>
      </c>
      <c r="AD64" s="435"/>
      <c r="AE64" s="81"/>
      <c r="AF64" s="81"/>
      <c r="AG64" s="81"/>
      <c r="AH64" s="81"/>
      <c r="AI64" s="81"/>
    </row>
    <row r="65" spans="16:35">
      <c r="P65" s="81"/>
      <c r="Q65" s="81"/>
      <c r="R65" s="81"/>
      <c r="S65" s="81"/>
      <c r="T65" s="81"/>
      <c r="U65" s="81"/>
      <c r="V65" s="81"/>
      <c r="W65" s="81"/>
      <c r="X65" s="81"/>
      <c r="Y65" s="435"/>
      <c r="Z65" s="435"/>
      <c r="AA65" s="435"/>
      <c r="AB65" s="435"/>
      <c r="AC65" s="435" t="s">
        <v>2755</v>
      </c>
      <c r="AD65" s="435"/>
      <c r="AE65" s="81"/>
      <c r="AF65" s="81"/>
      <c r="AG65" s="81"/>
      <c r="AH65" s="81"/>
      <c r="AI65" s="81"/>
    </row>
    <row r="66" spans="16:35">
      <c r="P66" s="81"/>
      <c r="Q66" s="81"/>
      <c r="R66" s="81"/>
      <c r="S66" s="81"/>
      <c r="T66" s="81"/>
      <c r="U66" s="81"/>
      <c r="V66" s="81"/>
      <c r="W66" s="81"/>
      <c r="X66" s="81"/>
      <c r="Y66" s="435"/>
      <c r="Z66" s="435"/>
      <c r="AA66" s="435"/>
      <c r="AB66" s="435"/>
      <c r="AC66" s="435" t="s">
        <v>2755</v>
      </c>
      <c r="AD66" s="435"/>
      <c r="AE66" s="81"/>
      <c r="AF66" s="81"/>
      <c r="AG66" s="81"/>
      <c r="AH66" s="81"/>
      <c r="AI66" s="81"/>
    </row>
    <row r="67" spans="16:35">
      <c r="P67" s="81"/>
      <c r="Q67" s="81"/>
      <c r="R67" s="81"/>
      <c r="S67" s="81"/>
      <c r="T67" s="81"/>
      <c r="U67" s="81"/>
      <c r="V67" s="81"/>
      <c r="W67" s="81"/>
      <c r="X67" s="81"/>
      <c r="Y67" s="435"/>
      <c r="Z67" s="435"/>
      <c r="AA67" s="435"/>
      <c r="AB67" s="435"/>
      <c r="AC67" s="435" t="s">
        <v>2755</v>
      </c>
      <c r="AD67" s="435"/>
      <c r="AE67" s="81"/>
      <c r="AF67" s="81"/>
      <c r="AG67" s="81"/>
      <c r="AH67" s="81"/>
      <c r="AI67" s="81"/>
    </row>
    <row r="68" spans="16:35">
      <c r="P68" s="81"/>
      <c r="Q68" s="81"/>
      <c r="R68" s="81"/>
      <c r="S68" s="81"/>
      <c r="T68" s="81"/>
      <c r="U68" s="81"/>
      <c r="V68" s="81"/>
      <c r="W68" s="81"/>
      <c r="X68" s="81"/>
      <c r="Y68" s="435"/>
      <c r="Z68" s="435"/>
      <c r="AA68" s="435"/>
      <c r="AB68" s="435"/>
      <c r="AC68" s="435" t="s">
        <v>2755</v>
      </c>
      <c r="AD68" s="435"/>
      <c r="AE68" s="81"/>
      <c r="AF68" s="81"/>
      <c r="AG68" s="81"/>
      <c r="AH68" s="81"/>
      <c r="AI68" s="81"/>
    </row>
    <row r="69" spans="16:35">
      <c r="P69" s="81"/>
      <c r="Q69" s="81"/>
      <c r="R69" s="81"/>
      <c r="S69" s="81"/>
      <c r="T69" s="81"/>
      <c r="U69" s="81"/>
      <c r="V69" s="81"/>
      <c r="W69" s="81"/>
      <c r="X69" s="81"/>
      <c r="Y69" s="435"/>
      <c r="Z69" s="435"/>
      <c r="AA69" s="435"/>
      <c r="AB69" s="435"/>
      <c r="AC69" s="435" t="s">
        <v>2755</v>
      </c>
      <c r="AD69" s="435"/>
      <c r="AE69" s="81"/>
      <c r="AF69" s="81"/>
      <c r="AG69" s="81"/>
      <c r="AH69" s="81"/>
      <c r="AI69" s="81"/>
    </row>
    <row r="70" spans="16:35">
      <c r="P70" s="81"/>
      <c r="Q70" s="81"/>
      <c r="R70" s="81"/>
      <c r="S70" s="81"/>
      <c r="T70" s="81"/>
      <c r="U70" s="81"/>
      <c r="V70" s="81"/>
      <c r="W70" s="81"/>
      <c r="X70" s="81"/>
      <c r="Y70" s="435"/>
      <c r="Z70" s="435"/>
      <c r="AA70" s="435"/>
      <c r="AB70" s="435"/>
      <c r="AC70" s="435" t="s">
        <v>2755</v>
      </c>
      <c r="AD70" s="435"/>
      <c r="AE70" s="81"/>
      <c r="AF70" s="81"/>
      <c r="AG70" s="81"/>
      <c r="AH70" s="81"/>
      <c r="AI70" s="81"/>
    </row>
    <row r="71" spans="16:35">
      <c r="P71" s="81"/>
      <c r="Q71" s="81"/>
      <c r="R71" s="81"/>
      <c r="S71" s="81"/>
      <c r="T71" s="81"/>
      <c r="U71" s="81"/>
      <c r="V71" s="81"/>
      <c r="W71" s="81"/>
      <c r="X71" s="81"/>
      <c r="Y71" s="435"/>
      <c r="Z71" s="435"/>
      <c r="AA71" s="435"/>
      <c r="AB71" s="435"/>
      <c r="AC71" s="435" t="s">
        <v>2755</v>
      </c>
      <c r="AD71" s="435"/>
      <c r="AE71" s="81"/>
      <c r="AF71" s="81"/>
      <c r="AG71" s="81"/>
      <c r="AH71" s="81"/>
      <c r="AI71" s="81"/>
    </row>
    <row r="72" spans="16:35">
      <c r="P72" s="81"/>
      <c r="Q72" s="81"/>
      <c r="R72" s="81"/>
      <c r="S72" s="81"/>
      <c r="T72" s="81"/>
      <c r="U72" s="81"/>
      <c r="V72" s="81"/>
      <c r="W72" s="81"/>
      <c r="X72" s="81"/>
      <c r="Y72" s="435"/>
      <c r="Z72" s="435"/>
      <c r="AA72" s="435"/>
      <c r="AB72" s="435"/>
      <c r="AC72" s="435" t="s">
        <v>2755</v>
      </c>
      <c r="AD72" s="435"/>
      <c r="AE72" s="81"/>
      <c r="AF72" s="81"/>
      <c r="AG72" s="81"/>
      <c r="AH72" s="81"/>
      <c r="AI72" s="81"/>
    </row>
    <row r="73" spans="16:35">
      <c r="P73" s="81"/>
      <c r="Q73" s="81"/>
      <c r="R73" s="81"/>
      <c r="S73" s="81"/>
      <c r="T73" s="81"/>
      <c r="U73" s="81"/>
      <c r="V73" s="81"/>
      <c r="W73" s="81"/>
      <c r="X73" s="81"/>
      <c r="Y73" s="435"/>
      <c r="Z73" s="435"/>
      <c r="AA73" s="435"/>
      <c r="AB73" s="435"/>
      <c r="AC73" s="435" t="s">
        <v>2755</v>
      </c>
      <c r="AD73" s="435"/>
      <c r="AE73" s="81"/>
      <c r="AF73" s="81"/>
      <c r="AG73" s="81"/>
      <c r="AH73" s="81"/>
      <c r="AI73" s="81"/>
    </row>
    <row r="74" spans="16:35">
      <c r="P74" s="81"/>
      <c r="Q74" s="81"/>
      <c r="R74" s="81"/>
      <c r="S74" s="81"/>
      <c r="T74" s="81"/>
      <c r="U74" s="81"/>
      <c r="V74" s="81"/>
      <c r="W74" s="81"/>
      <c r="X74" s="81"/>
      <c r="Y74" s="435"/>
      <c r="Z74" s="435"/>
      <c r="AA74" s="435"/>
      <c r="AB74" s="435"/>
      <c r="AC74" s="435" t="s">
        <v>2755</v>
      </c>
      <c r="AD74" s="435"/>
      <c r="AE74" s="81"/>
      <c r="AF74" s="81"/>
      <c r="AG74" s="81"/>
      <c r="AH74" s="81"/>
      <c r="AI74" s="81"/>
    </row>
    <row r="75" spans="16:35">
      <c r="P75" s="81"/>
      <c r="Q75" s="81"/>
      <c r="R75" s="81"/>
      <c r="S75" s="81"/>
      <c r="T75" s="81"/>
      <c r="U75" s="81"/>
      <c r="V75" s="81"/>
      <c r="W75" s="81"/>
      <c r="X75" s="81"/>
      <c r="Y75" s="435"/>
      <c r="Z75" s="435"/>
      <c r="AA75" s="435"/>
      <c r="AB75" s="435"/>
      <c r="AC75" s="435" t="s">
        <v>2755</v>
      </c>
      <c r="AD75" s="435"/>
      <c r="AE75" s="81"/>
      <c r="AF75" s="81"/>
      <c r="AG75" s="81"/>
      <c r="AH75" s="81"/>
      <c r="AI75" s="81"/>
    </row>
    <row r="76" spans="16:35">
      <c r="P76" s="81"/>
      <c r="Q76" s="81"/>
      <c r="R76" s="81"/>
      <c r="S76" s="81"/>
      <c r="T76" s="81"/>
      <c r="U76" s="81"/>
      <c r="V76" s="81"/>
      <c r="W76" s="81"/>
      <c r="X76" s="81"/>
      <c r="Y76" s="435"/>
      <c r="Z76" s="435"/>
      <c r="AA76" s="435"/>
      <c r="AB76" s="435"/>
      <c r="AC76" s="435" t="s">
        <v>2755</v>
      </c>
      <c r="AD76" s="435"/>
      <c r="AE76" s="81"/>
      <c r="AF76" s="81"/>
      <c r="AG76" s="81"/>
      <c r="AH76" s="81"/>
      <c r="AI76" s="81"/>
    </row>
    <row r="77" spans="16:35">
      <c r="P77" s="81"/>
      <c r="Q77" s="81"/>
      <c r="R77" s="81"/>
      <c r="S77" s="81"/>
      <c r="T77" s="81"/>
      <c r="U77" s="81"/>
      <c r="V77" s="81"/>
      <c r="W77" s="81"/>
      <c r="X77" s="81"/>
      <c r="Y77" s="435"/>
      <c r="Z77" s="435"/>
      <c r="AA77" s="435"/>
      <c r="AB77" s="435"/>
      <c r="AC77" s="435" t="s">
        <v>2755</v>
      </c>
      <c r="AD77" s="435"/>
      <c r="AE77" s="81"/>
      <c r="AF77" s="81"/>
      <c r="AG77" s="81"/>
      <c r="AH77" s="81"/>
      <c r="AI77" s="81"/>
    </row>
    <row r="78" spans="16:35">
      <c r="P78" s="81"/>
      <c r="Q78" s="81"/>
      <c r="R78" s="81"/>
      <c r="S78" s="81"/>
      <c r="T78" s="81"/>
      <c r="U78" s="81"/>
      <c r="V78" s="81"/>
      <c r="W78" s="81"/>
      <c r="X78" s="81"/>
      <c r="Y78" s="435"/>
      <c r="Z78" s="435"/>
      <c r="AA78" s="435"/>
      <c r="AB78" s="435"/>
      <c r="AC78" s="435" t="s">
        <v>2755</v>
      </c>
      <c r="AD78" s="435"/>
      <c r="AE78" s="81"/>
      <c r="AF78" s="81"/>
      <c r="AG78" s="81"/>
      <c r="AH78" s="81"/>
      <c r="AI78" s="81"/>
    </row>
    <row r="79" spans="16:35">
      <c r="P79" s="81"/>
      <c r="Q79" s="81"/>
      <c r="R79" s="81"/>
      <c r="S79" s="81"/>
      <c r="T79" s="81"/>
      <c r="U79" s="81"/>
      <c r="V79" s="81"/>
      <c r="W79" s="81"/>
      <c r="X79" s="81"/>
      <c r="Y79" s="435"/>
      <c r="Z79" s="435"/>
      <c r="AA79" s="435"/>
      <c r="AB79" s="435"/>
      <c r="AC79" s="435" t="s">
        <v>2755</v>
      </c>
      <c r="AD79" s="435"/>
      <c r="AE79" s="81"/>
      <c r="AF79" s="81"/>
      <c r="AG79" s="81"/>
      <c r="AH79" s="81"/>
      <c r="AI79" s="81"/>
    </row>
    <row r="80" spans="16:35">
      <c r="P80" s="81"/>
      <c r="Q80" s="81"/>
      <c r="R80" s="81"/>
      <c r="S80" s="81"/>
      <c r="T80" s="81"/>
      <c r="U80" s="81"/>
      <c r="V80" s="81"/>
      <c r="W80" s="81"/>
      <c r="X80" s="81"/>
      <c r="Y80" s="435"/>
      <c r="Z80" s="435"/>
      <c r="AA80" s="435"/>
      <c r="AB80" s="435"/>
      <c r="AC80" s="435" t="s">
        <v>2755</v>
      </c>
      <c r="AD80" s="435"/>
      <c r="AE80" s="81"/>
      <c r="AF80" s="81"/>
      <c r="AG80" s="81"/>
      <c r="AH80" s="81"/>
      <c r="AI80" s="81"/>
    </row>
    <row r="81" spans="16:35">
      <c r="P81" s="81"/>
      <c r="Q81" s="81"/>
      <c r="R81" s="81"/>
      <c r="S81" s="81"/>
      <c r="T81" s="81"/>
      <c r="U81" s="81"/>
      <c r="V81" s="81"/>
      <c r="W81" s="81"/>
      <c r="X81" s="81"/>
      <c r="Y81" s="435"/>
      <c r="Z81" s="435"/>
      <c r="AA81" s="435"/>
      <c r="AB81" s="435"/>
      <c r="AC81" s="435" t="s">
        <v>2755</v>
      </c>
      <c r="AD81" s="435"/>
      <c r="AE81" s="81"/>
      <c r="AF81" s="81"/>
      <c r="AG81" s="81"/>
      <c r="AH81" s="81"/>
      <c r="AI81" s="81"/>
    </row>
    <row r="82" spans="16:35">
      <c r="P82" s="81"/>
      <c r="Q82" s="81"/>
      <c r="R82" s="81"/>
      <c r="S82" s="81"/>
      <c r="T82" s="81"/>
      <c r="U82" s="81"/>
      <c r="V82" s="81"/>
      <c r="W82" s="81"/>
      <c r="X82" s="81"/>
      <c r="Y82" s="435"/>
      <c r="Z82" s="435"/>
      <c r="AA82" s="435"/>
      <c r="AB82" s="435"/>
      <c r="AC82" s="435" t="s">
        <v>2755</v>
      </c>
      <c r="AD82" s="435"/>
      <c r="AE82" s="81"/>
      <c r="AF82" s="81"/>
      <c r="AG82" s="81"/>
      <c r="AH82" s="81"/>
      <c r="AI82" s="81"/>
    </row>
    <row r="83" spans="16:35">
      <c r="P83" s="81"/>
      <c r="Q83" s="81"/>
      <c r="R83" s="81"/>
      <c r="S83" s="81"/>
      <c r="T83" s="81"/>
      <c r="U83" s="81"/>
      <c r="V83" s="81"/>
      <c r="W83" s="81"/>
      <c r="X83" s="81"/>
      <c r="Y83" s="435"/>
      <c r="Z83" s="435"/>
      <c r="AA83" s="435"/>
      <c r="AB83" s="435"/>
      <c r="AC83" s="435" t="s">
        <v>2755</v>
      </c>
      <c r="AD83" s="435"/>
      <c r="AE83" s="81"/>
      <c r="AF83" s="81"/>
      <c r="AG83" s="81"/>
      <c r="AH83" s="81"/>
      <c r="AI83" s="81"/>
    </row>
    <row r="84" spans="16:35">
      <c r="P84" s="81"/>
      <c r="Q84" s="81"/>
      <c r="R84" s="81"/>
      <c r="S84" s="81"/>
      <c r="T84" s="81"/>
      <c r="U84" s="81"/>
      <c r="V84" s="81"/>
      <c r="W84" s="81"/>
      <c r="X84" s="81"/>
      <c r="Y84" s="435"/>
      <c r="Z84" s="435"/>
      <c r="AA84" s="435"/>
      <c r="AB84" s="435"/>
      <c r="AC84" s="435" t="s">
        <v>2755</v>
      </c>
      <c r="AD84" s="435"/>
      <c r="AE84" s="81"/>
      <c r="AF84" s="81"/>
      <c r="AG84" s="81"/>
      <c r="AH84" s="81"/>
      <c r="AI84" s="81"/>
    </row>
    <row r="85" spans="16:35">
      <c r="P85" s="81"/>
      <c r="Q85" s="81"/>
      <c r="R85" s="81"/>
      <c r="S85" s="81"/>
      <c r="T85" s="81"/>
      <c r="U85" s="81"/>
      <c r="V85" s="81"/>
      <c r="W85" s="81"/>
      <c r="X85" s="81"/>
      <c r="Y85" s="435"/>
      <c r="Z85" s="435"/>
      <c r="AA85" s="435"/>
      <c r="AB85" s="435"/>
      <c r="AC85" s="435" t="s">
        <v>2755</v>
      </c>
      <c r="AD85" s="435"/>
      <c r="AE85" s="81"/>
      <c r="AF85" s="81"/>
      <c r="AG85" s="81"/>
      <c r="AH85" s="81"/>
      <c r="AI85" s="81"/>
    </row>
    <row r="86" spans="16:35">
      <c r="P86" s="81"/>
      <c r="Q86" s="81"/>
      <c r="R86" s="81"/>
      <c r="S86" s="81"/>
      <c r="T86" s="81"/>
      <c r="U86" s="81"/>
      <c r="V86" s="81"/>
      <c r="W86" s="81"/>
      <c r="X86" s="81"/>
      <c r="Y86" s="435"/>
      <c r="Z86" s="435"/>
      <c r="AA86" s="435"/>
      <c r="AB86" s="435"/>
      <c r="AC86" s="435" t="s">
        <v>2755</v>
      </c>
      <c r="AD86" s="435"/>
      <c r="AE86" s="81"/>
      <c r="AF86" s="81"/>
      <c r="AG86" s="81"/>
      <c r="AH86" s="81"/>
      <c r="AI86" s="81"/>
    </row>
    <row r="87" spans="16:35">
      <c r="P87" s="81"/>
      <c r="Q87" s="81"/>
      <c r="R87" s="81"/>
      <c r="S87" s="81"/>
      <c r="T87" s="81"/>
      <c r="U87" s="81"/>
      <c r="V87" s="81"/>
      <c r="W87" s="81"/>
      <c r="X87" s="81"/>
      <c r="Y87" s="435"/>
      <c r="Z87" s="435"/>
      <c r="AA87" s="435"/>
      <c r="AB87" s="435"/>
      <c r="AC87" s="435" t="s">
        <v>2755</v>
      </c>
      <c r="AD87" s="435"/>
      <c r="AE87" s="81"/>
      <c r="AF87" s="81"/>
      <c r="AG87" s="81"/>
      <c r="AH87" s="81"/>
      <c r="AI87" s="81"/>
    </row>
    <row r="88" spans="16:35">
      <c r="P88" s="81"/>
      <c r="Q88" s="81"/>
      <c r="R88" s="81"/>
      <c r="S88" s="81"/>
      <c r="T88" s="81"/>
      <c r="U88" s="81"/>
      <c r="V88" s="81"/>
      <c r="W88" s="81"/>
      <c r="X88" s="81"/>
      <c r="Y88" s="435"/>
      <c r="Z88" s="435"/>
      <c r="AA88" s="435"/>
      <c r="AB88" s="435"/>
      <c r="AC88" s="435" t="s">
        <v>2755</v>
      </c>
      <c r="AD88" s="435"/>
      <c r="AE88" s="81"/>
      <c r="AF88" s="81"/>
      <c r="AG88" s="81"/>
      <c r="AH88" s="81"/>
      <c r="AI88" s="81"/>
    </row>
    <row r="89" spans="16:35">
      <c r="P89" s="81"/>
      <c r="Q89" s="81"/>
      <c r="R89" s="81"/>
      <c r="S89" s="81"/>
      <c r="T89" s="81"/>
      <c r="U89" s="81"/>
      <c r="V89" s="81"/>
      <c r="W89" s="81"/>
      <c r="X89" s="81"/>
      <c r="Y89" s="435"/>
      <c r="Z89" s="435"/>
      <c r="AA89" s="435"/>
      <c r="AB89" s="435"/>
      <c r="AC89" s="435" t="s">
        <v>2755</v>
      </c>
      <c r="AD89" s="435"/>
      <c r="AE89" s="81"/>
      <c r="AF89" s="81"/>
      <c r="AG89" s="81"/>
      <c r="AH89" s="81"/>
      <c r="AI89" s="81"/>
    </row>
    <row r="90" spans="16:35">
      <c r="P90" s="81"/>
      <c r="Q90" s="81"/>
      <c r="R90" s="81"/>
      <c r="S90" s="81"/>
      <c r="T90" s="81"/>
      <c r="U90" s="81"/>
      <c r="V90" s="81"/>
      <c r="W90" s="81"/>
      <c r="X90" s="81"/>
      <c r="Y90" s="435"/>
      <c r="Z90" s="435"/>
      <c r="AA90" s="435"/>
      <c r="AB90" s="435"/>
      <c r="AC90" s="435" t="s">
        <v>2755</v>
      </c>
      <c r="AD90" s="435"/>
      <c r="AE90" s="81"/>
      <c r="AF90" s="81"/>
      <c r="AG90" s="81"/>
      <c r="AH90" s="81"/>
      <c r="AI90" s="81"/>
    </row>
    <row r="91" spans="16:35">
      <c r="P91" s="81"/>
      <c r="Q91" s="81"/>
      <c r="R91" s="81"/>
      <c r="S91" s="81"/>
      <c r="T91" s="81"/>
      <c r="U91" s="81"/>
      <c r="V91" s="81"/>
      <c r="W91" s="81"/>
      <c r="X91" s="81"/>
      <c r="Y91" s="435"/>
      <c r="Z91" s="435"/>
      <c r="AA91" s="435"/>
      <c r="AB91" s="435"/>
      <c r="AC91" s="435" t="s">
        <v>2755</v>
      </c>
      <c r="AD91" s="435"/>
      <c r="AE91" s="81"/>
      <c r="AF91" s="81"/>
      <c r="AG91" s="81"/>
      <c r="AH91" s="81"/>
      <c r="AI91" s="81"/>
    </row>
    <row r="92" spans="16:35">
      <c r="P92" s="81"/>
      <c r="Q92" s="81"/>
      <c r="R92" s="81"/>
      <c r="S92" s="81"/>
      <c r="T92" s="81"/>
      <c r="U92" s="81"/>
      <c r="V92" s="81"/>
      <c r="W92" s="81"/>
      <c r="X92" s="81"/>
      <c r="Y92" s="435"/>
      <c r="Z92" s="435"/>
      <c r="AA92" s="435"/>
      <c r="AB92" s="435"/>
      <c r="AC92" s="435" t="s">
        <v>2755</v>
      </c>
      <c r="AD92" s="435"/>
      <c r="AE92" s="81"/>
      <c r="AF92" s="81"/>
      <c r="AG92" s="81"/>
      <c r="AH92" s="81"/>
      <c r="AI92" s="81"/>
    </row>
    <row r="93" spans="16:35">
      <c r="P93" s="81"/>
      <c r="Q93" s="81"/>
      <c r="R93" s="81"/>
      <c r="S93" s="81"/>
      <c r="T93" s="81"/>
      <c r="U93" s="81"/>
      <c r="V93" s="81"/>
      <c r="W93" s="81"/>
      <c r="X93" s="81"/>
      <c r="Y93" s="435"/>
      <c r="Z93" s="435"/>
      <c r="AA93" s="435"/>
      <c r="AB93" s="435"/>
      <c r="AC93" s="435" t="s">
        <v>2755</v>
      </c>
      <c r="AD93" s="435"/>
      <c r="AE93" s="81"/>
      <c r="AF93" s="81"/>
      <c r="AG93" s="81"/>
      <c r="AH93" s="81"/>
      <c r="AI93" s="81"/>
    </row>
    <row r="94" spans="16:35">
      <c r="P94" s="81"/>
      <c r="Q94" s="81"/>
      <c r="R94" s="81"/>
      <c r="S94" s="81"/>
      <c r="T94" s="81"/>
      <c r="U94" s="81"/>
      <c r="V94" s="81"/>
      <c r="W94" s="81"/>
      <c r="X94" s="81"/>
      <c r="Y94" s="435"/>
      <c r="Z94" s="435"/>
      <c r="AA94" s="435"/>
      <c r="AB94" s="435"/>
      <c r="AC94" s="435" t="s">
        <v>2755</v>
      </c>
      <c r="AD94" s="435"/>
      <c r="AE94" s="81"/>
      <c r="AF94" s="81"/>
      <c r="AG94" s="81"/>
      <c r="AH94" s="81"/>
      <c r="AI94" s="81"/>
    </row>
    <row r="95" spans="16:35">
      <c r="P95" s="81"/>
      <c r="Q95" s="81"/>
      <c r="R95" s="81"/>
      <c r="S95" s="81"/>
      <c r="T95" s="81"/>
      <c r="U95" s="81"/>
      <c r="V95" s="81"/>
      <c r="W95" s="81"/>
      <c r="X95" s="81"/>
      <c r="Y95" s="435"/>
      <c r="Z95" s="435"/>
      <c r="AA95" s="435"/>
      <c r="AB95" s="435"/>
      <c r="AC95" s="435" t="s">
        <v>2755</v>
      </c>
      <c r="AD95" s="435"/>
      <c r="AE95" s="81"/>
      <c r="AF95" s="81"/>
      <c r="AG95" s="81"/>
      <c r="AH95" s="81"/>
      <c r="AI95" s="81"/>
    </row>
    <row r="96" spans="16:35">
      <c r="P96" s="81"/>
      <c r="Q96" s="81"/>
      <c r="R96" s="81"/>
      <c r="S96" s="81"/>
      <c r="T96" s="81"/>
      <c r="U96" s="81"/>
      <c r="V96" s="81"/>
      <c r="W96" s="81"/>
      <c r="X96" s="81"/>
      <c r="Y96" s="435"/>
      <c r="Z96" s="435"/>
      <c r="AA96" s="435"/>
      <c r="AB96" s="435"/>
      <c r="AC96" s="435" t="s">
        <v>2755</v>
      </c>
      <c r="AD96" s="435"/>
      <c r="AE96" s="81"/>
      <c r="AF96" s="81"/>
      <c r="AG96" s="81"/>
      <c r="AH96" s="81"/>
      <c r="AI96" s="81"/>
    </row>
    <row r="97" spans="16:35">
      <c r="P97" s="81"/>
      <c r="Q97" s="81"/>
      <c r="R97" s="81"/>
      <c r="S97" s="81"/>
      <c r="T97" s="81"/>
      <c r="U97" s="81"/>
      <c r="V97" s="81"/>
      <c r="W97" s="81"/>
      <c r="X97" s="81"/>
      <c r="Y97" s="435"/>
      <c r="Z97" s="435"/>
      <c r="AA97" s="435"/>
      <c r="AB97" s="435"/>
      <c r="AC97" s="435" t="s">
        <v>2755</v>
      </c>
      <c r="AD97" s="435"/>
      <c r="AE97" s="81"/>
      <c r="AF97" s="81"/>
      <c r="AG97" s="81"/>
      <c r="AH97" s="81"/>
      <c r="AI97" s="81"/>
    </row>
    <row r="98" spans="16:35">
      <c r="P98" s="81"/>
      <c r="Q98" s="81"/>
      <c r="R98" s="81"/>
      <c r="S98" s="81"/>
      <c r="T98" s="81"/>
      <c r="U98" s="81"/>
      <c r="V98" s="81"/>
      <c r="W98" s="81"/>
      <c r="X98" s="81"/>
      <c r="Y98" s="435"/>
      <c r="Z98" s="435"/>
      <c r="AA98" s="435"/>
      <c r="AB98" s="435"/>
      <c r="AC98" s="435" t="s">
        <v>2755</v>
      </c>
      <c r="AD98" s="435"/>
      <c r="AE98" s="81"/>
      <c r="AF98" s="81"/>
      <c r="AG98" s="81"/>
      <c r="AH98" s="81"/>
      <c r="AI98" s="81"/>
    </row>
    <row r="99" spans="16:35">
      <c r="P99" s="81"/>
      <c r="Q99" s="81"/>
      <c r="R99" s="81"/>
      <c r="S99" s="81"/>
      <c r="T99" s="81"/>
      <c r="U99" s="81"/>
      <c r="V99" s="81"/>
      <c r="W99" s="81"/>
      <c r="X99" s="81"/>
      <c r="Y99" s="435"/>
      <c r="Z99" s="435"/>
      <c r="AA99" s="435"/>
      <c r="AB99" s="435"/>
      <c r="AC99" s="435" t="s">
        <v>2755</v>
      </c>
      <c r="AD99" s="435"/>
      <c r="AE99" s="81"/>
      <c r="AF99" s="81"/>
      <c r="AG99" s="81"/>
      <c r="AH99" s="81"/>
      <c r="AI99" s="81"/>
    </row>
    <row r="100" spans="16:35">
      <c r="P100" s="81"/>
      <c r="Q100" s="81"/>
      <c r="R100" s="81"/>
      <c r="S100" s="81"/>
      <c r="T100" s="81"/>
      <c r="U100" s="81"/>
      <c r="V100" s="81"/>
      <c r="W100" s="81"/>
      <c r="X100" s="81"/>
      <c r="Y100" s="435"/>
      <c r="Z100" s="435"/>
      <c r="AA100" s="435"/>
      <c r="AB100" s="435"/>
      <c r="AC100" s="435" t="s">
        <v>2755</v>
      </c>
      <c r="AD100" s="435"/>
      <c r="AE100" s="81"/>
      <c r="AF100" s="81"/>
      <c r="AG100" s="81"/>
      <c r="AH100" s="81"/>
      <c r="AI100" s="81"/>
    </row>
    <row r="101" spans="16:35">
      <c r="P101" s="81"/>
      <c r="Q101" s="81"/>
      <c r="R101" s="81"/>
      <c r="S101" s="81"/>
      <c r="T101" s="81"/>
      <c r="U101" s="81"/>
      <c r="V101" s="81"/>
      <c r="W101" s="81"/>
      <c r="X101" s="81"/>
      <c r="Y101" s="435"/>
      <c r="Z101" s="435"/>
      <c r="AA101" s="435"/>
      <c r="AB101" s="435"/>
      <c r="AC101" s="435" t="s">
        <v>2755</v>
      </c>
      <c r="AD101" s="435"/>
      <c r="AE101" s="81"/>
      <c r="AF101" s="81"/>
      <c r="AG101" s="81"/>
      <c r="AH101" s="81"/>
      <c r="AI101" s="81"/>
    </row>
    <row r="102" spans="16:35">
      <c r="P102" s="81"/>
      <c r="Q102" s="81"/>
      <c r="R102" s="81"/>
      <c r="S102" s="81"/>
      <c r="T102" s="81"/>
      <c r="U102" s="81"/>
      <c r="V102" s="81"/>
      <c r="W102" s="81"/>
      <c r="X102" s="81"/>
      <c r="Y102" s="435"/>
      <c r="Z102" s="435"/>
      <c r="AA102" s="435"/>
      <c r="AB102" s="435"/>
      <c r="AC102" s="435" t="s">
        <v>2755</v>
      </c>
      <c r="AD102" s="435"/>
      <c r="AE102" s="81"/>
      <c r="AF102" s="81"/>
      <c r="AG102" s="81"/>
      <c r="AH102" s="81"/>
      <c r="AI102" s="81"/>
    </row>
    <row r="103" spans="16:35">
      <c r="P103" s="81"/>
      <c r="Q103" s="81"/>
      <c r="R103" s="81"/>
      <c r="S103" s="81"/>
      <c r="T103" s="81"/>
      <c r="U103" s="81"/>
      <c r="V103" s="81"/>
      <c r="W103" s="81"/>
      <c r="X103" s="81"/>
      <c r="Y103" s="435"/>
      <c r="Z103" s="435"/>
      <c r="AA103" s="435"/>
      <c r="AB103" s="435"/>
      <c r="AC103" s="435" t="s">
        <v>2755</v>
      </c>
      <c r="AD103" s="435"/>
      <c r="AE103" s="81"/>
      <c r="AF103" s="81"/>
      <c r="AG103" s="81"/>
      <c r="AH103" s="81"/>
      <c r="AI103" s="81"/>
    </row>
    <row r="104" spans="16:35">
      <c r="P104" s="81"/>
      <c r="Q104" s="81"/>
      <c r="R104" s="81"/>
      <c r="S104" s="81"/>
      <c r="T104" s="81"/>
      <c r="U104" s="81"/>
      <c r="V104" s="81"/>
      <c r="W104" s="81"/>
      <c r="X104" s="81"/>
      <c r="Y104" s="435"/>
      <c r="Z104" s="435"/>
      <c r="AA104" s="435"/>
      <c r="AB104" s="435"/>
      <c r="AC104" s="435" t="s">
        <v>2755</v>
      </c>
      <c r="AD104" s="435"/>
      <c r="AE104" s="81"/>
      <c r="AF104" s="81"/>
      <c r="AG104" s="81"/>
      <c r="AH104" s="81"/>
      <c r="AI104" s="81"/>
    </row>
    <row r="105" spans="16:35">
      <c r="P105" s="81"/>
      <c r="Q105" s="81"/>
      <c r="R105" s="81"/>
      <c r="S105" s="81"/>
      <c r="T105" s="81"/>
      <c r="U105" s="81"/>
      <c r="V105" s="81"/>
      <c r="W105" s="81"/>
      <c r="X105" s="81"/>
      <c r="Y105" s="435"/>
      <c r="Z105" s="435"/>
      <c r="AA105" s="435"/>
      <c r="AB105" s="435"/>
      <c r="AC105" s="435" t="s">
        <v>2755</v>
      </c>
      <c r="AD105" s="435"/>
      <c r="AE105" s="81"/>
      <c r="AF105" s="81"/>
      <c r="AG105" s="81"/>
      <c r="AH105" s="81"/>
      <c r="AI105" s="81"/>
    </row>
    <row r="106" spans="16:35">
      <c r="P106" s="81"/>
      <c r="Q106" s="81"/>
      <c r="R106" s="81"/>
      <c r="S106" s="81"/>
      <c r="T106" s="81"/>
      <c r="U106" s="81"/>
      <c r="V106" s="81"/>
      <c r="W106" s="81"/>
      <c r="X106" s="81"/>
      <c r="Y106" s="435"/>
      <c r="Z106" s="435"/>
      <c r="AA106" s="435"/>
      <c r="AB106" s="435"/>
      <c r="AC106" s="435" t="s">
        <v>2755</v>
      </c>
      <c r="AD106" s="435"/>
      <c r="AE106" s="81"/>
      <c r="AF106" s="81"/>
      <c r="AG106" s="81"/>
      <c r="AH106" s="81"/>
      <c r="AI106" s="81"/>
    </row>
    <row r="107" spans="16:35">
      <c r="P107" s="81"/>
      <c r="Q107" s="81"/>
      <c r="R107" s="81"/>
      <c r="S107" s="81"/>
      <c r="T107" s="81"/>
      <c r="U107" s="81"/>
      <c r="V107" s="81"/>
      <c r="W107" s="81"/>
      <c r="X107" s="81"/>
      <c r="Y107" s="435"/>
      <c r="Z107" s="435"/>
      <c r="AA107" s="435"/>
      <c r="AB107" s="435"/>
      <c r="AC107" s="435" t="s">
        <v>2755</v>
      </c>
      <c r="AD107" s="435"/>
      <c r="AE107" s="81"/>
      <c r="AF107" s="81"/>
      <c r="AG107" s="81"/>
      <c r="AH107" s="81"/>
      <c r="AI107" s="81"/>
    </row>
    <row r="108" spans="16:35">
      <c r="P108" s="81"/>
      <c r="Q108" s="81"/>
      <c r="R108" s="81"/>
      <c r="S108" s="81"/>
      <c r="T108" s="81"/>
      <c r="U108" s="81"/>
      <c r="V108" s="81"/>
      <c r="W108" s="81"/>
      <c r="X108" s="81"/>
      <c r="Y108" s="435"/>
      <c r="Z108" s="435"/>
      <c r="AA108" s="435"/>
      <c r="AB108" s="435"/>
      <c r="AC108" s="435" t="s">
        <v>2755</v>
      </c>
      <c r="AD108" s="435"/>
      <c r="AE108" s="81"/>
      <c r="AF108" s="81"/>
      <c r="AG108" s="81"/>
      <c r="AH108" s="81"/>
      <c r="AI108" s="81"/>
    </row>
    <row r="109" spans="16:35">
      <c r="P109" s="81"/>
      <c r="Q109" s="81"/>
      <c r="R109" s="81"/>
      <c r="S109" s="81"/>
      <c r="T109" s="81"/>
      <c r="U109" s="81"/>
      <c r="V109" s="81"/>
      <c r="W109" s="81"/>
      <c r="X109" s="81"/>
      <c r="Y109" s="435"/>
      <c r="Z109" s="435"/>
      <c r="AA109" s="435"/>
      <c r="AB109" s="435"/>
      <c r="AC109" s="435" t="s">
        <v>2755</v>
      </c>
      <c r="AD109" s="435"/>
      <c r="AE109" s="81"/>
      <c r="AF109" s="81"/>
      <c r="AG109" s="81"/>
      <c r="AH109" s="81"/>
      <c r="AI109" s="81"/>
    </row>
    <row r="110" spans="16:35">
      <c r="P110" s="81"/>
      <c r="Q110" s="81"/>
      <c r="R110" s="81"/>
      <c r="S110" s="81"/>
      <c r="T110" s="81"/>
      <c r="U110" s="81"/>
      <c r="V110" s="81"/>
      <c r="W110" s="81"/>
      <c r="X110" s="81"/>
      <c r="Y110" s="435"/>
      <c r="Z110" s="435"/>
      <c r="AA110" s="435"/>
      <c r="AB110" s="435"/>
      <c r="AC110" s="435" t="s">
        <v>2755</v>
      </c>
      <c r="AD110" s="435"/>
      <c r="AE110" s="81"/>
      <c r="AF110" s="81"/>
      <c r="AG110" s="81"/>
      <c r="AH110" s="81"/>
      <c r="AI110" s="81"/>
    </row>
    <row r="111" spans="16:35">
      <c r="P111" s="81"/>
      <c r="Q111" s="81"/>
      <c r="R111" s="81"/>
      <c r="S111" s="81"/>
      <c r="T111" s="81"/>
      <c r="U111" s="81"/>
      <c r="V111" s="81"/>
      <c r="W111" s="81"/>
      <c r="X111" s="81"/>
      <c r="Y111" s="435"/>
      <c r="Z111" s="435"/>
      <c r="AA111" s="435"/>
      <c r="AB111" s="435"/>
      <c r="AC111" s="435" t="s">
        <v>2755</v>
      </c>
      <c r="AD111" s="435"/>
      <c r="AE111" s="81"/>
      <c r="AF111" s="81"/>
      <c r="AG111" s="81"/>
      <c r="AH111" s="81"/>
      <c r="AI111" s="81"/>
    </row>
    <row r="112" spans="16:35">
      <c r="P112" s="81"/>
      <c r="Q112" s="81"/>
      <c r="R112" s="81"/>
      <c r="S112" s="81"/>
      <c r="T112" s="81"/>
      <c r="U112" s="81"/>
      <c r="V112" s="81"/>
      <c r="W112" s="81"/>
      <c r="X112" s="81"/>
      <c r="Y112" s="435"/>
      <c r="Z112" s="435"/>
      <c r="AA112" s="435"/>
      <c r="AB112" s="435"/>
      <c r="AC112" s="435" t="s">
        <v>2755</v>
      </c>
      <c r="AD112" s="435"/>
      <c r="AE112" s="81"/>
      <c r="AF112" s="81"/>
      <c r="AG112" s="81"/>
      <c r="AH112" s="81"/>
      <c r="AI112" s="81"/>
    </row>
    <row r="113" spans="16:35">
      <c r="P113" s="81"/>
      <c r="Q113" s="81"/>
      <c r="R113" s="81"/>
      <c r="S113" s="81"/>
      <c r="T113" s="81"/>
      <c r="U113" s="81"/>
      <c r="V113" s="81"/>
      <c r="W113" s="81"/>
      <c r="X113" s="81"/>
      <c r="Y113" s="435"/>
      <c r="Z113" s="435"/>
      <c r="AA113" s="435"/>
      <c r="AB113" s="435"/>
      <c r="AC113" s="435" t="s">
        <v>2755</v>
      </c>
      <c r="AD113" s="435"/>
      <c r="AE113" s="81"/>
      <c r="AF113" s="81"/>
      <c r="AG113" s="81"/>
      <c r="AH113" s="81"/>
      <c r="AI113" s="81"/>
    </row>
    <row r="114" spans="16:35">
      <c r="P114" s="81"/>
      <c r="Q114" s="81"/>
      <c r="R114" s="81"/>
      <c r="S114" s="81"/>
      <c r="T114" s="81"/>
      <c r="U114" s="81"/>
      <c r="V114" s="81"/>
      <c r="W114" s="81"/>
      <c r="X114" s="81"/>
      <c r="Y114" s="435"/>
      <c r="Z114" s="435"/>
      <c r="AA114" s="435"/>
      <c r="AB114" s="435"/>
      <c r="AC114" s="435" t="s">
        <v>2755</v>
      </c>
      <c r="AD114" s="435"/>
      <c r="AE114" s="81"/>
      <c r="AF114" s="81"/>
      <c r="AG114" s="81"/>
      <c r="AH114" s="81"/>
      <c r="AI114" s="81"/>
    </row>
    <row r="115" spans="16:35">
      <c r="P115" s="81"/>
      <c r="Q115" s="81"/>
      <c r="R115" s="81"/>
      <c r="S115" s="81"/>
      <c r="T115" s="81"/>
      <c r="U115" s="81"/>
      <c r="V115" s="81"/>
      <c r="W115" s="81"/>
      <c r="X115" s="81"/>
      <c r="Y115" s="435"/>
      <c r="Z115" s="435"/>
      <c r="AA115" s="435"/>
      <c r="AB115" s="435"/>
      <c r="AC115" s="435" t="s">
        <v>2755</v>
      </c>
      <c r="AD115" s="435"/>
      <c r="AE115" s="81"/>
      <c r="AF115" s="81"/>
      <c r="AG115" s="81"/>
      <c r="AH115" s="81"/>
      <c r="AI115" s="81"/>
    </row>
    <row r="116" spans="16:35">
      <c r="P116" s="81"/>
      <c r="Q116" s="81"/>
      <c r="R116" s="81"/>
      <c r="S116" s="81"/>
      <c r="T116" s="81"/>
      <c r="U116" s="81"/>
      <c r="V116" s="81"/>
      <c r="W116" s="81"/>
      <c r="X116" s="81"/>
      <c r="Y116" s="435"/>
      <c r="Z116" s="435"/>
      <c r="AA116" s="435"/>
      <c r="AB116" s="435"/>
      <c r="AC116" s="435" t="s">
        <v>2755</v>
      </c>
      <c r="AD116" s="435"/>
      <c r="AE116" s="81"/>
      <c r="AF116" s="81"/>
      <c r="AG116" s="81"/>
      <c r="AH116" s="81"/>
      <c r="AI116" s="81"/>
    </row>
    <row r="117" spans="16:35">
      <c r="P117" s="81"/>
      <c r="Q117" s="81"/>
      <c r="R117" s="81"/>
      <c r="S117" s="81"/>
      <c r="T117" s="81"/>
      <c r="U117" s="81"/>
      <c r="V117" s="81"/>
      <c r="W117" s="81"/>
      <c r="X117" s="81"/>
      <c r="Y117" s="435"/>
      <c r="Z117" s="435"/>
      <c r="AA117" s="435"/>
      <c r="AB117" s="435"/>
      <c r="AC117" s="435" t="s">
        <v>2755</v>
      </c>
      <c r="AD117" s="435"/>
      <c r="AE117" s="81"/>
      <c r="AF117" s="81"/>
      <c r="AG117" s="81"/>
      <c r="AH117" s="81"/>
      <c r="AI117" s="81"/>
    </row>
    <row r="118" spans="16:35">
      <c r="P118" s="81"/>
      <c r="Q118" s="81"/>
      <c r="R118" s="81"/>
      <c r="S118" s="81"/>
      <c r="T118" s="81"/>
      <c r="U118" s="81"/>
      <c r="V118" s="81"/>
      <c r="W118" s="81"/>
      <c r="X118" s="81"/>
      <c r="Y118" s="435"/>
      <c r="Z118" s="435"/>
      <c r="AA118" s="435"/>
      <c r="AB118" s="435"/>
      <c r="AC118" s="435" t="s">
        <v>2755</v>
      </c>
      <c r="AD118" s="435"/>
      <c r="AE118" s="81"/>
      <c r="AF118" s="81"/>
      <c r="AG118" s="81"/>
      <c r="AH118" s="81"/>
      <c r="AI118" s="81"/>
    </row>
    <row r="119" spans="16:35">
      <c r="P119" s="81"/>
      <c r="Q119" s="81"/>
      <c r="R119" s="81"/>
      <c r="S119" s="81"/>
      <c r="T119" s="81"/>
      <c r="U119" s="81"/>
      <c r="V119" s="81"/>
      <c r="W119" s="81"/>
      <c r="X119" s="81"/>
      <c r="Y119" s="435"/>
      <c r="Z119" s="435"/>
      <c r="AA119" s="435"/>
      <c r="AB119" s="435"/>
      <c r="AC119" s="435" t="s">
        <v>2755</v>
      </c>
      <c r="AD119" s="435"/>
      <c r="AE119" s="81"/>
      <c r="AF119" s="81"/>
      <c r="AG119" s="81"/>
      <c r="AH119" s="81"/>
      <c r="AI119" s="81"/>
    </row>
    <row r="120" spans="16:35">
      <c r="P120" s="81"/>
      <c r="Q120" s="81"/>
      <c r="R120" s="81"/>
      <c r="S120" s="81"/>
      <c r="T120" s="81"/>
      <c r="U120" s="81"/>
      <c r="V120" s="81"/>
      <c r="W120" s="81"/>
      <c r="X120" s="81"/>
      <c r="Y120" s="435"/>
      <c r="Z120" s="435"/>
      <c r="AA120" s="435"/>
      <c r="AB120" s="435"/>
      <c r="AC120" s="435" t="s">
        <v>2755</v>
      </c>
      <c r="AD120" s="435"/>
      <c r="AE120" s="81"/>
      <c r="AF120" s="81"/>
      <c r="AG120" s="81"/>
      <c r="AH120" s="81"/>
      <c r="AI120" s="81"/>
    </row>
    <row r="121" spans="16:35">
      <c r="P121" s="81"/>
      <c r="Q121" s="81"/>
      <c r="R121" s="81"/>
      <c r="S121" s="81"/>
      <c r="T121" s="81"/>
      <c r="U121" s="81"/>
      <c r="V121" s="81"/>
      <c r="W121" s="81"/>
      <c r="X121" s="81"/>
      <c r="Y121" s="435"/>
      <c r="Z121" s="435"/>
      <c r="AA121" s="435"/>
      <c r="AB121" s="435"/>
      <c r="AC121" s="435" t="s">
        <v>2755</v>
      </c>
      <c r="AD121" s="435"/>
      <c r="AE121" s="81"/>
      <c r="AF121" s="81"/>
      <c r="AG121" s="81"/>
      <c r="AH121" s="81"/>
      <c r="AI121" s="81"/>
    </row>
    <row r="122" spans="16:35">
      <c r="P122" s="81"/>
      <c r="Q122" s="81"/>
      <c r="R122" s="81"/>
      <c r="S122" s="81"/>
      <c r="T122" s="81"/>
      <c r="U122" s="81"/>
      <c r="V122" s="81"/>
      <c r="W122" s="81"/>
      <c r="X122" s="81"/>
      <c r="Y122" s="435"/>
      <c r="Z122" s="435"/>
      <c r="AA122" s="435"/>
      <c r="AB122" s="435"/>
      <c r="AC122" s="435" t="s">
        <v>2755</v>
      </c>
      <c r="AD122" s="435"/>
      <c r="AE122" s="81"/>
      <c r="AF122" s="81"/>
      <c r="AG122" s="81"/>
      <c r="AH122" s="81"/>
      <c r="AI122" s="81"/>
    </row>
    <row r="123" spans="16:35">
      <c r="P123" s="81"/>
      <c r="Q123" s="81"/>
      <c r="R123" s="81"/>
      <c r="S123" s="81"/>
      <c r="T123" s="81"/>
      <c r="U123" s="81"/>
      <c r="V123" s="81"/>
      <c r="W123" s="81"/>
      <c r="X123" s="81"/>
      <c r="Y123" s="435"/>
      <c r="Z123" s="435"/>
      <c r="AA123" s="435"/>
      <c r="AB123" s="435"/>
      <c r="AC123" s="435" t="s">
        <v>2755</v>
      </c>
      <c r="AD123" s="435"/>
      <c r="AE123" s="81"/>
      <c r="AF123" s="81"/>
      <c r="AG123" s="81"/>
      <c r="AH123" s="81"/>
      <c r="AI123" s="81"/>
    </row>
    <row r="124" spans="16:35">
      <c r="P124" s="81"/>
      <c r="Q124" s="81"/>
      <c r="R124" s="81"/>
      <c r="S124" s="81"/>
      <c r="T124" s="81"/>
      <c r="U124" s="81"/>
      <c r="V124" s="81"/>
      <c r="W124" s="81"/>
      <c r="X124" s="81"/>
      <c r="Y124" s="435"/>
      <c r="Z124" s="435"/>
      <c r="AA124" s="435"/>
      <c r="AB124" s="435"/>
      <c r="AC124" s="435" t="s">
        <v>2755</v>
      </c>
      <c r="AD124" s="435"/>
      <c r="AE124" s="81"/>
      <c r="AF124" s="81"/>
      <c r="AG124" s="81"/>
      <c r="AH124" s="81"/>
      <c r="AI124" s="81"/>
    </row>
    <row r="125" spans="16:35">
      <c r="P125" s="81"/>
      <c r="Q125" s="81"/>
      <c r="R125" s="81"/>
      <c r="S125" s="81"/>
      <c r="T125" s="81"/>
      <c r="U125" s="81"/>
      <c r="V125" s="81"/>
      <c r="W125" s="81"/>
      <c r="X125" s="81"/>
      <c r="Y125" s="435"/>
      <c r="Z125" s="435"/>
      <c r="AA125" s="435"/>
      <c r="AB125" s="435"/>
      <c r="AC125" s="435" t="s">
        <v>2755</v>
      </c>
      <c r="AD125" s="435"/>
      <c r="AE125" s="81"/>
      <c r="AF125" s="81"/>
      <c r="AG125" s="81"/>
      <c r="AH125" s="81"/>
      <c r="AI125" s="81"/>
    </row>
    <row r="126" spans="16:35">
      <c r="P126" s="81"/>
      <c r="Q126" s="81"/>
      <c r="R126" s="81"/>
      <c r="S126" s="81"/>
      <c r="T126" s="81"/>
      <c r="U126" s="81"/>
      <c r="V126" s="81"/>
      <c r="W126" s="81"/>
      <c r="X126" s="81"/>
      <c r="Y126" s="435"/>
      <c r="Z126" s="435"/>
      <c r="AA126" s="435"/>
      <c r="AB126" s="435"/>
      <c r="AC126" s="435" t="s">
        <v>2755</v>
      </c>
      <c r="AD126" s="435"/>
      <c r="AE126" s="81"/>
      <c r="AF126" s="81"/>
      <c r="AG126" s="81"/>
      <c r="AH126" s="81"/>
      <c r="AI126" s="81"/>
    </row>
    <row r="127" spans="16:35">
      <c r="P127" s="81"/>
      <c r="Q127" s="81"/>
      <c r="R127" s="81"/>
      <c r="S127" s="81"/>
      <c r="T127" s="81"/>
      <c r="U127" s="81"/>
      <c r="V127" s="81"/>
      <c r="W127" s="81"/>
      <c r="X127" s="81"/>
      <c r="Y127" s="435"/>
      <c r="Z127" s="435"/>
      <c r="AA127" s="435"/>
      <c r="AB127" s="435"/>
      <c r="AC127" s="435" t="s">
        <v>2755</v>
      </c>
      <c r="AD127" s="435"/>
      <c r="AE127" s="81"/>
      <c r="AF127" s="81"/>
      <c r="AG127" s="81"/>
      <c r="AH127" s="81"/>
      <c r="AI127" s="81"/>
    </row>
    <row r="128" spans="16:35">
      <c r="P128" s="81"/>
      <c r="Q128" s="81"/>
      <c r="R128" s="81"/>
      <c r="S128" s="81"/>
      <c r="T128" s="81"/>
      <c r="U128" s="81"/>
      <c r="V128" s="81"/>
      <c r="W128" s="81"/>
      <c r="X128" s="81"/>
      <c r="Y128" s="435"/>
      <c r="Z128" s="435"/>
      <c r="AA128" s="435"/>
      <c r="AB128" s="435"/>
      <c r="AC128" s="435" t="s">
        <v>2755</v>
      </c>
      <c r="AD128" s="435"/>
      <c r="AE128" s="81"/>
      <c r="AF128" s="81"/>
      <c r="AG128" s="81"/>
      <c r="AH128" s="81"/>
      <c r="AI128" s="81"/>
    </row>
    <row r="129" spans="16:35">
      <c r="P129" s="81"/>
      <c r="Q129" s="81"/>
      <c r="R129" s="81"/>
      <c r="S129" s="81"/>
      <c r="T129" s="81"/>
      <c r="U129" s="81"/>
      <c r="V129" s="81"/>
      <c r="W129" s="81"/>
      <c r="X129" s="81"/>
      <c r="Y129" s="435"/>
      <c r="Z129" s="435"/>
      <c r="AA129" s="435"/>
      <c r="AB129" s="435"/>
      <c r="AC129" s="435" t="s">
        <v>2755</v>
      </c>
      <c r="AD129" s="435"/>
      <c r="AE129" s="81"/>
      <c r="AF129" s="81"/>
      <c r="AG129" s="81"/>
      <c r="AH129" s="81"/>
      <c r="AI129" s="81"/>
    </row>
    <row r="130" spans="16:35">
      <c r="P130" s="81"/>
      <c r="Q130" s="81"/>
      <c r="R130" s="81"/>
      <c r="S130" s="81"/>
      <c r="T130" s="81"/>
      <c r="U130" s="81"/>
      <c r="V130" s="81"/>
      <c r="W130" s="81"/>
      <c r="X130" s="81"/>
      <c r="Y130" s="435"/>
      <c r="Z130" s="435"/>
      <c r="AA130" s="435"/>
      <c r="AB130" s="435"/>
      <c r="AC130" s="435" t="s">
        <v>2755</v>
      </c>
      <c r="AD130" s="435"/>
      <c r="AE130" s="81"/>
      <c r="AF130" s="81"/>
      <c r="AG130" s="81"/>
      <c r="AH130" s="81"/>
      <c r="AI130" s="81"/>
    </row>
    <row r="131" spans="16:35">
      <c r="P131" s="81"/>
      <c r="Q131" s="81"/>
      <c r="R131" s="81"/>
      <c r="S131" s="81"/>
      <c r="T131" s="81"/>
      <c r="U131" s="81"/>
      <c r="V131" s="81"/>
      <c r="W131" s="81"/>
      <c r="X131" s="81"/>
      <c r="Y131" s="435"/>
      <c r="Z131" s="435"/>
      <c r="AA131" s="435"/>
      <c r="AB131" s="435"/>
      <c r="AC131" s="435" t="s">
        <v>2755</v>
      </c>
      <c r="AD131" s="435"/>
      <c r="AE131" s="81"/>
      <c r="AF131" s="81"/>
      <c r="AG131" s="81"/>
      <c r="AH131" s="81"/>
      <c r="AI131" s="81"/>
    </row>
    <row r="132" spans="16:35">
      <c r="P132" s="81"/>
      <c r="Q132" s="81"/>
      <c r="R132" s="81"/>
      <c r="S132" s="81"/>
      <c r="T132" s="81"/>
      <c r="U132" s="81"/>
      <c r="V132" s="81"/>
      <c r="W132" s="81"/>
      <c r="X132" s="81"/>
      <c r="Y132" s="435"/>
      <c r="Z132" s="435"/>
      <c r="AA132" s="435"/>
      <c r="AB132" s="435"/>
      <c r="AC132" s="435" t="s">
        <v>2755</v>
      </c>
      <c r="AD132" s="435"/>
      <c r="AE132" s="81"/>
      <c r="AF132" s="81"/>
      <c r="AG132" s="81"/>
      <c r="AH132" s="81"/>
      <c r="AI132" s="81"/>
    </row>
    <row r="133" spans="16:35">
      <c r="P133" s="81"/>
      <c r="Q133" s="81"/>
      <c r="R133" s="81"/>
      <c r="S133" s="81"/>
      <c r="T133" s="81"/>
      <c r="U133" s="81"/>
      <c r="V133" s="81"/>
      <c r="W133" s="81"/>
      <c r="X133" s="81"/>
      <c r="Y133" s="435"/>
      <c r="Z133" s="435"/>
      <c r="AA133" s="435"/>
      <c r="AB133" s="435"/>
      <c r="AC133" s="435" t="s">
        <v>2755</v>
      </c>
      <c r="AD133" s="435"/>
      <c r="AE133" s="81"/>
      <c r="AF133" s="81"/>
      <c r="AG133" s="81"/>
      <c r="AH133" s="81"/>
      <c r="AI133" s="81"/>
    </row>
    <row r="134" spans="16:35">
      <c r="P134" s="81"/>
      <c r="Q134" s="81"/>
      <c r="R134" s="81"/>
      <c r="S134" s="81"/>
      <c r="T134" s="81"/>
      <c r="U134" s="81"/>
      <c r="V134" s="81"/>
      <c r="W134" s="81"/>
      <c r="X134" s="81"/>
      <c r="Y134" s="435"/>
      <c r="Z134" s="435"/>
      <c r="AA134" s="435"/>
      <c r="AB134" s="435"/>
      <c r="AC134" s="435" t="s">
        <v>2755</v>
      </c>
      <c r="AD134" s="435"/>
      <c r="AE134" s="81"/>
      <c r="AF134" s="81"/>
      <c r="AG134" s="81"/>
      <c r="AH134" s="81"/>
      <c r="AI134" s="81"/>
    </row>
    <row r="135" spans="16:35">
      <c r="P135" s="81"/>
      <c r="Q135" s="81"/>
      <c r="R135" s="81"/>
      <c r="S135" s="81"/>
      <c r="T135" s="81"/>
      <c r="U135" s="81"/>
      <c r="V135" s="81"/>
      <c r="W135" s="81"/>
      <c r="X135" s="81"/>
      <c r="Y135" s="435"/>
      <c r="Z135" s="435"/>
      <c r="AA135" s="435"/>
      <c r="AB135" s="435"/>
      <c r="AC135" s="435" t="s">
        <v>2755</v>
      </c>
      <c r="AD135" s="435"/>
      <c r="AE135" s="81"/>
      <c r="AF135" s="81"/>
      <c r="AG135" s="81"/>
      <c r="AH135" s="81"/>
      <c r="AI135" s="81"/>
    </row>
    <row r="136" spans="16:35">
      <c r="P136" s="81"/>
      <c r="Q136" s="81"/>
      <c r="R136" s="81"/>
      <c r="S136" s="81"/>
      <c r="T136" s="81"/>
      <c r="U136" s="81"/>
      <c r="V136" s="81"/>
      <c r="W136" s="81"/>
      <c r="X136" s="81"/>
      <c r="Y136" s="435"/>
      <c r="Z136" s="435"/>
      <c r="AA136" s="435"/>
      <c r="AB136" s="435"/>
      <c r="AC136" s="435" t="s">
        <v>2755</v>
      </c>
      <c r="AD136" s="435"/>
      <c r="AE136" s="81"/>
      <c r="AF136" s="81"/>
      <c r="AG136" s="81"/>
      <c r="AH136" s="81"/>
      <c r="AI136" s="81"/>
    </row>
    <row r="137" spans="16:35">
      <c r="P137" s="81"/>
      <c r="Q137" s="81"/>
      <c r="R137" s="81"/>
      <c r="S137" s="81"/>
      <c r="T137" s="81"/>
      <c r="U137" s="81"/>
      <c r="V137" s="81"/>
      <c r="W137" s="81"/>
      <c r="X137" s="81"/>
      <c r="Y137" s="435"/>
      <c r="Z137" s="435"/>
      <c r="AA137" s="435"/>
      <c r="AB137" s="435"/>
      <c r="AC137" s="435" t="s">
        <v>2755</v>
      </c>
      <c r="AD137" s="435"/>
      <c r="AE137" s="81"/>
      <c r="AF137" s="81"/>
      <c r="AG137" s="81"/>
      <c r="AH137" s="81"/>
      <c r="AI137" s="81"/>
    </row>
    <row r="138" spans="16:35">
      <c r="P138" s="81"/>
      <c r="Q138" s="81"/>
      <c r="R138" s="81"/>
      <c r="S138" s="81"/>
      <c r="T138" s="81"/>
      <c r="U138" s="81"/>
      <c r="V138" s="81"/>
      <c r="W138" s="81"/>
      <c r="X138" s="81"/>
      <c r="Y138" s="435"/>
      <c r="Z138" s="435"/>
      <c r="AA138" s="435"/>
      <c r="AB138" s="435"/>
      <c r="AC138" s="435" t="s">
        <v>2755</v>
      </c>
      <c r="AD138" s="435"/>
      <c r="AE138" s="81"/>
      <c r="AF138" s="81"/>
      <c r="AG138" s="81"/>
      <c r="AH138" s="81"/>
      <c r="AI138" s="81"/>
    </row>
    <row r="139" spans="16:35">
      <c r="P139" s="81"/>
      <c r="Q139" s="81"/>
      <c r="R139" s="81"/>
      <c r="S139" s="81"/>
      <c r="T139" s="81"/>
      <c r="U139" s="81"/>
      <c r="V139" s="81"/>
      <c r="W139" s="81"/>
      <c r="X139" s="81"/>
      <c r="Y139" s="435"/>
      <c r="Z139" s="435"/>
      <c r="AA139" s="435"/>
      <c r="AB139" s="435"/>
      <c r="AC139" s="435" t="s">
        <v>2755</v>
      </c>
      <c r="AD139" s="435"/>
      <c r="AE139" s="81"/>
      <c r="AF139" s="81"/>
      <c r="AG139" s="81"/>
      <c r="AH139" s="81"/>
      <c r="AI139" s="81"/>
    </row>
    <row r="140" spans="16:35">
      <c r="P140" s="81"/>
      <c r="Q140" s="81"/>
      <c r="R140" s="81"/>
      <c r="S140" s="81"/>
      <c r="T140" s="81"/>
      <c r="U140" s="81"/>
      <c r="V140" s="81"/>
      <c r="W140" s="81"/>
      <c r="X140" s="81"/>
      <c r="Y140" s="435"/>
      <c r="Z140" s="435"/>
      <c r="AA140" s="435"/>
      <c r="AB140" s="435"/>
      <c r="AC140" s="435" t="s">
        <v>2755</v>
      </c>
      <c r="AD140" s="435"/>
      <c r="AE140" s="81"/>
      <c r="AF140" s="81"/>
      <c r="AG140" s="81"/>
      <c r="AH140" s="81"/>
      <c r="AI140" s="81"/>
    </row>
    <row r="141" spans="16:35">
      <c r="P141" s="81"/>
      <c r="Q141" s="81"/>
      <c r="R141" s="81"/>
      <c r="S141" s="81"/>
      <c r="T141" s="81"/>
      <c r="U141" s="81"/>
      <c r="V141" s="81"/>
      <c r="W141" s="81"/>
      <c r="X141" s="81"/>
      <c r="Y141" s="435"/>
      <c r="Z141" s="435"/>
      <c r="AA141" s="435"/>
      <c r="AB141" s="435"/>
      <c r="AC141" s="435" t="s">
        <v>2755</v>
      </c>
      <c r="AD141" s="435"/>
      <c r="AE141" s="81"/>
      <c r="AF141" s="81"/>
      <c r="AG141" s="81"/>
      <c r="AH141" s="81"/>
      <c r="AI141" s="81"/>
    </row>
    <row r="142" spans="16:35">
      <c r="P142" s="81"/>
      <c r="Q142" s="81"/>
      <c r="R142" s="81"/>
      <c r="S142" s="81"/>
      <c r="T142" s="81"/>
      <c r="U142" s="81"/>
      <c r="V142" s="81"/>
      <c r="W142" s="81"/>
      <c r="X142" s="81"/>
      <c r="Y142" s="435"/>
      <c r="Z142" s="435"/>
      <c r="AA142" s="435"/>
      <c r="AB142" s="435"/>
      <c r="AC142" s="435" t="s">
        <v>2755</v>
      </c>
      <c r="AD142" s="435"/>
      <c r="AE142" s="81"/>
      <c r="AF142" s="81"/>
      <c r="AG142" s="81"/>
      <c r="AH142" s="81"/>
      <c r="AI142" s="81"/>
    </row>
    <row r="143" spans="16:35">
      <c r="P143" s="81"/>
      <c r="Q143" s="81"/>
      <c r="R143" s="81"/>
      <c r="S143" s="81"/>
      <c r="T143" s="81"/>
      <c r="U143" s="81"/>
      <c r="V143" s="81"/>
      <c r="W143" s="81"/>
      <c r="X143" s="81"/>
      <c r="Y143" s="435"/>
      <c r="Z143" s="435"/>
      <c r="AA143" s="435"/>
      <c r="AB143" s="435"/>
      <c r="AC143" s="435" t="s">
        <v>2755</v>
      </c>
      <c r="AD143" s="435"/>
      <c r="AE143" s="81"/>
      <c r="AF143" s="81"/>
      <c r="AG143" s="81"/>
      <c r="AH143" s="81"/>
      <c r="AI143" s="81"/>
    </row>
    <row r="144" spans="16:35">
      <c r="P144" s="81"/>
      <c r="Q144" s="81"/>
      <c r="R144" s="81"/>
      <c r="S144" s="81"/>
      <c r="T144" s="81"/>
      <c r="U144" s="81"/>
      <c r="V144" s="81"/>
      <c r="W144" s="81"/>
      <c r="X144" s="81"/>
      <c r="Y144" s="435"/>
      <c r="Z144" s="435"/>
      <c r="AA144" s="435"/>
      <c r="AB144" s="435"/>
      <c r="AC144" s="435" t="s">
        <v>2755</v>
      </c>
      <c r="AD144" s="435"/>
      <c r="AE144" s="81"/>
      <c r="AF144" s="81"/>
      <c r="AG144" s="81"/>
      <c r="AH144" s="81"/>
      <c r="AI144" s="81"/>
    </row>
    <row r="145" spans="16:35">
      <c r="P145" s="81"/>
      <c r="Q145" s="81"/>
      <c r="R145" s="81"/>
      <c r="S145" s="81"/>
      <c r="T145" s="81"/>
      <c r="U145" s="81"/>
      <c r="V145" s="81"/>
      <c r="W145" s="81"/>
      <c r="X145" s="81"/>
      <c r="Y145" s="435"/>
      <c r="Z145" s="435"/>
      <c r="AA145" s="435"/>
      <c r="AB145" s="435"/>
      <c r="AC145" s="435" t="s">
        <v>2755</v>
      </c>
      <c r="AD145" s="435"/>
      <c r="AE145" s="81"/>
      <c r="AF145" s="81"/>
      <c r="AG145" s="81"/>
      <c r="AH145" s="81"/>
      <c r="AI145" s="81"/>
    </row>
    <row r="146" spans="16:35">
      <c r="P146" s="81"/>
      <c r="Q146" s="81"/>
      <c r="R146" s="81"/>
      <c r="S146" s="81"/>
      <c r="T146" s="81"/>
      <c r="U146" s="81"/>
      <c r="V146" s="81"/>
      <c r="W146" s="81"/>
      <c r="X146" s="81"/>
      <c r="Y146" s="435"/>
      <c r="Z146" s="435"/>
      <c r="AA146" s="435"/>
      <c r="AB146" s="435"/>
      <c r="AC146" s="435" t="s">
        <v>2755</v>
      </c>
      <c r="AD146" s="435"/>
      <c r="AE146" s="81"/>
      <c r="AF146" s="81"/>
      <c r="AG146" s="81"/>
      <c r="AH146" s="81"/>
      <c r="AI146" s="81"/>
    </row>
    <row r="147" spans="16:35">
      <c r="P147" s="81"/>
      <c r="Q147" s="81"/>
      <c r="R147" s="81"/>
      <c r="S147" s="81"/>
      <c r="T147" s="81"/>
      <c r="U147" s="81"/>
      <c r="V147" s="81"/>
      <c r="W147" s="81"/>
      <c r="X147" s="81"/>
      <c r="Y147" s="435"/>
      <c r="Z147" s="435"/>
      <c r="AA147" s="435"/>
      <c r="AB147" s="435"/>
      <c r="AC147" s="435" t="s">
        <v>2755</v>
      </c>
      <c r="AD147" s="435"/>
      <c r="AE147" s="81"/>
      <c r="AF147" s="81"/>
      <c r="AG147" s="81"/>
      <c r="AH147" s="81"/>
      <c r="AI147" s="81"/>
    </row>
    <row r="148" spans="16:35">
      <c r="P148" s="81"/>
      <c r="Q148" s="81"/>
      <c r="R148" s="81"/>
      <c r="S148" s="81"/>
      <c r="T148" s="81"/>
      <c r="U148" s="81"/>
      <c r="V148" s="81"/>
      <c r="W148" s="81"/>
      <c r="X148" s="81"/>
      <c r="Y148" s="435"/>
      <c r="Z148" s="435"/>
      <c r="AA148" s="435"/>
      <c r="AB148" s="435"/>
      <c r="AC148" s="435" t="s">
        <v>2755</v>
      </c>
      <c r="AD148" s="435"/>
      <c r="AE148" s="81"/>
      <c r="AF148" s="81"/>
      <c r="AG148" s="81"/>
      <c r="AH148" s="81"/>
      <c r="AI148" s="81"/>
    </row>
    <row r="149" spans="16:35">
      <c r="P149" s="81"/>
      <c r="Q149" s="81"/>
      <c r="R149" s="81"/>
      <c r="S149" s="81"/>
      <c r="T149" s="81"/>
      <c r="U149" s="81"/>
      <c r="V149" s="81"/>
      <c r="W149" s="81"/>
      <c r="X149" s="81"/>
      <c r="Y149" s="435"/>
      <c r="Z149" s="435"/>
      <c r="AA149" s="435"/>
      <c r="AB149" s="435"/>
      <c r="AC149" s="435" t="s">
        <v>2755</v>
      </c>
      <c r="AD149" s="435"/>
      <c r="AE149" s="81"/>
      <c r="AF149" s="81"/>
      <c r="AG149" s="81"/>
      <c r="AH149" s="81"/>
      <c r="AI149" s="81"/>
    </row>
    <row r="150" spans="16:35">
      <c r="P150" s="81"/>
      <c r="Q150" s="81"/>
      <c r="R150" s="81"/>
      <c r="S150" s="81"/>
      <c r="T150" s="81"/>
      <c r="U150" s="81"/>
      <c r="V150" s="81"/>
      <c r="W150" s="81"/>
      <c r="X150" s="81"/>
      <c r="Y150" s="435"/>
      <c r="Z150" s="435"/>
      <c r="AA150" s="435"/>
      <c r="AB150" s="435"/>
      <c r="AC150" s="435" t="s">
        <v>2755</v>
      </c>
      <c r="AD150" s="435"/>
      <c r="AE150" s="81"/>
      <c r="AF150" s="81"/>
      <c r="AG150" s="81"/>
      <c r="AH150" s="81"/>
      <c r="AI150" s="81"/>
    </row>
    <row r="151" spans="16:35">
      <c r="P151" s="81"/>
      <c r="Q151" s="81"/>
      <c r="R151" s="81"/>
      <c r="S151" s="81"/>
      <c r="T151" s="81"/>
      <c r="U151" s="81"/>
      <c r="V151" s="81"/>
      <c r="W151" s="81"/>
      <c r="X151" s="81"/>
      <c r="Y151" s="435"/>
      <c r="Z151" s="435"/>
      <c r="AA151" s="435"/>
      <c r="AB151" s="435"/>
      <c r="AC151" s="435" t="s">
        <v>2755</v>
      </c>
      <c r="AD151" s="435"/>
      <c r="AE151" s="81"/>
      <c r="AF151" s="81"/>
      <c r="AG151" s="81"/>
      <c r="AH151" s="81"/>
      <c r="AI151" s="81"/>
    </row>
    <row r="152" spans="16:35">
      <c r="P152" s="81"/>
      <c r="Q152" s="81"/>
      <c r="R152" s="81"/>
      <c r="S152" s="81"/>
      <c r="T152" s="81"/>
      <c r="U152" s="81"/>
      <c r="V152" s="81"/>
      <c r="W152" s="81"/>
      <c r="X152" s="81"/>
      <c r="Y152" s="435"/>
      <c r="Z152" s="435"/>
      <c r="AA152" s="435"/>
      <c r="AB152" s="435"/>
      <c r="AC152" s="435" t="s">
        <v>2755</v>
      </c>
      <c r="AD152" s="435"/>
      <c r="AE152" s="81"/>
      <c r="AF152" s="81"/>
      <c r="AG152" s="81"/>
      <c r="AH152" s="81"/>
      <c r="AI152" s="81"/>
    </row>
    <row r="153" spans="16:35">
      <c r="P153" s="81"/>
      <c r="Q153" s="81"/>
      <c r="R153" s="81"/>
      <c r="S153" s="81"/>
      <c r="T153" s="81"/>
      <c r="U153" s="81"/>
      <c r="V153" s="81"/>
      <c r="W153" s="81"/>
      <c r="X153" s="81"/>
      <c r="Y153" s="435"/>
      <c r="Z153" s="435"/>
      <c r="AA153" s="435"/>
      <c r="AB153" s="435"/>
      <c r="AC153" s="435" t="s">
        <v>2755</v>
      </c>
      <c r="AD153" s="435"/>
      <c r="AE153" s="81"/>
      <c r="AF153" s="81"/>
      <c r="AG153" s="81"/>
      <c r="AH153" s="81"/>
      <c r="AI153" s="81"/>
    </row>
    <row r="154" spans="16:35">
      <c r="P154" s="81"/>
      <c r="Q154" s="81"/>
      <c r="R154" s="81"/>
      <c r="S154" s="81"/>
      <c r="T154" s="81"/>
      <c r="U154" s="81"/>
      <c r="V154" s="81"/>
      <c r="W154" s="81"/>
      <c r="X154" s="81"/>
      <c r="Y154" s="435"/>
      <c r="Z154" s="435"/>
      <c r="AA154" s="435"/>
      <c r="AB154" s="435"/>
      <c r="AC154" s="435" t="s">
        <v>2755</v>
      </c>
      <c r="AD154" s="435"/>
      <c r="AE154" s="81"/>
      <c r="AF154" s="81"/>
      <c r="AG154" s="81"/>
      <c r="AH154" s="81"/>
      <c r="AI154" s="81"/>
    </row>
    <row r="155" spans="16:35">
      <c r="P155" s="81"/>
      <c r="Q155" s="81"/>
      <c r="R155" s="81"/>
      <c r="S155" s="81"/>
      <c r="T155" s="81"/>
      <c r="U155" s="81"/>
      <c r="V155" s="81"/>
      <c r="W155" s="81"/>
      <c r="X155" s="81"/>
      <c r="Y155" s="435"/>
      <c r="Z155" s="435"/>
      <c r="AA155" s="435"/>
      <c r="AB155" s="435"/>
      <c r="AC155" s="435" t="s">
        <v>2755</v>
      </c>
      <c r="AD155" s="435"/>
      <c r="AE155" s="81"/>
      <c r="AF155" s="81"/>
      <c r="AG155" s="81"/>
      <c r="AH155" s="81"/>
      <c r="AI155" s="81"/>
    </row>
    <row r="156" spans="16:35">
      <c r="P156" s="81"/>
      <c r="Q156" s="81"/>
      <c r="R156" s="81"/>
      <c r="S156" s="81"/>
      <c r="T156" s="81"/>
      <c r="U156" s="81"/>
      <c r="V156" s="81"/>
      <c r="W156" s="81"/>
      <c r="X156" s="81"/>
      <c r="Y156" s="435"/>
      <c r="Z156" s="435"/>
      <c r="AA156" s="435"/>
      <c r="AB156" s="435"/>
      <c r="AC156" s="435" t="s">
        <v>2755</v>
      </c>
      <c r="AD156" s="435"/>
      <c r="AE156" s="81"/>
      <c r="AF156" s="81"/>
      <c r="AG156" s="81"/>
      <c r="AH156" s="81"/>
      <c r="AI156" s="81"/>
    </row>
    <row r="157" spans="16:35">
      <c r="P157" s="81"/>
      <c r="Q157" s="81"/>
      <c r="R157" s="81"/>
      <c r="S157" s="81"/>
      <c r="T157" s="81"/>
      <c r="U157" s="81"/>
      <c r="V157" s="81"/>
      <c r="W157" s="81"/>
      <c r="X157" s="81"/>
      <c r="Y157" s="435"/>
      <c r="Z157" s="435"/>
      <c r="AA157" s="435"/>
      <c r="AB157" s="435"/>
      <c r="AC157" s="435" t="s">
        <v>2755</v>
      </c>
      <c r="AD157" s="435"/>
      <c r="AE157" s="81"/>
      <c r="AF157" s="81"/>
      <c r="AG157" s="81"/>
      <c r="AH157" s="81"/>
      <c r="AI157" s="81"/>
    </row>
    <row r="158" spans="16:35">
      <c r="P158" s="81"/>
      <c r="Q158" s="81"/>
      <c r="R158" s="81"/>
      <c r="S158" s="81"/>
      <c r="T158" s="81"/>
      <c r="U158" s="81"/>
      <c r="V158" s="81"/>
      <c r="W158" s="81"/>
      <c r="X158" s="81"/>
      <c r="Y158" s="435"/>
      <c r="Z158" s="435"/>
      <c r="AA158" s="435"/>
      <c r="AB158" s="435"/>
      <c r="AC158" s="435" t="s">
        <v>2755</v>
      </c>
      <c r="AD158" s="435"/>
      <c r="AE158" s="81"/>
      <c r="AF158" s="81"/>
      <c r="AG158" s="81"/>
      <c r="AH158" s="81"/>
      <c r="AI158" s="81"/>
    </row>
    <row r="159" spans="16:35">
      <c r="P159" s="81"/>
      <c r="Q159" s="81"/>
      <c r="R159" s="81"/>
      <c r="S159" s="81"/>
      <c r="T159" s="81"/>
      <c r="U159" s="81"/>
      <c r="V159" s="81"/>
      <c r="W159" s="81"/>
      <c r="X159" s="81"/>
      <c r="Y159" s="435"/>
      <c r="Z159" s="435"/>
      <c r="AA159" s="435"/>
      <c r="AB159" s="435"/>
      <c r="AC159" s="435" t="s">
        <v>2755</v>
      </c>
      <c r="AD159" s="435"/>
      <c r="AE159" s="81"/>
      <c r="AF159" s="81"/>
      <c r="AG159" s="81"/>
      <c r="AH159" s="81"/>
      <c r="AI159" s="81"/>
    </row>
    <row r="160" spans="16:35">
      <c r="P160" s="81"/>
      <c r="Q160" s="81"/>
      <c r="R160" s="81"/>
      <c r="S160" s="81"/>
      <c r="T160" s="81"/>
      <c r="U160" s="81"/>
      <c r="V160" s="81"/>
      <c r="W160" s="81"/>
      <c r="X160" s="81"/>
      <c r="Y160" s="435"/>
      <c r="Z160" s="435"/>
      <c r="AA160" s="435"/>
      <c r="AB160" s="435"/>
      <c r="AC160" s="435" t="s">
        <v>2755</v>
      </c>
      <c r="AD160" s="435"/>
      <c r="AE160" s="81"/>
      <c r="AF160" s="81"/>
      <c r="AG160" s="81"/>
      <c r="AH160" s="81"/>
      <c r="AI160" s="81"/>
    </row>
    <row r="161" spans="16:35">
      <c r="P161" s="81"/>
      <c r="Q161" s="81"/>
      <c r="R161" s="81"/>
      <c r="S161" s="81"/>
      <c r="T161" s="81"/>
      <c r="U161" s="81"/>
      <c r="V161" s="81"/>
      <c r="W161" s="81"/>
      <c r="X161" s="81"/>
      <c r="Y161" s="435"/>
      <c r="Z161" s="435"/>
      <c r="AA161" s="435"/>
      <c r="AB161" s="435"/>
      <c r="AC161" s="435" t="s">
        <v>2755</v>
      </c>
      <c r="AD161" s="435"/>
      <c r="AE161" s="81"/>
      <c r="AF161" s="81"/>
      <c r="AG161" s="81"/>
      <c r="AH161" s="81"/>
      <c r="AI161" s="81"/>
    </row>
    <row r="162" spans="16:35">
      <c r="P162" s="81"/>
      <c r="Q162" s="81"/>
      <c r="R162" s="81"/>
      <c r="S162" s="81"/>
      <c r="T162" s="81"/>
      <c r="U162" s="81"/>
      <c r="V162" s="81"/>
      <c r="W162" s="81"/>
      <c r="X162" s="81"/>
      <c r="Y162" s="435"/>
      <c r="Z162" s="435"/>
      <c r="AA162" s="435"/>
      <c r="AB162" s="435"/>
      <c r="AC162" s="435" t="s">
        <v>2755</v>
      </c>
      <c r="AD162" s="435"/>
      <c r="AE162" s="81"/>
      <c r="AF162" s="81"/>
      <c r="AG162" s="81"/>
      <c r="AH162" s="81"/>
      <c r="AI162" s="81"/>
    </row>
    <row r="163" spans="16:35">
      <c r="P163" s="81"/>
      <c r="Q163" s="81"/>
      <c r="R163" s="81"/>
      <c r="S163" s="81"/>
      <c r="T163" s="81"/>
      <c r="U163" s="81"/>
      <c r="V163" s="81"/>
      <c r="W163" s="81"/>
      <c r="X163" s="81"/>
      <c r="Y163" s="435"/>
      <c r="Z163" s="435"/>
      <c r="AA163" s="435"/>
      <c r="AB163" s="435"/>
      <c r="AC163" s="435" t="s">
        <v>2755</v>
      </c>
      <c r="AD163" s="435"/>
      <c r="AE163" s="81"/>
      <c r="AF163" s="81"/>
      <c r="AG163" s="81"/>
      <c r="AH163" s="81"/>
      <c r="AI163" s="81"/>
    </row>
    <row r="164" spans="16:35">
      <c r="P164" s="81"/>
      <c r="Q164" s="81"/>
      <c r="R164" s="81"/>
      <c r="S164" s="81"/>
      <c r="T164" s="81"/>
      <c r="U164" s="81"/>
      <c r="V164" s="81"/>
      <c r="W164" s="81"/>
      <c r="X164" s="81"/>
      <c r="Y164" s="435"/>
      <c r="Z164" s="435"/>
      <c r="AA164" s="435"/>
      <c r="AB164" s="435"/>
      <c r="AC164" s="435" t="s">
        <v>2755</v>
      </c>
      <c r="AD164" s="435"/>
      <c r="AE164" s="81"/>
      <c r="AF164" s="81"/>
      <c r="AG164" s="81"/>
      <c r="AH164" s="81"/>
      <c r="AI164" s="81"/>
    </row>
    <row r="165" spans="16:35">
      <c r="P165" s="81"/>
      <c r="Q165" s="81"/>
      <c r="R165" s="81"/>
      <c r="S165" s="81"/>
      <c r="T165" s="81"/>
      <c r="U165" s="81"/>
      <c r="V165" s="81"/>
      <c r="W165" s="81"/>
      <c r="X165" s="81"/>
      <c r="Y165" s="435"/>
      <c r="Z165" s="435"/>
      <c r="AA165" s="435"/>
      <c r="AB165" s="435"/>
      <c r="AC165" s="435" t="s">
        <v>2755</v>
      </c>
      <c r="AD165" s="435"/>
      <c r="AE165" s="81"/>
      <c r="AF165" s="81"/>
      <c r="AG165" s="81"/>
      <c r="AH165" s="81"/>
      <c r="AI165" s="81"/>
    </row>
    <row r="166" spans="16:35">
      <c r="P166" s="81"/>
      <c r="Q166" s="81"/>
      <c r="R166" s="81"/>
      <c r="S166" s="81"/>
      <c r="T166" s="81"/>
      <c r="U166" s="81"/>
      <c r="V166" s="81"/>
      <c r="W166" s="81"/>
      <c r="X166" s="81"/>
      <c r="Y166" s="435"/>
      <c r="Z166" s="435"/>
      <c r="AA166" s="435"/>
      <c r="AB166" s="435"/>
      <c r="AC166" s="435" t="s">
        <v>2755</v>
      </c>
      <c r="AD166" s="435"/>
      <c r="AE166" s="81"/>
      <c r="AF166" s="81"/>
      <c r="AG166" s="81"/>
      <c r="AH166" s="81"/>
      <c r="AI166" s="81"/>
    </row>
    <row r="167" spans="16:35">
      <c r="P167" s="81"/>
      <c r="Q167" s="81"/>
      <c r="R167" s="81"/>
      <c r="S167" s="81"/>
      <c r="T167" s="81"/>
      <c r="U167" s="81"/>
      <c r="V167" s="81"/>
      <c r="W167" s="81"/>
      <c r="X167" s="81"/>
      <c r="Y167" s="435"/>
      <c r="Z167" s="435"/>
      <c r="AA167" s="435"/>
      <c r="AB167" s="435"/>
      <c r="AC167" s="435" t="s">
        <v>2755</v>
      </c>
      <c r="AD167" s="435"/>
      <c r="AE167" s="81"/>
      <c r="AF167" s="81"/>
      <c r="AG167" s="81"/>
      <c r="AH167" s="81"/>
      <c r="AI167" s="81"/>
    </row>
    <row r="168" spans="16:35">
      <c r="P168" s="81"/>
      <c r="Q168" s="81"/>
      <c r="R168" s="81"/>
      <c r="S168" s="81"/>
      <c r="T168" s="81"/>
      <c r="U168" s="81"/>
      <c r="V168" s="81"/>
      <c r="W168" s="81"/>
      <c r="X168" s="81"/>
      <c r="Y168" s="435"/>
      <c r="Z168" s="435"/>
      <c r="AA168" s="435"/>
      <c r="AB168" s="435"/>
      <c r="AC168" s="435" t="s">
        <v>2755</v>
      </c>
      <c r="AD168" s="435"/>
      <c r="AE168" s="81"/>
      <c r="AF168" s="81"/>
      <c r="AG168" s="81"/>
      <c r="AH168" s="81"/>
      <c r="AI168" s="81"/>
    </row>
    <row r="169" spans="16:35">
      <c r="P169" s="81"/>
      <c r="Q169" s="81"/>
      <c r="R169" s="81"/>
      <c r="S169" s="81"/>
      <c r="T169" s="81"/>
      <c r="U169" s="81"/>
      <c r="V169" s="81"/>
      <c r="W169" s="81"/>
      <c r="X169" s="81"/>
      <c r="Y169" s="435"/>
      <c r="Z169" s="435"/>
      <c r="AA169" s="435"/>
      <c r="AB169" s="435"/>
      <c r="AC169" s="435" t="s">
        <v>2755</v>
      </c>
      <c r="AD169" s="435"/>
      <c r="AE169" s="81"/>
      <c r="AF169" s="81"/>
      <c r="AG169" s="81"/>
      <c r="AH169" s="81"/>
      <c r="AI169" s="81"/>
    </row>
    <row r="170" spans="16:35">
      <c r="P170" s="81"/>
      <c r="Q170" s="81"/>
      <c r="R170" s="81"/>
      <c r="S170" s="81"/>
      <c r="T170" s="81"/>
      <c r="U170" s="81"/>
      <c r="V170" s="81"/>
      <c r="W170" s="81"/>
      <c r="X170" s="81"/>
      <c r="Y170" s="435"/>
      <c r="Z170" s="435"/>
      <c r="AA170" s="435"/>
      <c r="AB170" s="435"/>
      <c r="AC170" s="435" t="s">
        <v>2755</v>
      </c>
      <c r="AD170" s="435"/>
      <c r="AE170" s="81"/>
      <c r="AF170" s="81"/>
      <c r="AG170" s="81"/>
      <c r="AH170" s="81"/>
      <c r="AI170" s="81"/>
    </row>
    <row r="171" spans="16:35">
      <c r="P171" s="81"/>
      <c r="Q171" s="81"/>
      <c r="R171" s="81"/>
      <c r="S171" s="81"/>
      <c r="T171" s="81"/>
      <c r="U171" s="81"/>
      <c r="V171" s="81"/>
      <c r="W171" s="81"/>
      <c r="X171" s="81"/>
      <c r="Y171" s="435"/>
      <c r="Z171" s="435"/>
      <c r="AA171" s="435"/>
      <c r="AB171" s="435"/>
      <c r="AC171" s="435" t="s">
        <v>2755</v>
      </c>
      <c r="AD171" s="435"/>
      <c r="AE171" s="81"/>
      <c r="AF171" s="81"/>
      <c r="AG171" s="81"/>
      <c r="AH171" s="81"/>
      <c r="AI171" s="81"/>
    </row>
    <row r="172" spans="16:35">
      <c r="P172" s="81"/>
      <c r="Q172" s="81"/>
      <c r="R172" s="81"/>
      <c r="S172" s="81"/>
      <c r="T172" s="81"/>
      <c r="U172" s="81"/>
      <c r="V172" s="81"/>
      <c r="W172" s="81"/>
      <c r="X172" s="81"/>
      <c r="Y172" s="435"/>
      <c r="Z172" s="435"/>
      <c r="AA172" s="435"/>
      <c r="AB172" s="435"/>
      <c r="AC172" s="435" t="s">
        <v>2755</v>
      </c>
      <c r="AD172" s="435"/>
      <c r="AE172" s="81"/>
      <c r="AF172" s="81"/>
      <c r="AG172" s="81"/>
      <c r="AH172" s="81"/>
      <c r="AI172" s="81"/>
    </row>
    <row r="173" spans="16:35">
      <c r="P173" s="81"/>
      <c r="Q173" s="81"/>
      <c r="R173" s="81"/>
      <c r="S173" s="81"/>
      <c r="T173" s="81"/>
      <c r="U173" s="81"/>
      <c r="V173" s="81"/>
      <c r="W173" s="81"/>
      <c r="X173" s="81"/>
      <c r="Y173" s="435"/>
      <c r="Z173" s="435"/>
      <c r="AA173" s="435"/>
      <c r="AB173" s="435"/>
      <c r="AC173" s="435" t="s">
        <v>2755</v>
      </c>
      <c r="AD173" s="435"/>
      <c r="AE173" s="81"/>
      <c r="AF173" s="81"/>
      <c r="AG173" s="81"/>
      <c r="AH173" s="81"/>
      <c r="AI173" s="81"/>
    </row>
    <row r="174" spans="16:35">
      <c r="P174" s="81"/>
      <c r="Q174" s="81"/>
      <c r="R174" s="81"/>
      <c r="S174" s="81"/>
      <c r="T174" s="81"/>
      <c r="U174" s="81"/>
      <c r="V174" s="81"/>
      <c r="W174" s="81"/>
      <c r="X174" s="81"/>
      <c r="Y174" s="435"/>
      <c r="Z174" s="435"/>
      <c r="AA174" s="435"/>
      <c r="AB174" s="435"/>
      <c r="AC174" s="435" t="s">
        <v>2755</v>
      </c>
      <c r="AD174" s="435"/>
      <c r="AE174" s="81"/>
      <c r="AF174" s="81"/>
      <c r="AG174" s="81"/>
      <c r="AH174" s="81"/>
      <c r="AI174" s="81"/>
    </row>
    <row r="175" spans="16:35">
      <c r="P175" s="81"/>
      <c r="Q175" s="81"/>
      <c r="R175" s="81"/>
      <c r="S175" s="81"/>
      <c r="T175" s="81"/>
      <c r="U175" s="81"/>
      <c r="V175" s="81"/>
      <c r="W175" s="81"/>
      <c r="X175" s="81"/>
      <c r="Y175" s="435"/>
      <c r="Z175" s="435"/>
      <c r="AA175" s="435"/>
      <c r="AB175" s="435"/>
      <c r="AC175" s="435" t="s">
        <v>2755</v>
      </c>
      <c r="AD175" s="435"/>
      <c r="AE175" s="81"/>
      <c r="AF175" s="81"/>
      <c r="AG175" s="81"/>
      <c r="AH175" s="81"/>
      <c r="AI175" s="81"/>
    </row>
    <row r="176" spans="16:35">
      <c r="P176" s="81"/>
      <c r="Q176" s="81"/>
      <c r="R176" s="81"/>
      <c r="S176" s="81"/>
      <c r="T176" s="81"/>
      <c r="U176" s="81"/>
      <c r="V176" s="81"/>
      <c r="W176" s="81"/>
      <c r="X176" s="81"/>
      <c r="Y176" s="435"/>
      <c r="Z176" s="435"/>
      <c r="AA176" s="435"/>
      <c r="AB176" s="435"/>
      <c r="AC176" s="435" t="s">
        <v>2755</v>
      </c>
      <c r="AD176" s="435"/>
      <c r="AE176" s="81"/>
      <c r="AF176" s="81"/>
      <c r="AG176" s="81"/>
      <c r="AH176" s="81"/>
      <c r="AI176" s="81"/>
    </row>
    <row r="177" spans="16:35">
      <c r="P177" s="81"/>
      <c r="Q177" s="81"/>
      <c r="R177" s="81"/>
      <c r="S177" s="81"/>
      <c r="T177" s="81"/>
      <c r="U177" s="81"/>
      <c r="V177" s="81"/>
      <c r="W177" s="81"/>
      <c r="X177" s="81"/>
      <c r="Y177" s="435"/>
      <c r="Z177" s="435"/>
      <c r="AA177" s="435"/>
      <c r="AB177" s="435"/>
      <c r="AC177" s="435" t="s">
        <v>2755</v>
      </c>
      <c r="AD177" s="435"/>
      <c r="AE177" s="81"/>
      <c r="AF177" s="81"/>
      <c r="AG177" s="81"/>
      <c r="AH177" s="81"/>
      <c r="AI177" s="81"/>
    </row>
    <row r="178" spans="16:35">
      <c r="P178" s="81"/>
      <c r="Q178" s="81"/>
      <c r="R178" s="81"/>
      <c r="S178" s="81"/>
      <c r="T178" s="81"/>
      <c r="U178" s="81"/>
      <c r="V178" s="81"/>
      <c r="W178" s="81"/>
      <c r="X178" s="81"/>
      <c r="Y178" s="435"/>
      <c r="Z178" s="435"/>
      <c r="AA178" s="435"/>
      <c r="AB178" s="435"/>
      <c r="AC178" s="435" t="s">
        <v>2755</v>
      </c>
      <c r="AD178" s="435"/>
      <c r="AE178" s="81"/>
      <c r="AF178" s="81"/>
      <c r="AG178" s="81"/>
      <c r="AH178" s="81"/>
      <c r="AI178" s="81"/>
    </row>
    <row r="179" spans="16:35">
      <c r="P179" s="81"/>
      <c r="Q179" s="81"/>
      <c r="R179" s="81"/>
      <c r="S179" s="81"/>
      <c r="T179" s="81"/>
      <c r="U179" s="81"/>
      <c r="V179" s="81"/>
      <c r="W179" s="81"/>
      <c r="X179" s="81"/>
      <c r="Y179" s="435"/>
      <c r="Z179" s="435"/>
      <c r="AA179" s="435"/>
      <c r="AB179" s="435"/>
      <c r="AC179" s="435" t="s">
        <v>2755</v>
      </c>
      <c r="AD179" s="435"/>
      <c r="AE179" s="81"/>
      <c r="AF179" s="81"/>
      <c r="AG179" s="81"/>
      <c r="AH179" s="81"/>
      <c r="AI179" s="81"/>
    </row>
    <row r="180" spans="16:35">
      <c r="P180" s="81"/>
      <c r="Q180" s="81"/>
      <c r="R180" s="81"/>
      <c r="S180" s="81"/>
      <c r="T180" s="81"/>
      <c r="U180" s="81"/>
      <c r="V180" s="81"/>
      <c r="W180" s="81"/>
      <c r="X180" s="81"/>
      <c r="Y180" s="435"/>
      <c r="Z180" s="435"/>
      <c r="AA180" s="435"/>
      <c r="AB180" s="435"/>
      <c r="AC180" s="435" t="s">
        <v>2755</v>
      </c>
      <c r="AD180" s="435"/>
      <c r="AE180" s="81"/>
      <c r="AF180" s="81"/>
      <c r="AG180" s="81"/>
      <c r="AH180" s="81"/>
      <c r="AI180" s="81"/>
    </row>
    <row r="181" spans="16:35">
      <c r="P181" s="81"/>
      <c r="Q181" s="81"/>
      <c r="R181" s="81"/>
      <c r="S181" s="81"/>
      <c r="T181" s="81"/>
      <c r="U181" s="81"/>
      <c r="V181" s="81"/>
      <c r="W181" s="81"/>
      <c r="X181" s="81"/>
      <c r="Y181" s="435"/>
      <c r="Z181" s="435"/>
      <c r="AA181" s="435"/>
      <c r="AB181" s="435"/>
      <c r="AC181" s="435" t="s">
        <v>2755</v>
      </c>
      <c r="AD181" s="435"/>
      <c r="AE181" s="81"/>
      <c r="AF181" s="81"/>
      <c r="AG181" s="81"/>
      <c r="AH181" s="81"/>
      <c r="AI181" s="81"/>
    </row>
    <row r="182" spans="16:35">
      <c r="P182" s="81"/>
      <c r="Q182" s="81"/>
      <c r="R182" s="81"/>
      <c r="S182" s="81"/>
      <c r="T182" s="81"/>
      <c r="U182" s="81"/>
      <c r="V182" s="81"/>
      <c r="W182" s="81"/>
      <c r="X182" s="81"/>
      <c r="Y182" s="435"/>
      <c r="Z182" s="435"/>
      <c r="AA182" s="435"/>
      <c r="AB182" s="435"/>
      <c r="AC182" s="435" t="s">
        <v>2755</v>
      </c>
      <c r="AD182" s="435"/>
      <c r="AE182" s="81"/>
      <c r="AF182" s="81"/>
      <c r="AG182" s="81"/>
      <c r="AH182" s="81"/>
      <c r="AI182" s="81"/>
    </row>
    <row r="183" spans="16:35">
      <c r="P183" s="81"/>
      <c r="Q183" s="81"/>
      <c r="R183" s="81"/>
      <c r="S183" s="81"/>
      <c r="T183" s="81"/>
      <c r="U183" s="81"/>
      <c r="V183" s="81"/>
      <c r="W183" s="81"/>
      <c r="X183" s="81"/>
      <c r="Y183" s="435"/>
      <c r="Z183" s="435"/>
      <c r="AA183" s="435"/>
      <c r="AB183" s="435"/>
      <c r="AC183" s="435" t="s">
        <v>2755</v>
      </c>
      <c r="AD183" s="435"/>
      <c r="AE183" s="81"/>
      <c r="AF183" s="81"/>
      <c r="AG183" s="81"/>
      <c r="AH183" s="81"/>
      <c r="AI183" s="81"/>
    </row>
    <row r="184" spans="16:35">
      <c r="P184" s="81"/>
      <c r="Q184" s="81"/>
      <c r="R184" s="81"/>
      <c r="S184" s="81"/>
      <c r="T184" s="81"/>
      <c r="U184" s="81"/>
      <c r="V184" s="81"/>
      <c r="W184" s="81"/>
      <c r="X184" s="81"/>
      <c r="Y184" s="435"/>
      <c r="Z184" s="435"/>
      <c r="AA184" s="435"/>
      <c r="AB184" s="435"/>
      <c r="AC184" s="435" t="s">
        <v>2755</v>
      </c>
      <c r="AD184" s="435"/>
      <c r="AE184" s="81"/>
      <c r="AF184" s="81"/>
      <c r="AG184" s="81"/>
      <c r="AH184" s="81"/>
      <c r="AI184" s="81"/>
    </row>
    <row r="185" spans="16:35">
      <c r="P185" s="81"/>
      <c r="Q185" s="81"/>
      <c r="R185" s="81"/>
      <c r="S185" s="81"/>
      <c r="T185" s="81"/>
      <c r="U185" s="81"/>
      <c r="V185" s="81"/>
      <c r="W185" s="81"/>
      <c r="X185" s="81"/>
      <c r="Y185" s="435"/>
      <c r="Z185" s="435"/>
      <c r="AA185" s="435"/>
      <c r="AB185" s="435"/>
      <c r="AC185" s="435" t="s">
        <v>2755</v>
      </c>
      <c r="AD185" s="435"/>
      <c r="AE185" s="81"/>
      <c r="AF185" s="81"/>
      <c r="AG185" s="81"/>
      <c r="AH185" s="81"/>
      <c r="AI185" s="81"/>
    </row>
    <row r="186" spans="16:35">
      <c r="P186" s="81"/>
      <c r="Q186" s="81"/>
      <c r="R186" s="81"/>
      <c r="S186" s="81"/>
      <c r="T186" s="81"/>
      <c r="U186" s="81"/>
      <c r="V186" s="81"/>
      <c r="W186" s="81"/>
      <c r="X186" s="81"/>
      <c r="Y186" s="435"/>
      <c r="Z186" s="435"/>
      <c r="AA186" s="435"/>
      <c r="AB186" s="435"/>
      <c r="AC186" s="435" t="s">
        <v>2755</v>
      </c>
      <c r="AD186" s="435"/>
      <c r="AE186" s="81"/>
      <c r="AF186" s="81"/>
      <c r="AG186" s="81"/>
      <c r="AH186" s="81"/>
      <c r="AI186" s="81"/>
    </row>
    <row r="187" spans="16:35">
      <c r="P187" s="81"/>
      <c r="Q187" s="81"/>
      <c r="R187" s="81"/>
      <c r="S187" s="81"/>
      <c r="T187" s="81"/>
      <c r="U187" s="81"/>
      <c r="V187" s="81"/>
      <c r="W187" s="81"/>
      <c r="X187" s="81"/>
      <c r="Y187" s="435"/>
      <c r="Z187" s="435"/>
      <c r="AA187" s="435"/>
      <c r="AB187" s="435"/>
      <c r="AC187" s="435" t="s">
        <v>2755</v>
      </c>
      <c r="AD187" s="435"/>
      <c r="AE187" s="81"/>
      <c r="AF187" s="81"/>
      <c r="AG187" s="81"/>
      <c r="AH187" s="81"/>
      <c r="AI187" s="81"/>
    </row>
    <row r="188" spans="16:35">
      <c r="P188" s="81"/>
      <c r="Q188" s="81"/>
      <c r="R188" s="81"/>
      <c r="S188" s="81"/>
      <c r="T188" s="81"/>
      <c r="U188" s="81"/>
      <c r="V188" s="81"/>
      <c r="W188" s="81"/>
      <c r="X188" s="81"/>
      <c r="Y188" s="435"/>
      <c r="Z188" s="435"/>
      <c r="AA188" s="435"/>
      <c r="AB188" s="435"/>
      <c r="AC188" s="435" t="s">
        <v>2755</v>
      </c>
      <c r="AD188" s="435"/>
      <c r="AE188" s="81"/>
      <c r="AF188" s="81"/>
      <c r="AG188" s="81"/>
      <c r="AH188" s="81"/>
      <c r="AI188" s="81"/>
    </row>
    <row r="189" spans="16:35">
      <c r="P189" s="81"/>
      <c r="Q189" s="81"/>
      <c r="R189" s="81"/>
      <c r="S189" s="81"/>
      <c r="T189" s="81"/>
      <c r="U189" s="81"/>
      <c r="V189" s="81"/>
      <c r="W189" s="81"/>
      <c r="X189" s="81"/>
      <c r="Y189" s="435"/>
      <c r="Z189" s="435"/>
      <c r="AA189" s="435"/>
      <c r="AB189" s="435"/>
      <c r="AC189" s="435" t="s">
        <v>2755</v>
      </c>
      <c r="AD189" s="435"/>
      <c r="AE189" s="81"/>
      <c r="AF189" s="81"/>
      <c r="AG189" s="81"/>
      <c r="AH189" s="81"/>
      <c r="AI189" s="81"/>
    </row>
    <row r="190" spans="16:35">
      <c r="P190" s="81"/>
      <c r="Q190" s="81"/>
      <c r="R190" s="81"/>
      <c r="S190" s="81"/>
      <c r="T190" s="81"/>
      <c r="U190" s="81"/>
      <c r="V190" s="81"/>
      <c r="W190" s="81"/>
      <c r="X190" s="81"/>
      <c r="Y190" s="435"/>
      <c r="Z190" s="435"/>
      <c r="AA190" s="435"/>
      <c r="AB190" s="435"/>
      <c r="AC190" s="435" t="s">
        <v>2755</v>
      </c>
      <c r="AD190" s="435"/>
      <c r="AE190" s="81"/>
      <c r="AF190" s="81"/>
      <c r="AG190" s="81"/>
      <c r="AH190" s="81"/>
      <c r="AI190" s="81"/>
    </row>
    <row r="191" spans="16:35">
      <c r="P191" s="81"/>
      <c r="Q191" s="81"/>
      <c r="R191" s="81"/>
      <c r="S191" s="81"/>
      <c r="T191" s="81"/>
      <c r="U191" s="81"/>
      <c r="V191" s="81"/>
      <c r="W191" s="81"/>
      <c r="X191" s="81"/>
      <c r="Y191" s="435"/>
      <c r="Z191" s="435"/>
      <c r="AA191" s="435"/>
      <c r="AB191" s="435"/>
      <c r="AC191" s="435" t="s">
        <v>2755</v>
      </c>
      <c r="AD191" s="435"/>
      <c r="AE191" s="81"/>
      <c r="AF191" s="81"/>
      <c r="AG191" s="81"/>
      <c r="AH191" s="81"/>
      <c r="AI191" s="81"/>
    </row>
    <row r="192" spans="16:35">
      <c r="P192" s="81"/>
      <c r="Q192" s="81"/>
      <c r="R192" s="81"/>
      <c r="S192" s="81"/>
      <c r="T192" s="81"/>
      <c r="U192" s="81"/>
      <c r="V192" s="81"/>
      <c r="W192" s="81"/>
      <c r="X192" s="81"/>
      <c r="Y192" s="435"/>
      <c r="Z192" s="435"/>
      <c r="AA192" s="435"/>
      <c r="AB192" s="435"/>
      <c r="AC192" s="435" t="s">
        <v>2755</v>
      </c>
      <c r="AD192" s="435"/>
      <c r="AE192" s="81"/>
      <c r="AF192" s="81"/>
      <c r="AG192" s="81"/>
      <c r="AH192" s="81"/>
      <c r="AI192" s="81"/>
    </row>
    <row r="193" spans="16:35">
      <c r="P193" s="81"/>
      <c r="Q193" s="81"/>
      <c r="R193" s="81"/>
      <c r="S193" s="81"/>
      <c r="T193" s="81"/>
      <c r="U193" s="81"/>
      <c r="V193" s="81"/>
      <c r="W193" s="81"/>
      <c r="X193" s="81"/>
      <c r="Y193" s="435"/>
      <c r="Z193" s="435"/>
      <c r="AA193" s="435"/>
      <c r="AB193" s="435"/>
      <c r="AC193" s="435" t="s">
        <v>2755</v>
      </c>
      <c r="AD193" s="435"/>
      <c r="AE193" s="81"/>
      <c r="AF193" s="81"/>
      <c r="AG193" s="81"/>
      <c r="AH193" s="81"/>
      <c r="AI193" s="81"/>
    </row>
    <row r="194" spans="16:35">
      <c r="P194" s="81"/>
      <c r="Q194" s="81"/>
      <c r="R194" s="81"/>
      <c r="S194" s="81"/>
      <c r="T194" s="81"/>
      <c r="U194" s="81"/>
      <c r="V194" s="81"/>
      <c r="W194" s="81"/>
      <c r="X194" s="81"/>
      <c r="Y194" s="435"/>
      <c r="Z194" s="435"/>
      <c r="AA194" s="435"/>
      <c r="AB194" s="435"/>
      <c r="AC194" s="435" t="s">
        <v>2755</v>
      </c>
      <c r="AD194" s="435"/>
      <c r="AE194" s="81"/>
      <c r="AF194" s="81"/>
      <c r="AG194" s="81"/>
      <c r="AH194" s="81"/>
      <c r="AI194" s="81"/>
    </row>
    <row r="195" spans="16:35">
      <c r="P195" s="81"/>
      <c r="Q195" s="81"/>
      <c r="R195" s="81"/>
      <c r="S195" s="81"/>
      <c r="T195" s="81"/>
      <c r="U195" s="81"/>
      <c r="V195" s="81"/>
      <c r="W195" s="81"/>
      <c r="X195" s="81"/>
      <c r="Y195" s="435"/>
      <c r="Z195" s="435"/>
      <c r="AA195" s="435"/>
      <c r="AB195" s="435"/>
      <c r="AC195" s="435" t="s">
        <v>2755</v>
      </c>
      <c r="AD195" s="435"/>
      <c r="AE195" s="81"/>
      <c r="AF195" s="81"/>
      <c r="AG195" s="81"/>
      <c r="AH195" s="81"/>
      <c r="AI195" s="81"/>
    </row>
    <row r="196" spans="16:35">
      <c r="P196" s="81"/>
      <c r="Q196" s="81"/>
      <c r="R196" s="81"/>
      <c r="S196" s="81"/>
      <c r="T196" s="81"/>
      <c r="U196" s="81"/>
      <c r="V196" s="81"/>
      <c r="W196" s="81"/>
      <c r="X196" s="81"/>
      <c r="Y196" s="435"/>
      <c r="Z196" s="435"/>
      <c r="AA196" s="435"/>
      <c r="AB196" s="435"/>
      <c r="AC196" s="435" t="s">
        <v>2755</v>
      </c>
      <c r="AD196" s="435"/>
      <c r="AE196" s="81"/>
      <c r="AF196" s="81"/>
      <c r="AG196" s="81"/>
      <c r="AH196" s="81"/>
      <c r="AI196" s="81"/>
    </row>
    <row r="197" spans="16:35">
      <c r="P197" s="81"/>
      <c r="Q197" s="81"/>
      <c r="R197" s="81"/>
      <c r="S197" s="81"/>
      <c r="T197" s="81"/>
      <c r="U197" s="81"/>
      <c r="V197" s="81"/>
      <c r="W197" s="81"/>
      <c r="X197" s="81"/>
      <c r="Y197" s="435"/>
      <c r="Z197" s="435"/>
      <c r="AA197" s="435"/>
      <c r="AB197" s="435"/>
      <c r="AC197" s="435" t="s">
        <v>2755</v>
      </c>
      <c r="AD197" s="435"/>
      <c r="AE197" s="81"/>
      <c r="AF197" s="81"/>
      <c r="AG197" s="81"/>
      <c r="AH197" s="81"/>
      <c r="AI197" s="81"/>
    </row>
    <row r="198" spans="16:35">
      <c r="P198" s="81"/>
      <c r="Q198" s="81"/>
      <c r="R198" s="81"/>
      <c r="S198" s="81"/>
      <c r="T198" s="81"/>
      <c r="U198" s="81"/>
      <c r="V198" s="81"/>
      <c r="W198" s="81"/>
      <c r="X198" s="81"/>
      <c r="Y198" s="435"/>
      <c r="Z198" s="435"/>
      <c r="AA198" s="435"/>
      <c r="AB198" s="435"/>
      <c r="AC198" s="435" t="s">
        <v>2755</v>
      </c>
      <c r="AD198" s="435"/>
      <c r="AE198" s="81"/>
      <c r="AF198" s="81"/>
      <c r="AG198" s="81"/>
      <c r="AH198" s="81"/>
      <c r="AI198" s="81"/>
    </row>
    <row r="199" spans="16:35">
      <c r="P199" s="81"/>
      <c r="Q199" s="81"/>
      <c r="R199" s="81"/>
      <c r="S199" s="81"/>
      <c r="T199" s="81"/>
      <c r="U199" s="81"/>
      <c r="V199" s="81"/>
      <c r="W199" s="81"/>
      <c r="X199" s="81"/>
      <c r="Y199" s="435"/>
      <c r="Z199" s="435"/>
      <c r="AA199" s="435"/>
      <c r="AB199" s="435"/>
      <c r="AC199" s="435" t="s">
        <v>2755</v>
      </c>
      <c r="AD199" s="435"/>
      <c r="AE199" s="81"/>
      <c r="AF199" s="81"/>
      <c r="AG199" s="81"/>
      <c r="AH199" s="81"/>
      <c r="AI199" s="81"/>
    </row>
    <row r="200" spans="16:35">
      <c r="P200" s="81"/>
      <c r="Q200" s="81"/>
      <c r="R200" s="81"/>
      <c r="S200" s="81"/>
      <c r="T200" s="81"/>
      <c r="U200" s="81"/>
      <c r="V200" s="81"/>
      <c r="W200" s="81"/>
      <c r="X200" s="81"/>
      <c r="Y200" s="435"/>
      <c r="Z200" s="435"/>
      <c r="AA200" s="435"/>
      <c r="AB200" s="435"/>
      <c r="AC200" s="435" t="s">
        <v>2755</v>
      </c>
      <c r="AD200" s="435"/>
      <c r="AE200" s="81"/>
      <c r="AF200" s="81"/>
      <c r="AG200" s="81"/>
      <c r="AH200" s="81"/>
      <c r="AI200" s="81"/>
    </row>
    <row r="201" spans="16:35">
      <c r="P201" s="81"/>
      <c r="Q201" s="81"/>
      <c r="R201" s="81"/>
      <c r="S201" s="81"/>
      <c r="T201" s="81"/>
      <c r="U201" s="81"/>
      <c r="V201" s="81"/>
      <c r="W201" s="81"/>
      <c r="X201" s="81"/>
      <c r="Y201" s="435"/>
      <c r="Z201" s="435"/>
      <c r="AA201" s="435"/>
      <c r="AB201" s="435"/>
      <c r="AC201" s="435" t="s">
        <v>2755</v>
      </c>
      <c r="AD201" s="435"/>
      <c r="AE201" s="81"/>
      <c r="AF201" s="81"/>
      <c r="AG201" s="81"/>
      <c r="AH201" s="81"/>
      <c r="AI201" s="81"/>
    </row>
    <row r="202" spans="16:35">
      <c r="P202" s="81"/>
      <c r="Q202" s="81"/>
      <c r="R202" s="81"/>
      <c r="S202" s="81"/>
      <c r="T202" s="81"/>
      <c r="U202" s="81"/>
      <c r="V202" s="81"/>
      <c r="W202" s="81"/>
      <c r="X202" s="81"/>
      <c r="Y202" s="435"/>
      <c r="Z202" s="435"/>
      <c r="AA202" s="435"/>
      <c r="AB202" s="435"/>
      <c r="AC202" s="435" t="s">
        <v>2755</v>
      </c>
      <c r="AD202" s="435"/>
      <c r="AE202" s="81"/>
      <c r="AF202" s="81"/>
      <c r="AG202" s="81"/>
      <c r="AH202" s="81"/>
      <c r="AI202" s="81"/>
    </row>
    <row r="203" spans="16:35">
      <c r="P203" s="81"/>
      <c r="Q203" s="81"/>
      <c r="R203" s="81"/>
      <c r="S203" s="81"/>
      <c r="T203" s="81"/>
      <c r="U203" s="81"/>
      <c r="V203" s="81"/>
      <c r="W203" s="81"/>
      <c r="X203" s="81"/>
      <c r="Y203" s="435"/>
      <c r="Z203" s="435"/>
      <c r="AA203" s="435"/>
      <c r="AB203" s="435"/>
      <c r="AC203" s="435" t="s">
        <v>2755</v>
      </c>
      <c r="AD203" s="435"/>
      <c r="AE203" s="81"/>
      <c r="AF203" s="81"/>
      <c r="AG203" s="81"/>
      <c r="AH203" s="81"/>
      <c r="AI203" s="81"/>
    </row>
    <row r="204" spans="16:35">
      <c r="P204" s="81"/>
      <c r="Q204" s="81"/>
      <c r="R204" s="81"/>
      <c r="S204" s="81"/>
      <c r="T204" s="81"/>
      <c r="U204" s="81"/>
      <c r="V204" s="81"/>
      <c r="W204" s="81"/>
      <c r="X204" s="81"/>
      <c r="Y204" s="435"/>
      <c r="Z204" s="435"/>
      <c r="AA204" s="435"/>
      <c r="AB204" s="435"/>
      <c r="AC204" s="435" t="s">
        <v>2755</v>
      </c>
      <c r="AD204" s="435"/>
      <c r="AE204" s="81"/>
      <c r="AF204" s="81"/>
      <c r="AG204" s="81"/>
      <c r="AH204" s="81"/>
      <c r="AI204" s="81"/>
    </row>
    <row r="205" spans="16:35">
      <c r="P205" s="81"/>
      <c r="Q205" s="81"/>
      <c r="R205" s="81"/>
      <c r="S205" s="81"/>
      <c r="T205" s="81"/>
      <c r="U205" s="81"/>
      <c r="V205" s="81"/>
      <c r="W205" s="81"/>
      <c r="X205" s="81"/>
      <c r="Y205" s="435"/>
      <c r="Z205" s="435"/>
      <c r="AA205" s="435"/>
      <c r="AB205" s="435"/>
      <c r="AC205" s="435" t="s">
        <v>2755</v>
      </c>
      <c r="AD205" s="435"/>
      <c r="AE205" s="81"/>
      <c r="AF205" s="81"/>
      <c r="AG205" s="81"/>
      <c r="AH205" s="81"/>
      <c r="AI205" s="81"/>
    </row>
    <row r="206" spans="16:35">
      <c r="P206" s="81"/>
      <c r="Q206" s="81"/>
      <c r="R206" s="81"/>
      <c r="S206" s="81"/>
      <c r="T206" s="81"/>
      <c r="U206" s="81"/>
      <c r="V206" s="81"/>
      <c r="W206" s="81"/>
      <c r="X206" s="81"/>
      <c r="Y206" s="435"/>
      <c r="Z206" s="435"/>
      <c r="AA206" s="435"/>
      <c r="AB206" s="435"/>
      <c r="AC206" s="435" t="s">
        <v>2755</v>
      </c>
      <c r="AD206" s="435"/>
      <c r="AE206" s="81"/>
      <c r="AF206" s="81"/>
      <c r="AG206" s="81"/>
      <c r="AH206" s="81"/>
      <c r="AI206" s="81"/>
    </row>
    <row r="207" spans="16:35">
      <c r="P207" s="81"/>
      <c r="Q207" s="81"/>
      <c r="R207" s="81"/>
      <c r="S207" s="81"/>
      <c r="T207" s="81"/>
      <c r="U207" s="81"/>
      <c r="V207" s="81"/>
      <c r="W207" s="81"/>
      <c r="X207" s="81"/>
      <c r="Y207" s="435"/>
      <c r="Z207" s="435"/>
      <c r="AA207" s="435"/>
      <c r="AB207" s="435"/>
      <c r="AC207" s="435" t="s">
        <v>2755</v>
      </c>
      <c r="AD207" s="435"/>
      <c r="AE207" s="81"/>
      <c r="AF207" s="81"/>
      <c r="AG207" s="81"/>
      <c r="AH207" s="81"/>
      <c r="AI207" s="81"/>
    </row>
    <row r="208" spans="16:35">
      <c r="P208" s="81"/>
      <c r="Q208" s="81"/>
      <c r="R208" s="81"/>
      <c r="S208" s="81"/>
      <c r="T208" s="81"/>
      <c r="U208" s="81"/>
      <c r="V208" s="81"/>
      <c r="W208" s="81"/>
      <c r="X208" s="81"/>
      <c r="Y208" s="435"/>
      <c r="Z208" s="435"/>
      <c r="AA208" s="435"/>
      <c r="AB208" s="435"/>
      <c r="AC208" s="435" t="s">
        <v>2755</v>
      </c>
      <c r="AD208" s="435"/>
      <c r="AE208" s="81"/>
      <c r="AF208" s="81"/>
      <c r="AG208" s="81"/>
      <c r="AH208" s="81"/>
      <c r="AI208" s="81"/>
    </row>
    <row r="209" spans="16:35">
      <c r="P209" s="81"/>
      <c r="Q209" s="81"/>
      <c r="R209" s="81"/>
      <c r="S209" s="81"/>
      <c r="T209" s="81"/>
      <c r="U209" s="81"/>
      <c r="V209" s="81"/>
      <c r="W209" s="81"/>
      <c r="X209" s="81"/>
      <c r="Y209" s="435"/>
      <c r="Z209" s="435"/>
      <c r="AA209" s="435"/>
      <c r="AB209" s="435"/>
      <c r="AC209" s="435" t="s">
        <v>2755</v>
      </c>
      <c r="AD209" s="435"/>
      <c r="AE209" s="81"/>
      <c r="AF209" s="81"/>
      <c r="AG209" s="81"/>
      <c r="AH209" s="81"/>
      <c r="AI209" s="81"/>
    </row>
    <row r="210" spans="16:35">
      <c r="P210" s="81"/>
      <c r="Q210" s="81"/>
      <c r="R210" s="81"/>
      <c r="S210" s="81"/>
      <c r="T210" s="81"/>
      <c r="U210" s="81"/>
      <c r="V210" s="81"/>
      <c r="W210" s="81"/>
      <c r="X210" s="81"/>
      <c r="Y210" s="435"/>
      <c r="Z210" s="435"/>
      <c r="AA210" s="435"/>
      <c r="AB210" s="435"/>
      <c r="AC210" s="435" t="s">
        <v>2755</v>
      </c>
      <c r="AD210" s="435"/>
      <c r="AE210" s="81"/>
      <c r="AF210" s="81"/>
      <c r="AG210" s="81"/>
      <c r="AH210" s="81"/>
      <c r="AI210" s="81"/>
    </row>
    <row r="211" spans="16:35">
      <c r="P211" s="81"/>
      <c r="Q211" s="81"/>
      <c r="R211" s="81"/>
      <c r="S211" s="81"/>
      <c r="T211" s="81"/>
      <c r="U211" s="81"/>
      <c r="V211" s="81"/>
      <c r="W211" s="81"/>
      <c r="X211" s="81"/>
      <c r="Y211" s="435"/>
      <c r="Z211" s="435"/>
      <c r="AA211" s="435"/>
      <c r="AB211" s="435"/>
      <c r="AC211" s="435" t="s">
        <v>2755</v>
      </c>
      <c r="AD211" s="435"/>
      <c r="AE211" s="81"/>
      <c r="AF211" s="81"/>
      <c r="AG211" s="81"/>
      <c r="AH211" s="81"/>
      <c r="AI211" s="81"/>
    </row>
    <row r="212" spans="16:35">
      <c r="P212" s="81"/>
      <c r="Q212" s="81"/>
      <c r="R212" s="81"/>
      <c r="S212" s="81"/>
      <c r="T212" s="81"/>
      <c r="U212" s="81"/>
      <c r="V212" s="81"/>
      <c r="W212" s="81"/>
      <c r="X212" s="81"/>
      <c r="Y212" s="435"/>
      <c r="Z212" s="435"/>
      <c r="AA212" s="435"/>
      <c r="AB212" s="435"/>
      <c r="AC212" s="435" t="s">
        <v>2755</v>
      </c>
      <c r="AD212" s="435"/>
      <c r="AE212" s="81"/>
      <c r="AF212" s="81"/>
      <c r="AG212" s="81"/>
      <c r="AH212" s="81"/>
      <c r="AI212" s="81"/>
    </row>
    <row r="213" spans="16:35">
      <c r="P213" s="81"/>
      <c r="Q213" s="81"/>
      <c r="R213" s="81"/>
      <c r="S213" s="81"/>
      <c r="T213" s="81"/>
      <c r="U213" s="81"/>
      <c r="V213" s="81"/>
      <c r="W213" s="81"/>
      <c r="X213" s="81"/>
      <c r="Y213" s="435"/>
      <c r="Z213" s="435"/>
      <c r="AA213" s="435"/>
      <c r="AB213" s="435"/>
      <c r="AC213" s="435" t="s">
        <v>2755</v>
      </c>
      <c r="AD213" s="435"/>
      <c r="AE213" s="81"/>
      <c r="AF213" s="81"/>
      <c r="AG213" s="81"/>
      <c r="AH213" s="81"/>
      <c r="AI213" s="81"/>
    </row>
    <row r="214" spans="16:35">
      <c r="P214" s="81"/>
      <c r="Q214" s="81"/>
      <c r="R214" s="81"/>
      <c r="S214" s="81"/>
      <c r="T214" s="81"/>
      <c r="U214" s="81"/>
      <c r="V214" s="81"/>
      <c r="W214" s="81"/>
      <c r="X214" s="81"/>
      <c r="Y214" s="435"/>
      <c r="Z214" s="435"/>
      <c r="AA214" s="435"/>
      <c r="AB214" s="435"/>
      <c r="AC214" s="435" t="s">
        <v>2755</v>
      </c>
      <c r="AD214" s="435"/>
      <c r="AE214" s="81"/>
      <c r="AF214" s="81"/>
      <c r="AG214" s="81"/>
      <c r="AH214" s="81"/>
      <c r="AI214" s="81"/>
    </row>
    <row r="215" spans="16:35">
      <c r="P215" s="81"/>
      <c r="Q215" s="81"/>
      <c r="R215" s="81"/>
      <c r="S215" s="81"/>
      <c r="T215" s="81"/>
      <c r="U215" s="81"/>
      <c r="V215" s="81"/>
      <c r="W215" s="81"/>
      <c r="X215" s="81"/>
      <c r="Y215" s="435"/>
      <c r="Z215" s="435"/>
      <c r="AA215" s="435"/>
      <c r="AB215" s="435"/>
      <c r="AC215" s="435" t="s">
        <v>2755</v>
      </c>
      <c r="AD215" s="435"/>
      <c r="AE215" s="81"/>
      <c r="AF215" s="81"/>
      <c r="AG215" s="81"/>
      <c r="AH215" s="81"/>
      <c r="AI215" s="81"/>
    </row>
    <row r="216" spans="16:35">
      <c r="P216" s="81"/>
      <c r="Q216" s="81"/>
      <c r="R216" s="81"/>
      <c r="S216" s="81"/>
      <c r="T216" s="81"/>
      <c r="U216" s="81"/>
      <c r="V216" s="81"/>
      <c r="W216" s="81"/>
      <c r="X216" s="81"/>
      <c r="Y216" s="435"/>
      <c r="Z216" s="435"/>
      <c r="AA216" s="435"/>
      <c r="AB216" s="435"/>
      <c r="AC216" s="435" t="s">
        <v>2755</v>
      </c>
      <c r="AD216" s="435"/>
      <c r="AE216" s="81"/>
      <c r="AF216" s="81"/>
      <c r="AG216" s="81"/>
      <c r="AH216" s="81"/>
      <c r="AI216" s="81"/>
    </row>
    <row r="217" spans="16:35">
      <c r="P217" s="81"/>
      <c r="Q217" s="81"/>
      <c r="R217" s="81"/>
      <c r="S217" s="81"/>
      <c r="T217" s="81"/>
      <c r="U217" s="81"/>
      <c r="V217" s="81"/>
      <c r="W217" s="81"/>
      <c r="X217" s="81"/>
      <c r="Y217" s="435"/>
      <c r="Z217" s="435"/>
      <c r="AA217" s="435"/>
      <c r="AB217" s="435"/>
      <c r="AC217" s="435" t="s">
        <v>2755</v>
      </c>
      <c r="AD217" s="435"/>
      <c r="AE217" s="81"/>
      <c r="AF217" s="81"/>
      <c r="AG217" s="81"/>
      <c r="AH217" s="81"/>
      <c r="AI217" s="81"/>
    </row>
    <row r="218" spans="16:35">
      <c r="P218" s="81"/>
      <c r="Q218" s="81"/>
      <c r="R218" s="81"/>
      <c r="S218" s="81"/>
      <c r="T218" s="81"/>
      <c r="U218" s="81"/>
      <c r="V218" s="81"/>
      <c r="W218" s="81"/>
      <c r="X218" s="81"/>
      <c r="Y218" s="435"/>
      <c r="Z218" s="435"/>
      <c r="AA218" s="435"/>
      <c r="AB218" s="435"/>
      <c r="AC218" s="435" t="s">
        <v>2755</v>
      </c>
      <c r="AD218" s="435"/>
      <c r="AE218" s="81"/>
      <c r="AF218" s="81"/>
      <c r="AG218" s="81"/>
      <c r="AH218" s="81"/>
      <c r="AI218" s="81"/>
    </row>
    <row r="219" spans="16:35">
      <c r="P219" s="81"/>
      <c r="Q219" s="81"/>
      <c r="R219" s="81"/>
      <c r="S219" s="81"/>
      <c r="T219" s="81"/>
      <c r="U219" s="81"/>
      <c r="V219" s="81"/>
      <c r="W219" s="81"/>
      <c r="X219" s="81"/>
      <c r="Y219" s="435"/>
      <c r="Z219" s="435"/>
      <c r="AA219" s="435"/>
      <c r="AB219" s="435"/>
      <c r="AC219" s="435" t="s">
        <v>2755</v>
      </c>
      <c r="AD219" s="435"/>
      <c r="AE219" s="81"/>
      <c r="AF219" s="81"/>
      <c r="AG219" s="81"/>
      <c r="AH219" s="81"/>
      <c r="AI219" s="81"/>
    </row>
    <row r="220" spans="16:35">
      <c r="P220" s="81"/>
      <c r="Q220" s="81"/>
      <c r="R220" s="81"/>
      <c r="S220" s="81"/>
      <c r="T220" s="81"/>
      <c r="U220" s="81"/>
      <c r="V220" s="81"/>
      <c r="W220" s="81"/>
      <c r="X220" s="81"/>
      <c r="Y220" s="435"/>
      <c r="Z220" s="435"/>
      <c r="AA220" s="435"/>
      <c r="AB220" s="435"/>
      <c r="AC220" s="435" t="s">
        <v>2755</v>
      </c>
      <c r="AD220" s="435"/>
      <c r="AE220" s="81"/>
      <c r="AF220" s="81"/>
      <c r="AG220" s="81"/>
      <c r="AH220" s="81"/>
      <c r="AI220" s="81"/>
    </row>
    <row r="221" spans="16:35">
      <c r="P221" s="81"/>
      <c r="Q221" s="81"/>
      <c r="R221" s="81"/>
      <c r="S221" s="81"/>
      <c r="T221" s="81"/>
      <c r="U221" s="81"/>
      <c r="V221" s="81"/>
      <c r="W221" s="81"/>
      <c r="X221" s="81"/>
      <c r="Y221" s="435"/>
      <c r="Z221" s="435"/>
      <c r="AA221" s="435"/>
      <c r="AB221" s="435"/>
      <c r="AC221" s="435" t="s">
        <v>2755</v>
      </c>
      <c r="AD221" s="435"/>
      <c r="AE221" s="81"/>
      <c r="AF221" s="81"/>
      <c r="AG221" s="81"/>
      <c r="AH221" s="81"/>
      <c r="AI221" s="81"/>
    </row>
    <row r="222" spans="16:35">
      <c r="P222" s="81"/>
      <c r="Q222" s="81"/>
      <c r="R222" s="81"/>
      <c r="S222" s="81"/>
      <c r="T222" s="81"/>
      <c r="U222" s="81"/>
      <c r="V222" s="81"/>
      <c r="W222" s="81"/>
      <c r="X222" s="81"/>
      <c r="Y222" s="435"/>
      <c r="Z222" s="435"/>
      <c r="AA222" s="435"/>
      <c r="AB222" s="435"/>
      <c r="AC222" s="435" t="s">
        <v>2755</v>
      </c>
      <c r="AD222" s="435"/>
      <c r="AE222" s="81"/>
      <c r="AF222" s="81"/>
      <c r="AG222" s="81"/>
      <c r="AH222" s="81"/>
      <c r="AI222" s="81"/>
    </row>
    <row r="223" spans="16:35">
      <c r="P223" s="81"/>
      <c r="Q223" s="81"/>
      <c r="R223" s="81"/>
      <c r="S223" s="81"/>
      <c r="T223" s="81"/>
      <c r="U223" s="81"/>
      <c r="V223" s="81"/>
      <c r="W223" s="81"/>
      <c r="X223" s="81"/>
      <c r="Y223" s="435"/>
      <c r="Z223" s="435"/>
      <c r="AA223" s="435"/>
      <c r="AB223" s="435"/>
      <c r="AC223" s="435" t="s">
        <v>2755</v>
      </c>
      <c r="AD223" s="435"/>
      <c r="AE223" s="81"/>
      <c r="AF223" s="81"/>
      <c r="AG223" s="81"/>
      <c r="AH223" s="81"/>
      <c r="AI223" s="81"/>
    </row>
    <row r="224" spans="16:35">
      <c r="P224" s="81"/>
      <c r="Q224" s="81"/>
      <c r="R224" s="81"/>
      <c r="S224" s="81"/>
      <c r="T224" s="81"/>
      <c r="U224" s="81"/>
      <c r="V224" s="81"/>
      <c r="W224" s="81"/>
      <c r="X224" s="81"/>
      <c r="Y224" s="435"/>
      <c r="Z224" s="435"/>
      <c r="AA224" s="435"/>
      <c r="AB224" s="435"/>
      <c r="AC224" s="435" t="s">
        <v>2755</v>
      </c>
      <c r="AD224" s="435"/>
      <c r="AE224" s="81"/>
      <c r="AF224" s="81"/>
      <c r="AG224" s="81"/>
      <c r="AH224" s="81"/>
      <c r="AI224" s="81"/>
    </row>
    <row r="225" spans="1:35">
      <c r="P225" s="81"/>
      <c r="Q225" s="81"/>
      <c r="R225" s="81"/>
      <c r="S225" s="81"/>
      <c r="T225" s="81"/>
      <c r="U225" s="81"/>
      <c r="V225" s="81"/>
      <c r="W225" s="81"/>
      <c r="X225" s="81"/>
      <c r="Y225" s="435"/>
      <c r="Z225" s="435"/>
      <c r="AA225" s="435"/>
      <c r="AB225" s="435"/>
      <c r="AC225" s="435" t="s">
        <v>2755</v>
      </c>
      <c r="AD225" s="435"/>
      <c r="AE225" s="81"/>
      <c r="AF225" s="81"/>
      <c r="AG225" s="81"/>
      <c r="AH225" s="81"/>
      <c r="AI225" s="81"/>
    </row>
    <row r="226" spans="1:35">
      <c r="P226" s="81"/>
      <c r="Q226" s="81"/>
      <c r="R226" s="81"/>
      <c r="S226" s="81"/>
      <c r="T226" s="81"/>
      <c r="U226" s="81"/>
      <c r="V226" s="81"/>
      <c r="W226" s="81"/>
      <c r="X226" s="81"/>
      <c r="Y226" s="435"/>
      <c r="Z226" s="435"/>
      <c r="AA226" s="435"/>
      <c r="AB226" s="435"/>
      <c r="AC226" s="435" t="s">
        <v>2755</v>
      </c>
      <c r="AD226" s="435"/>
      <c r="AE226" s="81"/>
      <c r="AF226" s="81"/>
      <c r="AG226" s="81"/>
      <c r="AH226" s="81"/>
      <c r="AI226" s="81"/>
    </row>
    <row r="227" spans="1:35">
      <c r="P227" s="81"/>
      <c r="Q227" s="81"/>
      <c r="R227" s="81"/>
      <c r="S227" s="81"/>
      <c r="T227" s="81"/>
      <c r="U227" s="81"/>
      <c r="V227" s="81"/>
      <c r="W227" s="81"/>
      <c r="X227" s="81"/>
      <c r="Y227" s="435"/>
      <c r="Z227" s="435"/>
      <c r="AA227" s="435"/>
      <c r="AB227" s="435"/>
      <c r="AC227" s="435" t="s">
        <v>2755</v>
      </c>
      <c r="AD227" s="435"/>
      <c r="AE227" s="81"/>
      <c r="AF227" s="81"/>
      <c r="AG227" s="81"/>
      <c r="AH227" s="81"/>
      <c r="AI227" s="81"/>
    </row>
    <row r="228" spans="1:35">
      <c r="P228" s="81"/>
      <c r="Q228" s="81"/>
      <c r="R228" s="81"/>
      <c r="S228" s="81"/>
      <c r="T228" s="81"/>
      <c r="U228" s="81"/>
      <c r="V228" s="81"/>
      <c r="W228" s="81"/>
      <c r="X228" s="81"/>
      <c r="Y228" s="435"/>
      <c r="Z228" s="435"/>
      <c r="AA228" s="435"/>
      <c r="AB228" s="435"/>
      <c r="AC228" s="435" t="s">
        <v>2755</v>
      </c>
      <c r="AD228" s="435"/>
      <c r="AE228" s="81"/>
      <c r="AF228" s="81"/>
      <c r="AG228" s="81"/>
      <c r="AH228" s="81"/>
      <c r="AI228" s="81"/>
    </row>
    <row r="229" spans="1:35">
      <c r="P229" s="81"/>
      <c r="Q229" s="81"/>
      <c r="R229" s="81"/>
      <c r="S229" s="81"/>
      <c r="T229" s="81"/>
      <c r="U229" s="81"/>
      <c r="V229" s="81"/>
      <c r="W229" s="81"/>
      <c r="X229" s="81"/>
      <c r="Y229" s="435"/>
      <c r="Z229" s="435"/>
      <c r="AA229" s="435"/>
      <c r="AB229" s="435"/>
      <c r="AC229" s="435" t="s">
        <v>2755</v>
      </c>
      <c r="AD229" s="435"/>
      <c r="AE229" s="81"/>
      <c r="AF229" s="81"/>
      <c r="AG229" s="81"/>
      <c r="AH229" s="81"/>
      <c r="AI229" s="81"/>
    </row>
    <row r="230" spans="1:35">
      <c r="P230" s="81"/>
      <c r="Q230" s="81"/>
      <c r="R230" s="81"/>
      <c r="S230" s="81"/>
      <c r="T230" s="81"/>
      <c r="U230" s="81"/>
      <c r="V230" s="81"/>
      <c r="W230" s="81"/>
      <c r="X230" s="81"/>
      <c r="Y230" s="435"/>
      <c r="Z230" s="435"/>
      <c r="AA230" s="435"/>
      <c r="AB230" s="435"/>
      <c r="AC230" s="435" t="s">
        <v>2755</v>
      </c>
      <c r="AD230" s="435"/>
      <c r="AE230" s="81"/>
      <c r="AF230" s="81"/>
      <c r="AG230" s="81"/>
      <c r="AH230" s="81"/>
      <c r="AI230" s="81"/>
    </row>
    <row r="231" spans="1:35">
      <c r="P231" s="81"/>
      <c r="Q231" s="81"/>
      <c r="R231" s="81"/>
      <c r="S231" s="81"/>
      <c r="T231" s="81"/>
      <c r="U231" s="81"/>
      <c r="V231" s="81"/>
      <c r="W231" s="81"/>
      <c r="X231" s="81"/>
      <c r="Y231" s="435"/>
      <c r="Z231" s="435"/>
      <c r="AA231" s="435"/>
      <c r="AB231" s="435"/>
      <c r="AC231" s="435" t="s">
        <v>2755</v>
      </c>
      <c r="AD231" s="435"/>
      <c r="AE231" s="81"/>
      <c r="AF231" s="81"/>
      <c r="AG231" s="81"/>
      <c r="AH231" s="81"/>
      <c r="AI231" s="81"/>
    </row>
    <row r="232" spans="1:35">
      <c r="P232" s="81"/>
      <c r="Q232" s="81"/>
      <c r="R232" s="81"/>
      <c r="S232" s="81"/>
      <c r="T232" s="81"/>
      <c r="U232" s="81"/>
      <c r="V232" s="81"/>
      <c r="W232" s="81"/>
      <c r="X232" s="81"/>
      <c r="Y232" s="435"/>
      <c r="Z232" s="435"/>
      <c r="AA232" s="435"/>
      <c r="AB232" s="435"/>
      <c r="AC232" s="435" t="s">
        <v>2755</v>
      </c>
      <c r="AD232" s="435"/>
      <c r="AE232" s="81"/>
      <c r="AF232" s="81"/>
      <c r="AG232" s="81"/>
      <c r="AH232" s="81"/>
      <c r="AI232" s="81"/>
    </row>
    <row r="233" spans="1:35">
      <c r="P233" s="81"/>
      <c r="Q233" s="81"/>
      <c r="R233" s="81"/>
      <c r="S233" s="81"/>
      <c r="T233" s="81"/>
      <c r="U233" s="81"/>
      <c r="V233" s="81"/>
      <c r="W233" s="81"/>
      <c r="X233" s="81"/>
      <c r="Y233" s="435"/>
      <c r="Z233" s="435"/>
      <c r="AA233" s="435"/>
      <c r="AB233" s="435"/>
      <c r="AC233" s="435" t="s">
        <v>2755</v>
      </c>
      <c r="AD233" s="435"/>
      <c r="AE233" s="81"/>
      <c r="AF233" s="81"/>
      <c r="AG233" s="81"/>
      <c r="AH233" s="81"/>
      <c r="AI233" s="81"/>
    </row>
    <row r="234" spans="1:35">
      <c r="P234" s="81"/>
      <c r="Q234" s="81"/>
      <c r="R234" s="81"/>
      <c r="S234" s="81"/>
      <c r="T234" s="81"/>
      <c r="U234" s="81"/>
      <c r="V234" s="81"/>
      <c r="W234" s="81"/>
      <c r="X234" s="81"/>
      <c r="Y234" s="435"/>
      <c r="Z234" s="435"/>
      <c r="AA234" s="435"/>
      <c r="AB234" s="435"/>
      <c r="AC234" s="435" t="s">
        <v>2755</v>
      </c>
      <c r="AD234" s="435"/>
      <c r="AE234" s="81"/>
      <c r="AF234" s="81"/>
      <c r="AG234" s="81"/>
      <c r="AH234" s="81"/>
      <c r="AI234" s="81"/>
    </row>
    <row r="235" spans="1:35">
      <c r="P235" s="81"/>
      <c r="Q235" s="81"/>
      <c r="R235" s="81"/>
      <c r="S235" s="81"/>
      <c r="T235" s="81"/>
      <c r="U235" s="81"/>
      <c r="V235" s="81"/>
      <c r="W235" s="81"/>
      <c r="X235" s="81"/>
      <c r="Y235" s="435"/>
      <c r="Z235" s="435"/>
      <c r="AA235" s="435"/>
      <c r="AB235" s="435"/>
      <c r="AC235" s="435" t="s">
        <v>2755</v>
      </c>
      <c r="AD235" s="435"/>
      <c r="AE235" s="81"/>
      <c r="AF235" s="81"/>
      <c r="AG235" s="81"/>
      <c r="AH235" s="81"/>
      <c r="AI235" s="81"/>
    </row>
    <row r="237" spans="1:35" s="1" customFormat="1">
      <c r="A237" s="66"/>
      <c r="B237" s="78" t="s">
        <v>2751</v>
      </c>
      <c r="P237" s="115"/>
      <c r="Q237" s="115"/>
    </row>
    <row r="239" spans="1:35">
      <c r="P239" s="81"/>
      <c r="Q239" s="81"/>
      <c r="R239" s="81"/>
      <c r="S239" s="435"/>
      <c r="T239" s="435"/>
      <c r="U239" s="81"/>
      <c r="V239" s="81"/>
      <c r="W239" s="81"/>
      <c r="X239" s="81"/>
      <c r="Y239" s="435"/>
      <c r="Z239" s="435"/>
      <c r="AA239" s="435"/>
      <c r="AB239" s="435"/>
      <c r="AC239" s="435" t="s">
        <v>965</v>
      </c>
      <c r="AD239" s="435"/>
      <c r="AE239" s="81"/>
      <c r="AF239" s="81"/>
      <c r="AG239" s="81"/>
      <c r="AH239" s="81"/>
      <c r="AI239" s="81"/>
    </row>
    <row r="240" spans="1:35">
      <c r="P240" s="81"/>
      <c r="Q240" s="81"/>
      <c r="R240" s="81"/>
      <c r="S240" s="435"/>
      <c r="T240" s="435"/>
      <c r="U240" s="81"/>
      <c r="V240" s="81"/>
      <c r="W240" s="81"/>
      <c r="X240" s="81"/>
      <c r="Y240" s="435"/>
      <c r="Z240" s="435"/>
      <c r="AA240" s="435"/>
      <c r="AB240" s="435"/>
      <c r="AC240" s="435" t="s">
        <v>965</v>
      </c>
      <c r="AD240" s="435"/>
      <c r="AE240" s="81"/>
      <c r="AF240" s="81"/>
      <c r="AG240" s="81"/>
      <c r="AH240" s="81"/>
      <c r="AI240" s="81"/>
    </row>
    <row r="241" spans="16:35">
      <c r="P241" s="81"/>
      <c r="Q241" s="81"/>
      <c r="R241" s="81"/>
      <c r="S241" s="435"/>
      <c r="T241" s="435"/>
      <c r="U241" s="81"/>
      <c r="V241" s="81"/>
      <c r="W241" s="81"/>
      <c r="X241" s="81"/>
      <c r="Y241" s="435"/>
      <c r="Z241" s="435"/>
      <c r="AA241" s="435"/>
      <c r="AB241" s="435"/>
      <c r="AC241" s="435" t="s">
        <v>965</v>
      </c>
      <c r="AD241" s="435"/>
      <c r="AE241" s="81"/>
      <c r="AF241" s="81"/>
      <c r="AG241" s="81"/>
      <c r="AH241" s="81"/>
      <c r="AI241" s="81"/>
    </row>
    <row r="242" spans="16:35">
      <c r="P242" s="81"/>
      <c r="Q242" s="81"/>
      <c r="R242" s="81"/>
      <c r="S242" s="435"/>
      <c r="T242" s="435"/>
      <c r="U242" s="81"/>
      <c r="V242" s="81"/>
      <c r="W242" s="81"/>
      <c r="X242" s="81"/>
      <c r="Y242" s="435"/>
      <c r="Z242" s="435"/>
      <c r="AA242" s="435"/>
      <c r="AB242" s="435"/>
      <c r="AC242" s="435" t="s">
        <v>965</v>
      </c>
      <c r="AD242" s="435"/>
      <c r="AE242" s="81"/>
      <c r="AF242" s="81"/>
      <c r="AG242" s="81"/>
      <c r="AH242" s="81"/>
      <c r="AI242" s="81"/>
    </row>
    <row r="243" spans="16:35">
      <c r="P243" s="81"/>
      <c r="Q243" s="81"/>
      <c r="R243" s="81"/>
      <c r="S243" s="435"/>
      <c r="T243" s="435"/>
      <c r="U243" s="81"/>
      <c r="V243" s="81"/>
      <c r="W243" s="81"/>
      <c r="X243" s="81"/>
      <c r="Y243" s="435"/>
      <c r="Z243" s="435"/>
      <c r="AA243" s="435"/>
      <c r="AB243" s="435"/>
      <c r="AC243" s="435" t="s">
        <v>965</v>
      </c>
      <c r="AD243" s="435"/>
      <c r="AE243" s="81"/>
      <c r="AF243" s="81"/>
      <c r="AG243" s="81"/>
      <c r="AH243" s="81"/>
      <c r="AI243" s="81"/>
    </row>
    <row r="244" spans="16:35">
      <c r="P244" s="81"/>
      <c r="Q244" s="81"/>
      <c r="R244" s="81"/>
      <c r="S244" s="435"/>
      <c r="T244" s="435"/>
      <c r="U244" s="81"/>
      <c r="V244" s="81"/>
      <c r="W244" s="81"/>
      <c r="X244" s="81"/>
      <c r="Y244" s="435"/>
      <c r="Z244" s="435"/>
      <c r="AA244" s="435"/>
      <c r="AB244" s="435"/>
      <c r="AC244" s="435" t="s">
        <v>965</v>
      </c>
      <c r="AD244" s="435"/>
      <c r="AE244" s="81"/>
      <c r="AF244" s="81"/>
      <c r="AG244" s="81"/>
      <c r="AH244" s="81"/>
      <c r="AI244" s="81"/>
    </row>
    <row r="245" spans="16:35">
      <c r="P245" s="81"/>
      <c r="Q245" s="81"/>
      <c r="R245" s="81"/>
      <c r="S245" s="435"/>
      <c r="T245" s="435"/>
      <c r="U245" s="81"/>
      <c r="V245" s="81"/>
      <c r="W245" s="81"/>
      <c r="X245" s="81"/>
      <c r="Y245" s="435"/>
      <c r="Z245" s="435"/>
      <c r="AA245" s="435"/>
      <c r="AB245" s="435"/>
      <c r="AC245" s="435" t="s">
        <v>965</v>
      </c>
      <c r="AD245" s="435"/>
      <c r="AE245" s="81"/>
      <c r="AF245" s="81"/>
      <c r="AG245" s="81"/>
      <c r="AH245" s="81"/>
      <c r="AI245" s="81"/>
    </row>
    <row r="246" spans="16:35">
      <c r="P246" s="81"/>
      <c r="Q246" s="81"/>
      <c r="R246" s="81"/>
      <c r="S246" s="435"/>
      <c r="T246" s="435"/>
      <c r="U246" s="81"/>
      <c r="V246" s="81"/>
      <c r="W246" s="81"/>
      <c r="X246" s="81"/>
      <c r="Y246" s="435"/>
      <c r="Z246" s="435"/>
      <c r="AA246" s="435"/>
      <c r="AB246" s="435"/>
      <c r="AC246" s="435" t="s">
        <v>965</v>
      </c>
      <c r="AD246" s="435"/>
      <c r="AE246" s="81"/>
      <c r="AF246" s="81"/>
      <c r="AG246" s="81"/>
      <c r="AH246" s="81"/>
      <c r="AI246" s="81"/>
    </row>
    <row r="247" spans="16:35">
      <c r="P247" s="81"/>
      <c r="Q247" s="81"/>
      <c r="R247" s="81"/>
      <c r="S247" s="435"/>
      <c r="T247" s="435"/>
      <c r="U247" s="81"/>
      <c r="V247" s="81"/>
      <c r="W247" s="81"/>
      <c r="X247" s="81"/>
      <c r="Y247" s="435"/>
      <c r="Z247" s="435"/>
      <c r="AA247" s="435"/>
      <c r="AB247" s="435"/>
      <c r="AC247" s="435" t="s">
        <v>965</v>
      </c>
      <c r="AD247" s="435"/>
      <c r="AE247" s="81"/>
      <c r="AF247" s="81"/>
      <c r="AG247" s="81"/>
      <c r="AH247" s="81"/>
      <c r="AI247" s="81"/>
    </row>
    <row r="248" spans="16:35">
      <c r="P248" s="81"/>
      <c r="Q248" s="81"/>
      <c r="R248" s="81"/>
      <c r="S248" s="435"/>
      <c r="T248" s="435"/>
      <c r="U248" s="81"/>
      <c r="V248" s="81"/>
      <c r="W248" s="81"/>
      <c r="X248" s="81"/>
      <c r="Y248" s="435"/>
      <c r="Z248" s="435"/>
      <c r="AA248" s="435"/>
      <c r="AB248" s="435"/>
      <c r="AC248" s="435" t="s">
        <v>965</v>
      </c>
      <c r="AD248" s="435"/>
      <c r="AE248" s="81"/>
      <c r="AF248" s="81"/>
      <c r="AG248" s="81"/>
      <c r="AH248" s="81"/>
      <c r="AI248" s="81"/>
    </row>
    <row r="249" spans="16:35">
      <c r="P249" s="81"/>
      <c r="Q249" s="81"/>
      <c r="R249" s="81"/>
      <c r="S249" s="435"/>
      <c r="T249" s="435"/>
      <c r="U249" s="81"/>
      <c r="V249" s="81"/>
      <c r="W249" s="81"/>
      <c r="X249" s="81"/>
      <c r="Y249" s="435"/>
      <c r="Z249" s="435"/>
      <c r="AA249" s="435"/>
      <c r="AB249" s="435"/>
      <c r="AC249" s="435" t="s">
        <v>965</v>
      </c>
      <c r="AD249" s="435"/>
      <c r="AE249" s="81"/>
      <c r="AF249" s="81"/>
      <c r="AG249" s="81"/>
      <c r="AH249" s="81"/>
      <c r="AI249" s="81"/>
    </row>
    <row r="250" spans="16:35">
      <c r="P250" s="81"/>
      <c r="Q250" s="81"/>
      <c r="R250" s="81"/>
      <c r="S250" s="435"/>
      <c r="T250" s="435"/>
      <c r="U250" s="81"/>
      <c r="V250" s="81"/>
      <c r="W250" s="81"/>
      <c r="X250" s="81"/>
      <c r="Y250" s="435"/>
      <c r="Z250" s="435"/>
      <c r="AA250" s="435"/>
      <c r="AB250" s="435"/>
      <c r="AC250" s="435" t="s">
        <v>965</v>
      </c>
      <c r="AD250" s="435"/>
      <c r="AE250" s="81"/>
      <c r="AF250" s="81"/>
      <c r="AG250" s="81"/>
      <c r="AH250" s="81"/>
      <c r="AI250" s="81"/>
    </row>
    <row r="251" spans="16:35">
      <c r="P251" s="81"/>
      <c r="Q251" s="81"/>
      <c r="R251" s="81"/>
      <c r="S251" s="435"/>
      <c r="T251" s="435"/>
      <c r="U251" s="81"/>
      <c r="V251" s="81"/>
      <c r="W251" s="81"/>
      <c r="X251" s="81"/>
      <c r="Y251" s="435"/>
      <c r="Z251" s="435"/>
      <c r="AA251" s="435"/>
      <c r="AB251" s="435"/>
      <c r="AC251" s="435" t="s">
        <v>965</v>
      </c>
      <c r="AD251" s="435"/>
      <c r="AE251" s="81"/>
      <c r="AF251" s="81"/>
      <c r="AG251" s="81"/>
      <c r="AH251" s="81"/>
      <c r="AI251" s="81"/>
    </row>
    <row r="252" spans="16:35">
      <c r="P252" s="81"/>
      <c r="Q252" s="81"/>
      <c r="R252" s="81"/>
      <c r="S252" s="435"/>
      <c r="T252" s="435"/>
      <c r="U252" s="81"/>
      <c r="V252" s="81"/>
      <c r="W252" s="81"/>
      <c r="X252" s="81"/>
      <c r="Y252" s="435"/>
      <c r="Z252" s="435"/>
      <c r="AA252" s="435"/>
      <c r="AB252" s="435"/>
      <c r="AC252" s="435" t="s">
        <v>965</v>
      </c>
      <c r="AD252" s="435"/>
      <c r="AE252" s="81"/>
      <c r="AF252" s="81"/>
      <c r="AG252" s="81"/>
      <c r="AH252" s="81"/>
      <c r="AI252" s="81"/>
    </row>
    <row r="253" spans="16:35">
      <c r="P253" s="81"/>
      <c r="Q253" s="81"/>
      <c r="R253" s="81"/>
      <c r="S253" s="435"/>
      <c r="T253" s="435"/>
      <c r="U253" s="81"/>
      <c r="V253" s="81"/>
      <c r="W253" s="81"/>
      <c r="X253" s="81"/>
      <c r="Y253" s="435"/>
      <c r="Z253" s="435"/>
      <c r="AA253" s="435"/>
      <c r="AB253" s="435"/>
      <c r="AC253" s="435" t="s">
        <v>965</v>
      </c>
      <c r="AD253" s="435"/>
      <c r="AE253" s="81"/>
      <c r="AF253" s="81"/>
      <c r="AG253" s="81"/>
      <c r="AH253" s="81"/>
      <c r="AI253" s="81"/>
    </row>
    <row r="254" spans="16:35">
      <c r="P254" s="81"/>
      <c r="Q254" s="81"/>
      <c r="R254" s="81"/>
      <c r="S254" s="435"/>
      <c r="T254" s="435"/>
      <c r="U254" s="81"/>
      <c r="V254" s="81"/>
      <c r="W254" s="81"/>
      <c r="X254" s="81"/>
      <c r="Y254" s="435"/>
      <c r="Z254" s="435"/>
      <c r="AA254" s="435"/>
      <c r="AB254" s="435"/>
      <c r="AC254" s="435" t="s">
        <v>965</v>
      </c>
      <c r="AD254" s="435"/>
      <c r="AE254" s="81"/>
      <c r="AF254" s="81"/>
      <c r="AG254" s="81"/>
      <c r="AH254" s="81"/>
      <c r="AI254" s="81"/>
    </row>
    <row r="255" spans="16:35">
      <c r="P255" s="81"/>
      <c r="Q255" s="81"/>
      <c r="R255" s="81"/>
      <c r="S255" s="435"/>
      <c r="T255" s="435"/>
      <c r="U255" s="81"/>
      <c r="V255" s="81"/>
      <c r="W255" s="81"/>
      <c r="X255" s="81"/>
      <c r="Y255" s="435"/>
      <c r="Z255" s="435"/>
      <c r="AA255" s="435"/>
      <c r="AB255" s="435"/>
      <c r="AC255" s="435" t="s">
        <v>965</v>
      </c>
      <c r="AD255" s="435"/>
      <c r="AE255" s="81"/>
      <c r="AF255" s="81"/>
      <c r="AG255" s="81"/>
      <c r="AH255" s="81"/>
      <c r="AI255" s="81"/>
    </row>
    <row r="256" spans="16:35">
      <c r="P256" s="81"/>
      <c r="Q256" s="81"/>
      <c r="R256" s="81"/>
      <c r="S256" s="435"/>
      <c r="T256" s="435"/>
      <c r="U256" s="81"/>
      <c r="V256" s="81"/>
      <c r="W256" s="81"/>
      <c r="X256" s="81"/>
      <c r="Y256" s="435"/>
      <c r="Z256" s="435"/>
      <c r="AA256" s="435"/>
      <c r="AB256" s="435"/>
      <c r="AC256" s="435" t="s">
        <v>965</v>
      </c>
      <c r="AD256" s="435"/>
      <c r="AE256" s="81"/>
      <c r="AF256" s="81"/>
      <c r="AG256" s="81"/>
      <c r="AH256" s="81"/>
      <c r="AI256" s="81"/>
    </row>
    <row r="257" spans="16:35">
      <c r="P257" s="81"/>
      <c r="Q257" s="81"/>
      <c r="R257" s="81"/>
      <c r="S257" s="435"/>
      <c r="T257" s="435"/>
      <c r="U257" s="81"/>
      <c r="V257" s="81"/>
      <c r="W257" s="81"/>
      <c r="X257" s="81"/>
      <c r="Y257" s="435"/>
      <c r="Z257" s="435"/>
      <c r="AA257" s="435"/>
      <c r="AB257" s="435"/>
      <c r="AC257" s="435" t="s">
        <v>965</v>
      </c>
      <c r="AD257" s="435"/>
      <c r="AE257" s="81"/>
      <c r="AF257" s="81"/>
      <c r="AG257" s="81"/>
      <c r="AH257" s="81"/>
      <c r="AI257" s="81"/>
    </row>
    <row r="258" spans="16:35">
      <c r="P258" s="81"/>
      <c r="Q258" s="81"/>
      <c r="R258" s="81"/>
      <c r="S258" s="435"/>
      <c r="T258" s="435"/>
      <c r="U258" s="81"/>
      <c r="V258" s="81"/>
      <c r="W258" s="81"/>
      <c r="X258" s="81"/>
      <c r="Y258" s="435"/>
      <c r="Z258" s="435"/>
      <c r="AA258" s="435"/>
      <c r="AB258" s="435"/>
      <c r="AC258" s="435" t="s">
        <v>965</v>
      </c>
      <c r="AD258" s="435"/>
      <c r="AE258" s="81"/>
      <c r="AF258" s="81"/>
      <c r="AG258" s="81"/>
      <c r="AH258" s="81"/>
      <c r="AI258" s="81"/>
    </row>
    <row r="259" spans="16:35">
      <c r="P259" s="81"/>
      <c r="Q259" s="81"/>
      <c r="R259" s="81"/>
      <c r="S259" s="435"/>
      <c r="T259" s="435"/>
      <c r="U259" s="81"/>
      <c r="V259" s="81"/>
      <c r="W259" s="81"/>
      <c r="X259" s="81"/>
      <c r="Y259" s="435"/>
      <c r="Z259" s="435"/>
      <c r="AA259" s="435"/>
      <c r="AB259" s="435"/>
      <c r="AC259" s="435" t="s">
        <v>965</v>
      </c>
      <c r="AD259" s="435"/>
      <c r="AE259" s="81"/>
      <c r="AF259" s="81"/>
      <c r="AG259" s="81"/>
      <c r="AH259" s="81"/>
      <c r="AI259" s="81"/>
    </row>
    <row r="260" spans="16:35">
      <c r="P260" s="81"/>
      <c r="Q260" s="81"/>
      <c r="R260" s="81"/>
      <c r="S260" s="435"/>
      <c r="T260" s="435"/>
      <c r="U260" s="81"/>
      <c r="V260" s="81"/>
      <c r="W260" s="81"/>
      <c r="X260" s="81"/>
      <c r="Y260" s="435"/>
      <c r="Z260" s="435"/>
      <c r="AA260" s="435"/>
      <c r="AB260" s="435"/>
      <c r="AC260" s="435" t="s">
        <v>965</v>
      </c>
      <c r="AD260" s="435"/>
      <c r="AE260" s="81"/>
      <c r="AF260" s="81"/>
      <c r="AG260" s="81"/>
      <c r="AH260" s="81"/>
      <c r="AI260" s="81"/>
    </row>
    <row r="261" spans="16:35">
      <c r="P261" s="81"/>
      <c r="Q261" s="81"/>
      <c r="R261" s="81"/>
      <c r="S261" s="435"/>
      <c r="T261" s="435"/>
      <c r="U261" s="81"/>
      <c r="V261" s="81"/>
      <c r="W261" s="81"/>
      <c r="X261" s="81"/>
      <c r="Y261" s="435"/>
      <c r="Z261" s="435"/>
      <c r="AA261" s="435"/>
      <c r="AB261" s="435"/>
      <c r="AC261" s="435" t="s">
        <v>965</v>
      </c>
      <c r="AD261" s="435"/>
      <c r="AE261" s="81"/>
      <c r="AF261" s="81"/>
      <c r="AG261" s="81"/>
      <c r="AH261" s="81"/>
      <c r="AI261" s="81"/>
    </row>
    <row r="262" spans="16:35">
      <c r="P262" s="81"/>
      <c r="Q262" s="81"/>
      <c r="R262" s="81"/>
      <c r="S262" s="435"/>
      <c r="T262" s="435"/>
      <c r="U262" s="81"/>
      <c r="V262" s="81"/>
      <c r="W262" s="81"/>
      <c r="X262" s="81"/>
      <c r="Y262" s="435"/>
      <c r="Z262" s="435"/>
      <c r="AA262" s="435"/>
      <c r="AB262" s="435"/>
      <c r="AC262" s="435" t="s">
        <v>965</v>
      </c>
      <c r="AD262" s="435"/>
      <c r="AE262" s="81"/>
      <c r="AF262" s="81"/>
      <c r="AG262" s="81"/>
      <c r="AH262" s="81"/>
      <c r="AI262" s="81"/>
    </row>
    <row r="263" spans="16:35">
      <c r="P263" s="81"/>
      <c r="Q263" s="81"/>
      <c r="R263" s="81"/>
      <c r="S263" s="435"/>
      <c r="T263" s="435"/>
      <c r="U263" s="81"/>
      <c r="V263" s="81"/>
      <c r="W263" s="81"/>
      <c r="X263" s="81"/>
      <c r="Y263" s="435"/>
      <c r="Z263" s="435"/>
      <c r="AA263" s="435"/>
      <c r="AB263" s="435"/>
      <c r="AC263" s="435" t="s">
        <v>965</v>
      </c>
      <c r="AD263" s="435"/>
      <c r="AE263" s="81"/>
      <c r="AF263" s="81"/>
      <c r="AG263" s="81"/>
      <c r="AH263" s="81"/>
      <c r="AI263" s="81"/>
    </row>
    <row r="264" spans="16:35">
      <c r="P264" s="81"/>
      <c r="Q264" s="81"/>
      <c r="R264" s="81"/>
      <c r="S264" s="435"/>
      <c r="T264" s="435"/>
      <c r="U264" s="81"/>
      <c r="V264" s="81"/>
      <c r="W264" s="81"/>
      <c r="X264" s="81"/>
      <c r="Y264" s="435"/>
      <c r="Z264" s="435"/>
      <c r="AA264" s="435"/>
      <c r="AB264" s="435"/>
      <c r="AC264" s="435" t="s">
        <v>965</v>
      </c>
      <c r="AD264" s="435"/>
      <c r="AE264" s="81"/>
      <c r="AF264" s="81"/>
      <c r="AG264" s="81"/>
      <c r="AH264" s="81"/>
      <c r="AI264" s="81"/>
    </row>
    <row r="265" spans="16:35">
      <c r="P265" s="81"/>
      <c r="Q265" s="81"/>
      <c r="R265" s="81"/>
      <c r="S265" s="435"/>
      <c r="T265" s="435"/>
      <c r="U265" s="81"/>
      <c r="V265" s="81"/>
      <c r="W265" s="81"/>
      <c r="X265" s="81"/>
      <c r="Y265" s="435"/>
      <c r="Z265" s="435"/>
      <c r="AA265" s="435"/>
      <c r="AB265" s="435"/>
      <c r="AC265" s="435" t="s">
        <v>965</v>
      </c>
      <c r="AD265" s="435"/>
      <c r="AE265" s="81"/>
      <c r="AF265" s="81"/>
      <c r="AG265" s="81"/>
      <c r="AH265" s="81"/>
      <c r="AI265" s="81"/>
    </row>
    <row r="266" spans="16:35">
      <c r="P266" s="81"/>
      <c r="Q266" s="81"/>
      <c r="R266" s="81"/>
      <c r="S266" s="435"/>
      <c r="T266" s="435"/>
      <c r="U266" s="81"/>
      <c r="V266" s="81"/>
      <c r="W266" s="81"/>
      <c r="X266" s="81"/>
      <c r="Y266" s="435"/>
      <c r="Z266" s="435"/>
      <c r="AA266" s="435"/>
      <c r="AB266" s="435"/>
      <c r="AC266" s="435" t="s">
        <v>965</v>
      </c>
      <c r="AD266" s="435"/>
      <c r="AE266" s="81"/>
      <c r="AF266" s="81"/>
      <c r="AG266" s="81"/>
      <c r="AH266" s="81"/>
      <c r="AI266" s="81"/>
    </row>
    <row r="267" spans="16:35">
      <c r="P267" s="81"/>
      <c r="Q267" s="81"/>
      <c r="R267" s="81"/>
      <c r="S267" s="435"/>
      <c r="T267" s="435"/>
      <c r="U267" s="81"/>
      <c r="V267" s="81"/>
      <c r="W267" s="81"/>
      <c r="X267" s="81"/>
      <c r="Y267" s="435"/>
      <c r="Z267" s="435"/>
      <c r="AA267" s="435"/>
      <c r="AB267" s="435"/>
      <c r="AC267" s="435" t="s">
        <v>965</v>
      </c>
      <c r="AD267" s="435"/>
      <c r="AE267" s="81"/>
      <c r="AF267" s="81"/>
      <c r="AG267" s="81"/>
      <c r="AH267" s="81"/>
      <c r="AI267" s="81"/>
    </row>
    <row r="268" spans="16:35">
      <c r="P268" s="81"/>
      <c r="Q268" s="81"/>
      <c r="R268" s="81"/>
      <c r="S268" s="435"/>
      <c r="T268" s="435"/>
      <c r="U268" s="81"/>
      <c r="V268" s="81"/>
      <c r="W268" s="81"/>
      <c r="X268" s="81"/>
      <c r="Y268" s="435"/>
      <c r="Z268" s="435"/>
      <c r="AA268" s="435"/>
      <c r="AB268" s="435"/>
      <c r="AC268" s="435" t="s">
        <v>965</v>
      </c>
      <c r="AD268" s="435"/>
      <c r="AE268" s="81"/>
      <c r="AF268" s="81"/>
      <c r="AG268" s="81"/>
      <c r="AH268" s="81"/>
      <c r="AI268" s="81"/>
    </row>
    <row r="269" spans="16:35">
      <c r="P269" s="81"/>
      <c r="Q269" s="81"/>
      <c r="R269" s="81"/>
      <c r="S269" s="435"/>
      <c r="T269" s="435"/>
      <c r="U269" s="81"/>
      <c r="V269" s="81"/>
      <c r="W269" s="81"/>
      <c r="X269" s="81"/>
      <c r="Y269" s="435"/>
      <c r="Z269" s="435"/>
      <c r="AA269" s="435"/>
      <c r="AB269" s="435"/>
      <c r="AC269" s="435" t="s">
        <v>965</v>
      </c>
      <c r="AD269" s="435"/>
      <c r="AE269" s="81"/>
      <c r="AF269" s="81"/>
      <c r="AG269" s="81"/>
      <c r="AH269" s="81"/>
      <c r="AI269" s="81"/>
    </row>
    <row r="270" spans="16:35">
      <c r="P270" s="81"/>
      <c r="Q270" s="81"/>
      <c r="R270" s="81"/>
      <c r="S270" s="435"/>
      <c r="T270" s="435"/>
      <c r="U270" s="81"/>
      <c r="V270" s="81"/>
      <c r="W270" s="81"/>
      <c r="X270" s="81"/>
      <c r="Y270" s="435"/>
      <c r="Z270" s="435"/>
      <c r="AA270" s="435"/>
      <c r="AB270" s="435"/>
      <c r="AC270" s="435" t="s">
        <v>965</v>
      </c>
      <c r="AD270" s="435"/>
      <c r="AE270" s="81"/>
      <c r="AF270" s="81"/>
      <c r="AG270" s="81"/>
      <c r="AH270" s="81"/>
      <c r="AI270" s="81"/>
    </row>
    <row r="271" spans="16:35">
      <c r="P271" s="81"/>
      <c r="Q271" s="81"/>
      <c r="R271" s="81"/>
      <c r="S271" s="435"/>
      <c r="T271" s="435"/>
      <c r="U271" s="81"/>
      <c r="V271" s="81"/>
      <c r="W271" s="81"/>
      <c r="X271" s="81"/>
      <c r="Y271" s="435"/>
      <c r="Z271" s="435"/>
      <c r="AA271" s="435"/>
      <c r="AB271" s="435"/>
      <c r="AC271" s="435" t="s">
        <v>965</v>
      </c>
      <c r="AD271" s="435"/>
      <c r="AE271" s="81"/>
      <c r="AF271" s="81"/>
      <c r="AG271" s="81"/>
      <c r="AH271" s="81"/>
      <c r="AI271" s="81"/>
    </row>
    <row r="272" spans="16:35">
      <c r="P272" s="81"/>
      <c r="Q272" s="81"/>
      <c r="R272" s="81"/>
      <c r="S272" s="435"/>
      <c r="T272" s="435"/>
      <c r="U272" s="81"/>
      <c r="V272" s="81"/>
      <c r="W272" s="81"/>
      <c r="X272" s="81"/>
      <c r="Y272" s="435"/>
      <c r="Z272" s="435"/>
      <c r="AA272" s="435"/>
      <c r="AB272" s="435"/>
      <c r="AC272" s="435" t="s">
        <v>965</v>
      </c>
      <c r="AD272" s="435"/>
      <c r="AE272" s="81"/>
      <c r="AF272" s="81"/>
      <c r="AG272" s="81"/>
      <c r="AH272" s="81"/>
      <c r="AI272" s="81"/>
    </row>
    <row r="273" spans="16:35">
      <c r="P273" s="81"/>
      <c r="Q273" s="81"/>
      <c r="R273" s="81"/>
      <c r="S273" s="435"/>
      <c r="T273" s="435"/>
      <c r="U273" s="81"/>
      <c r="V273" s="81"/>
      <c r="W273" s="81"/>
      <c r="X273" s="81"/>
      <c r="Y273" s="435"/>
      <c r="Z273" s="435"/>
      <c r="AA273" s="435"/>
      <c r="AB273" s="435"/>
      <c r="AC273" s="435" t="s">
        <v>965</v>
      </c>
      <c r="AD273" s="435"/>
      <c r="AE273" s="81"/>
      <c r="AF273" s="81"/>
      <c r="AG273" s="81"/>
      <c r="AH273" s="81"/>
      <c r="AI273" s="81"/>
    </row>
    <row r="274" spans="16:35">
      <c r="P274" s="81"/>
      <c r="Q274" s="81"/>
      <c r="R274" s="81"/>
      <c r="S274" s="435"/>
      <c r="T274" s="435"/>
      <c r="U274" s="81"/>
      <c r="V274" s="81"/>
      <c r="W274" s="81"/>
      <c r="X274" s="81"/>
      <c r="Y274" s="435"/>
      <c r="Z274" s="435"/>
      <c r="AA274" s="435"/>
      <c r="AB274" s="435"/>
      <c r="AC274" s="435" t="s">
        <v>965</v>
      </c>
      <c r="AD274" s="435"/>
      <c r="AE274" s="81"/>
      <c r="AF274" s="81"/>
      <c r="AG274" s="81"/>
      <c r="AH274" s="81"/>
      <c r="AI274" s="81"/>
    </row>
    <row r="275" spans="16:35">
      <c r="P275" s="81"/>
      <c r="Q275" s="81"/>
      <c r="R275" s="81"/>
      <c r="S275" s="435"/>
      <c r="T275" s="435"/>
      <c r="U275" s="81"/>
      <c r="V275" s="81"/>
      <c r="W275" s="81"/>
      <c r="X275" s="81"/>
      <c r="Y275" s="435"/>
      <c r="Z275" s="435"/>
      <c r="AA275" s="435"/>
      <c r="AB275" s="435"/>
      <c r="AC275" s="435" t="s">
        <v>965</v>
      </c>
      <c r="AD275" s="435"/>
      <c r="AE275" s="81"/>
      <c r="AF275" s="81"/>
      <c r="AG275" s="81"/>
      <c r="AH275" s="81"/>
      <c r="AI275" s="81"/>
    </row>
    <row r="276" spans="16:35">
      <c r="P276" s="81"/>
      <c r="Q276" s="81"/>
      <c r="R276" s="81"/>
      <c r="S276" s="435"/>
      <c r="T276" s="435"/>
      <c r="U276" s="81"/>
      <c r="V276" s="81"/>
      <c r="W276" s="81"/>
      <c r="X276" s="81"/>
      <c r="Y276" s="435"/>
      <c r="Z276" s="435"/>
      <c r="AA276" s="435"/>
      <c r="AB276" s="435"/>
      <c r="AC276" s="435" t="s">
        <v>965</v>
      </c>
      <c r="AD276" s="435"/>
      <c r="AE276" s="81"/>
      <c r="AF276" s="81"/>
      <c r="AG276" s="81"/>
      <c r="AH276" s="81"/>
      <c r="AI276" s="81"/>
    </row>
    <row r="277" spans="16:35">
      <c r="P277" s="81"/>
      <c r="Q277" s="81"/>
      <c r="R277" s="81"/>
      <c r="S277" s="435"/>
      <c r="T277" s="435"/>
      <c r="U277" s="81"/>
      <c r="V277" s="81"/>
      <c r="W277" s="81"/>
      <c r="X277" s="81"/>
      <c r="Y277" s="435"/>
      <c r="Z277" s="435"/>
      <c r="AA277" s="435"/>
      <c r="AB277" s="435"/>
      <c r="AC277" s="435" t="s">
        <v>965</v>
      </c>
      <c r="AD277" s="435"/>
      <c r="AE277" s="81"/>
      <c r="AF277" s="81"/>
      <c r="AG277" s="81"/>
      <c r="AH277" s="81"/>
      <c r="AI277" s="81"/>
    </row>
    <row r="278" spans="16:35">
      <c r="P278" s="81"/>
      <c r="Q278" s="81"/>
      <c r="R278" s="81"/>
      <c r="S278" s="435"/>
      <c r="T278" s="435"/>
      <c r="U278" s="81"/>
      <c r="V278" s="81"/>
      <c r="W278" s="81"/>
      <c r="X278" s="81"/>
      <c r="Y278" s="435"/>
      <c r="Z278" s="435"/>
      <c r="AA278" s="435"/>
      <c r="AB278" s="435"/>
      <c r="AC278" s="435" t="s">
        <v>965</v>
      </c>
      <c r="AD278" s="435"/>
      <c r="AE278" s="81"/>
      <c r="AF278" s="81"/>
      <c r="AG278" s="81"/>
      <c r="AH278" s="81"/>
      <c r="AI278" s="81"/>
    </row>
    <row r="279" spans="16:35">
      <c r="P279" s="81"/>
      <c r="Q279" s="81"/>
      <c r="R279" s="81"/>
      <c r="S279" s="435"/>
      <c r="T279" s="435"/>
      <c r="U279" s="81"/>
      <c r="V279" s="81"/>
      <c r="W279" s="81"/>
      <c r="X279" s="81"/>
      <c r="Y279" s="435"/>
      <c r="Z279" s="435"/>
      <c r="AA279" s="435"/>
      <c r="AB279" s="435"/>
      <c r="AC279" s="435" t="s">
        <v>965</v>
      </c>
      <c r="AD279" s="435"/>
      <c r="AE279" s="81"/>
      <c r="AF279" s="81"/>
      <c r="AG279" s="81"/>
      <c r="AH279" s="81"/>
      <c r="AI279" s="81"/>
    </row>
    <row r="280" spans="16:35">
      <c r="P280" s="81"/>
      <c r="Q280" s="81"/>
      <c r="R280" s="81"/>
      <c r="S280" s="435"/>
      <c r="T280" s="435"/>
      <c r="U280" s="81"/>
      <c r="V280" s="81"/>
      <c r="W280" s="81"/>
      <c r="X280" s="81"/>
      <c r="Y280" s="435"/>
      <c r="Z280" s="435"/>
      <c r="AA280" s="435"/>
      <c r="AB280" s="435"/>
      <c r="AC280" s="435" t="s">
        <v>965</v>
      </c>
      <c r="AD280" s="435"/>
      <c r="AE280" s="81"/>
      <c r="AF280" s="81"/>
      <c r="AG280" s="81"/>
      <c r="AH280" s="81"/>
      <c r="AI280" s="81"/>
    </row>
    <row r="281" spans="16:35">
      <c r="P281" s="81"/>
      <c r="Q281" s="81"/>
      <c r="R281" s="81"/>
      <c r="S281" s="435"/>
      <c r="T281" s="435"/>
      <c r="U281" s="81"/>
      <c r="V281" s="81"/>
      <c r="W281" s="81"/>
      <c r="X281" s="81"/>
      <c r="Y281" s="435"/>
      <c r="Z281" s="435"/>
      <c r="AA281" s="435"/>
      <c r="AB281" s="435"/>
      <c r="AC281" s="435" t="s">
        <v>965</v>
      </c>
      <c r="AD281" s="435"/>
      <c r="AE281" s="81"/>
      <c r="AF281" s="81"/>
      <c r="AG281" s="81"/>
      <c r="AH281" s="81"/>
      <c r="AI281" s="81"/>
    </row>
    <row r="282" spans="16:35">
      <c r="P282" s="81"/>
      <c r="Q282" s="81"/>
      <c r="R282" s="81"/>
      <c r="S282" s="435"/>
      <c r="T282" s="435"/>
      <c r="U282" s="81"/>
      <c r="V282" s="81"/>
      <c r="W282" s="81"/>
      <c r="X282" s="81"/>
      <c r="Y282" s="435"/>
      <c r="Z282" s="435"/>
      <c r="AA282" s="435"/>
      <c r="AB282" s="435"/>
      <c r="AC282" s="435" t="s">
        <v>965</v>
      </c>
      <c r="AD282" s="435"/>
      <c r="AE282" s="81"/>
      <c r="AF282" s="81"/>
      <c r="AG282" s="81"/>
      <c r="AH282" s="81"/>
      <c r="AI282" s="81"/>
    </row>
    <row r="283" spans="16:35">
      <c r="P283" s="81"/>
      <c r="Q283" s="81"/>
      <c r="R283" s="81"/>
      <c r="S283" s="435"/>
      <c r="T283" s="435"/>
      <c r="U283" s="81"/>
      <c r="V283" s="81"/>
      <c r="W283" s="81"/>
      <c r="X283" s="81"/>
      <c r="Y283" s="435"/>
      <c r="Z283" s="435"/>
      <c r="AA283" s="435"/>
      <c r="AB283" s="435"/>
      <c r="AC283" s="435" t="s">
        <v>965</v>
      </c>
      <c r="AD283" s="435"/>
      <c r="AE283" s="81"/>
      <c r="AF283" s="81"/>
      <c r="AG283" s="81"/>
      <c r="AH283" s="81"/>
      <c r="AI283" s="81"/>
    </row>
    <row r="284" spans="16:35">
      <c r="P284" s="81"/>
      <c r="Q284" s="81"/>
      <c r="R284" s="81"/>
      <c r="S284" s="435"/>
      <c r="T284" s="435"/>
      <c r="U284" s="81"/>
      <c r="V284" s="81"/>
      <c r="W284" s="81"/>
      <c r="X284" s="81"/>
      <c r="Y284" s="435"/>
      <c r="Z284" s="435"/>
      <c r="AA284" s="435"/>
      <c r="AB284" s="435"/>
      <c r="AC284" s="435" t="s">
        <v>965</v>
      </c>
      <c r="AD284" s="435"/>
      <c r="AE284" s="81"/>
      <c r="AF284" s="81"/>
      <c r="AG284" s="81"/>
      <c r="AH284" s="81"/>
      <c r="AI284" s="81"/>
    </row>
    <row r="285" spans="16:35">
      <c r="P285" s="81"/>
      <c r="Q285" s="81"/>
      <c r="R285" s="81"/>
      <c r="S285" s="435"/>
      <c r="T285" s="435"/>
      <c r="U285" s="81"/>
      <c r="V285" s="81"/>
      <c r="W285" s="81"/>
      <c r="X285" s="81"/>
      <c r="Y285" s="435"/>
      <c r="Z285" s="435"/>
      <c r="AA285" s="435"/>
      <c r="AB285" s="435"/>
      <c r="AC285" s="435" t="s">
        <v>965</v>
      </c>
      <c r="AD285" s="435"/>
      <c r="AE285" s="81"/>
      <c r="AF285" s="81"/>
      <c r="AG285" s="81"/>
      <c r="AH285" s="81"/>
      <c r="AI285" s="81"/>
    </row>
    <row r="286" spans="16:35">
      <c r="P286" s="81"/>
      <c r="Q286" s="81"/>
      <c r="R286" s="81"/>
      <c r="S286" s="435"/>
      <c r="T286" s="435"/>
      <c r="U286" s="81"/>
      <c r="V286" s="81"/>
      <c r="W286" s="81"/>
      <c r="X286" s="81"/>
      <c r="Y286" s="435"/>
      <c r="Z286" s="435"/>
      <c r="AA286" s="435"/>
      <c r="AB286" s="435"/>
      <c r="AC286" s="435" t="s">
        <v>965</v>
      </c>
      <c r="AD286" s="435"/>
      <c r="AE286" s="81"/>
      <c r="AF286" s="81"/>
      <c r="AG286" s="81"/>
      <c r="AH286" s="81"/>
      <c r="AI286" s="81"/>
    </row>
    <row r="287" spans="16:35">
      <c r="P287" s="81"/>
      <c r="Q287" s="81"/>
      <c r="R287" s="81"/>
      <c r="S287" s="435"/>
      <c r="T287" s="435"/>
      <c r="U287" s="81"/>
      <c r="V287" s="81"/>
      <c r="W287" s="81"/>
      <c r="X287" s="81"/>
      <c r="Y287" s="435"/>
      <c r="Z287" s="435"/>
      <c r="AA287" s="435"/>
      <c r="AB287" s="435"/>
      <c r="AC287" s="435" t="s">
        <v>965</v>
      </c>
      <c r="AD287" s="435"/>
      <c r="AE287" s="81"/>
      <c r="AF287" s="81"/>
      <c r="AG287" s="81"/>
      <c r="AH287" s="81"/>
      <c r="AI287" s="81"/>
    </row>
    <row r="288" spans="16:35">
      <c r="P288" s="81"/>
      <c r="Q288" s="81"/>
      <c r="R288" s="81"/>
      <c r="S288" s="435"/>
      <c r="T288" s="435"/>
      <c r="U288" s="81"/>
      <c r="V288" s="81"/>
      <c r="W288" s="81"/>
      <c r="X288" s="81"/>
      <c r="Y288" s="435"/>
      <c r="Z288" s="435"/>
      <c r="AA288" s="435"/>
      <c r="AB288" s="435"/>
      <c r="AC288" s="435" t="s">
        <v>965</v>
      </c>
      <c r="AD288" s="435"/>
      <c r="AE288" s="81"/>
      <c r="AF288" s="81"/>
      <c r="AG288" s="81"/>
      <c r="AH288" s="81"/>
      <c r="AI288" s="81"/>
    </row>
    <row r="289" spans="16:35">
      <c r="P289" s="81"/>
      <c r="Q289" s="81"/>
      <c r="R289" s="81"/>
      <c r="S289" s="435"/>
      <c r="T289" s="435"/>
      <c r="U289" s="81"/>
      <c r="V289" s="81"/>
      <c r="W289" s="81"/>
      <c r="X289" s="81"/>
      <c r="Y289" s="435"/>
      <c r="Z289" s="435"/>
      <c r="AA289" s="435"/>
      <c r="AB289" s="435"/>
      <c r="AC289" s="435" t="s">
        <v>965</v>
      </c>
      <c r="AD289" s="435"/>
      <c r="AE289" s="81"/>
      <c r="AF289" s="81"/>
      <c r="AG289" s="81"/>
      <c r="AH289" s="81"/>
      <c r="AI289" s="81"/>
    </row>
    <row r="290" spans="16:35">
      <c r="P290" s="81"/>
      <c r="Q290" s="81"/>
      <c r="R290" s="81"/>
      <c r="S290" s="435"/>
      <c r="T290" s="435"/>
      <c r="U290" s="81"/>
      <c r="V290" s="81"/>
      <c r="W290" s="81"/>
      <c r="X290" s="81"/>
      <c r="Y290" s="435"/>
      <c r="Z290" s="435"/>
      <c r="AA290" s="435"/>
      <c r="AB290" s="435"/>
      <c r="AC290" s="435" t="s">
        <v>965</v>
      </c>
      <c r="AD290" s="435"/>
      <c r="AE290" s="81"/>
      <c r="AF290" s="81"/>
      <c r="AG290" s="81"/>
      <c r="AH290" s="81"/>
      <c r="AI290" s="81"/>
    </row>
    <row r="291" spans="16:35">
      <c r="P291" s="81"/>
      <c r="Q291" s="81"/>
      <c r="R291" s="81"/>
      <c r="S291" s="435"/>
      <c r="T291" s="435"/>
      <c r="U291" s="81"/>
      <c r="V291" s="81"/>
      <c r="W291" s="81"/>
      <c r="X291" s="81"/>
      <c r="Y291" s="435"/>
      <c r="Z291" s="435"/>
      <c r="AA291" s="435"/>
      <c r="AB291" s="435"/>
      <c r="AC291" s="435" t="s">
        <v>965</v>
      </c>
      <c r="AD291" s="435"/>
      <c r="AE291" s="81"/>
      <c r="AF291" s="81"/>
      <c r="AG291" s="81"/>
      <c r="AH291" s="81"/>
      <c r="AI291" s="81"/>
    </row>
    <row r="292" spans="16:35">
      <c r="P292" s="81"/>
      <c r="Q292" s="81"/>
      <c r="R292" s="81"/>
      <c r="S292" s="435"/>
      <c r="T292" s="435"/>
      <c r="U292" s="81"/>
      <c r="V292" s="81"/>
      <c r="W292" s="81"/>
      <c r="X292" s="81"/>
      <c r="Y292" s="435"/>
      <c r="Z292" s="435"/>
      <c r="AA292" s="435"/>
      <c r="AB292" s="435"/>
      <c r="AC292" s="435" t="s">
        <v>965</v>
      </c>
      <c r="AD292" s="435"/>
      <c r="AE292" s="81"/>
      <c r="AF292" s="81"/>
      <c r="AG292" s="81"/>
      <c r="AH292" s="81"/>
      <c r="AI292" s="81"/>
    </row>
    <row r="293" spans="16:35">
      <c r="P293" s="81"/>
      <c r="Q293" s="81"/>
      <c r="R293" s="81"/>
      <c r="S293" s="435"/>
      <c r="T293" s="435"/>
      <c r="U293" s="81"/>
      <c r="V293" s="81"/>
      <c r="W293" s="81"/>
      <c r="X293" s="81"/>
      <c r="Y293" s="435"/>
      <c r="Z293" s="435"/>
      <c r="AA293" s="435"/>
      <c r="AB293" s="435"/>
      <c r="AC293" s="435" t="s">
        <v>965</v>
      </c>
      <c r="AD293" s="435"/>
      <c r="AE293" s="81"/>
      <c r="AF293" s="81"/>
      <c r="AG293" s="81"/>
      <c r="AH293" s="81"/>
      <c r="AI293" s="81"/>
    </row>
    <row r="294" spans="16:35">
      <c r="P294" s="81"/>
      <c r="Q294" s="81"/>
      <c r="R294" s="81"/>
      <c r="S294" s="435"/>
      <c r="T294" s="435"/>
      <c r="U294" s="81"/>
      <c r="V294" s="81"/>
      <c r="W294" s="81"/>
      <c r="X294" s="81"/>
      <c r="Y294" s="435"/>
      <c r="Z294" s="435"/>
      <c r="AA294" s="435"/>
      <c r="AB294" s="435"/>
      <c r="AC294" s="435" t="s">
        <v>965</v>
      </c>
      <c r="AD294" s="435"/>
      <c r="AE294" s="81"/>
      <c r="AF294" s="81"/>
      <c r="AG294" s="81"/>
      <c r="AH294" s="81"/>
      <c r="AI294" s="81"/>
    </row>
    <row r="295" spans="16:35">
      <c r="P295" s="81"/>
      <c r="Q295" s="81"/>
      <c r="R295" s="81"/>
      <c r="S295" s="435"/>
      <c r="T295" s="435"/>
      <c r="U295" s="81"/>
      <c r="V295" s="81"/>
      <c r="W295" s="81"/>
      <c r="X295" s="81"/>
      <c r="Y295" s="435"/>
      <c r="Z295" s="435"/>
      <c r="AA295" s="435"/>
      <c r="AB295" s="435"/>
      <c r="AC295" s="435" t="s">
        <v>965</v>
      </c>
      <c r="AD295" s="435"/>
      <c r="AE295" s="81"/>
      <c r="AF295" s="81"/>
      <c r="AG295" s="81"/>
      <c r="AH295" s="81"/>
      <c r="AI295" s="81"/>
    </row>
    <row r="296" spans="16:35">
      <c r="P296" s="81"/>
      <c r="Q296" s="81"/>
      <c r="R296" s="81"/>
      <c r="S296" s="435"/>
      <c r="T296" s="435"/>
      <c r="U296" s="81"/>
      <c r="V296" s="81"/>
      <c r="W296" s="81"/>
      <c r="X296" s="81"/>
      <c r="Y296" s="435"/>
      <c r="Z296" s="435"/>
      <c r="AA296" s="435"/>
      <c r="AB296" s="435"/>
      <c r="AC296" s="435" t="s">
        <v>965</v>
      </c>
      <c r="AD296" s="435"/>
      <c r="AE296" s="81"/>
      <c r="AF296" s="81"/>
      <c r="AG296" s="81"/>
      <c r="AH296" s="81"/>
      <c r="AI296" s="81"/>
    </row>
    <row r="297" spans="16:35">
      <c r="P297" s="81"/>
      <c r="Q297" s="81"/>
      <c r="R297" s="81"/>
      <c r="S297" s="435"/>
      <c r="T297" s="435"/>
      <c r="U297" s="81"/>
      <c r="V297" s="81"/>
      <c r="W297" s="81"/>
      <c r="X297" s="81"/>
      <c r="Y297" s="435"/>
      <c r="Z297" s="435"/>
      <c r="AA297" s="435"/>
      <c r="AB297" s="435"/>
      <c r="AC297" s="435" t="s">
        <v>965</v>
      </c>
      <c r="AD297" s="435"/>
      <c r="AE297" s="81"/>
      <c r="AF297" s="81"/>
      <c r="AG297" s="81"/>
      <c r="AH297" s="81"/>
      <c r="AI297" s="81"/>
    </row>
    <row r="298" spans="16:35">
      <c r="P298" s="81"/>
      <c r="Q298" s="81"/>
      <c r="R298" s="81"/>
      <c r="S298" s="435"/>
      <c r="T298" s="435"/>
      <c r="U298" s="81"/>
      <c r="V298" s="81"/>
      <c r="W298" s="81"/>
      <c r="X298" s="81"/>
      <c r="Y298" s="435"/>
      <c r="Z298" s="435"/>
      <c r="AA298" s="435"/>
      <c r="AB298" s="435"/>
      <c r="AC298" s="435" t="s">
        <v>965</v>
      </c>
      <c r="AD298" s="435"/>
      <c r="AE298" s="81"/>
      <c r="AF298" s="81"/>
      <c r="AG298" s="81"/>
      <c r="AH298" s="81"/>
      <c r="AI298" s="81"/>
    </row>
    <row r="299" spans="16:35">
      <c r="P299" s="81"/>
      <c r="Q299" s="81"/>
      <c r="R299" s="81"/>
      <c r="S299" s="435"/>
      <c r="T299" s="435"/>
      <c r="U299" s="81"/>
      <c r="V299" s="81"/>
      <c r="W299" s="81"/>
      <c r="X299" s="81"/>
      <c r="Y299" s="435"/>
      <c r="Z299" s="435"/>
      <c r="AA299" s="435"/>
      <c r="AB299" s="435"/>
      <c r="AC299" s="435" t="s">
        <v>965</v>
      </c>
      <c r="AD299" s="435"/>
      <c r="AE299" s="81"/>
      <c r="AF299" s="81"/>
      <c r="AG299" s="81"/>
      <c r="AH299" s="81"/>
      <c r="AI299" s="81"/>
    </row>
    <row r="300" spans="16:35">
      <c r="P300" s="81"/>
      <c r="Q300" s="81"/>
      <c r="R300" s="81"/>
      <c r="S300" s="435"/>
      <c r="T300" s="435"/>
      <c r="U300" s="81"/>
      <c r="V300" s="81"/>
      <c r="W300" s="81"/>
      <c r="X300" s="81"/>
      <c r="Y300" s="435"/>
      <c r="Z300" s="435"/>
      <c r="AA300" s="435"/>
      <c r="AB300" s="435"/>
      <c r="AC300" s="435" t="s">
        <v>965</v>
      </c>
      <c r="AD300" s="435"/>
      <c r="AE300" s="81"/>
      <c r="AF300" s="81"/>
      <c r="AG300" s="81"/>
      <c r="AH300" s="81"/>
      <c r="AI300" s="81"/>
    </row>
    <row r="301" spans="16:35">
      <c r="P301" s="81"/>
      <c r="Q301" s="81"/>
      <c r="R301" s="81"/>
      <c r="S301" s="435"/>
      <c r="T301" s="435"/>
      <c r="U301" s="81"/>
      <c r="V301" s="81"/>
      <c r="W301" s="81"/>
      <c r="X301" s="81"/>
      <c r="Y301" s="435"/>
      <c r="Z301" s="435"/>
      <c r="AA301" s="435"/>
      <c r="AB301" s="435"/>
      <c r="AC301" s="435" t="s">
        <v>965</v>
      </c>
      <c r="AD301" s="435"/>
      <c r="AE301" s="81"/>
      <c r="AF301" s="81"/>
      <c r="AG301" s="81"/>
      <c r="AH301" s="81"/>
      <c r="AI301" s="81"/>
    </row>
    <row r="302" spans="16:35">
      <c r="P302" s="81"/>
      <c r="Q302" s="81"/>
      <c r="R302" s="81"/>
      <c r="S302" s="435"/>
      <c r="T302" s="435"/>
      <c r="U302" s="81"/>
      <c r="V302" s="81"/>
      <c r="W302" s="81"/>
      <c r="X302" s="81"/>
      <c r="Y302" s="435"/>
      <c r="Z302" s="435"/>
      <c r="AA302" s="435"/>
      <c r="AB302" s="435"/>
      <c r="AC302" s="435" t="s">
        <v>965</v>
      </c>
      <c r="AD302" s="435"/>
      <c r="AE302" s="81"/>
      <c r="AF302" s="81"/>
      <c r="AG302" s="81"/>
      <c r="AH302" s="81"/>
      <c r="AI302" s="81"/>
    </row>
    <row r="303" spans="16:35">
      <c r="P303" s="81"/>
      <c r="Q303" s="81"/>
      <c r="R303" s="81"/>
      <c r="S303" s="435"/>
      <c r="T303" s="435"/>
      <c r="U303" s="81"/>
      <c r="V303" s="81"/>
      <c r="W303" s="81"/>
      <c r="X303" s="81"/>
      <c r="Y303" s="435"/>
      <c r="Z303" s="435"/>
      <c r="AA303" s="435"/>
      <c r="AB303" s="435"/>
      <c r="AC303" s="435" t="s">
        <v>965</v>
      </c>
      <c r="AD303" s="435"/>
      <c r="AE303" s="81"/>
      <c r="AF303" s="81"/>
      <c r="AG303" s="81"/>
      <c r="AH303" s="81"/>
      <c r="AI303" s="81"/>
    </row>
    <row r="304" spans="16:35">
      <c r="P304" s="81"/>
      <c r="Q304" s="81"/>
      <c r="R304" s="81"/>
      <c r="S304" s="435"/>
      <c r="T304" s="435"/>
      <c r="U304" s="81"/>
      <c r="V304" s="81"/>
      <c r="W304" s="81"/>
      <c r="X304" s="81"/>
      <c r="Y304" s="435"/>
      <c r="Z304" s="435"/>
      <c r="AA304" s="435"/>
      <c r="AB304" s="435"/>
      <c r="AC304" s="435" t="s">
        <v>965</v>
      </c>
      <c r="AD304" s="435"/>
      <c r="AE304" s="81"/>
      <c r="AF304" s="81"/>
      <c r="AG304" s="81"/>
      <c r="AH304" s="81"/>
      <c r="AI304" s="81"/>
    </row>
    <row r="305" spans="16:35">
      <c r="P305" s="81"/>
      <c r="Q305" s="81"/>
      <c r="R305" s="81"/>
      <c r="S305" s="435"/>
      <c r="T305" s="435"/>
      <c r="U305" s="81"/>
      <c r="V305" s="81"/>
      <c r="W305" s="81"/>
      <c r="X305" s="81"/>
      <c r="Y305" s="435"/>
      <c r="Z305" s="435"/>
      <c r="AA305" s="435"/>
      <c r="AB305" s="435"/>
      <c r="AC305" s="435" t="s">
        <v>965</v>
      </c>
      <c r="AD305" s="435"/>
      <c r="AE305" s="81"/>
      <c r="AF305" s="81"/>
      <c r="AG305" s="81"/>
      <c r="AH305" s="81"/>
      <c r="AI305" s="81"/>
    </row>
    <row r="306" spans="16:35">
      <c r="P306" s="81"/>
      <c r="Q306" s="81"/>
      <c r="R306" s="81"/>
      <c r="S306" s="435"/>
      <c r="T306" s="435"/>
      <c r="U306" s="81"/>
      <c r="V306" s="81"/>
      <c r="W306" s="81"/>
      <c r="X306" s="81"/>
      <c r="Y306" s="435"/>
      <c r="Z306" s="435"/>
      <c r="AA306" s="435"/>
      <c r="AB306" s="435"/>
      <c r="AC306" s="435" t="s">
        <v>965</v>
      </c>
      <c r="AD306" s="435"/>
      <c r="AE306" s="81"/>
      <c r="AF306" s="81"/>
      <c r="AG306" s="81"/>
      <c r="AH306" s="81"/>
      <c r="AI306" s="81"/>
    </row>
    <row r="307" spans="16:35">
      <c r="P307" s="81"/>
      <c r="Q307" s="81"/>
      <c r="R307" s="81"/>
      <c r="S307" s="435"/>
      <c r="T307" s="435"/>
      <c r="U307" s="81"/>
      <c r="V307" s="81"/>
      <c r="W307" s="81"/>
      <c r="X307" s="81"/>
      <c r="Y307" s="435"/>
      <c r="Z307" s="435"/>
      <c r="AA307" s="435"/>
      <c r="AB307" s="435"/>
      <c r="AC307" s="435" t="s">
        <v>965</v>
      </c>
      <c r="AD307" s="435"/>
      <c r="AE307" s="81"/>
      <c r="AF307" s="81"/>
      <c r="AG307" s="81"/>
      <c r="AH307" s="81"/>
      <c r="AI307" s="81"/>
    </row>
    <row r="308" spans="16:35">
      <c r="P308" s="81"/>
      <c r="Q308" s="81"/>
      <c r="R308" s="81"/>
      <c r="S308" s="435"/>
      <c r="T308" s="435"/>
      <c r="U308" s="81"/>
      <c r="V308" s="81"/>
      <c r="W308" s="81"/>
      <c r="X308" s="81"/>
      <c r="Y308" s="435"/>
      <c r="Z308" s="435"/>
      <c r="AA308" s="435"/>
      <c r="AB308" s="435"/>
      <c r="AC308" s="435" t="s">
        <v>965</v>
      </c>
      <c r="AD308" s="435"/>
      <c r="AE308" s="81"/>
      <c r="AF308" s="81"/>
      <c r="AG308" s="81"/>
      <c r="AH308" s="81"/>
      <c r="AI308" s="81"/>
    </row>
    <row r="309" spans="16:35">
      <c r="P309" s="81"/>
      <c r="Q309" s="81"/>
      <c r="R309" s="81"/>
      <c r="S309" s="435"/>
      <c r="T309" s="435"/>
      <c r="U309" s="81"/>
      <c r="V309" s="81"/>
      <c r="W309" s="81"/>
      <c r="X309" s="81"/>
      <c r="Y309" s="435"/>
      <c r="Z309" s="435"/>
      <c r="AA309" s="435"/>
      <c r="AB309" s="435"/>
      <c r="AC309" s="435" t="s">
        <v>965</v>
      </c>
      <c r="AD309" s="435"/>
      <c r="AE309" s="81"/>
      <c r="AF309" s="81"/>
      <c r="AG309" s="81"/>
      <c r="AH309" s="81"/>
      <c r="AI309" s="81"/>
    </row>
    <row r="310" spans="16:35">
      <c r="P310" s="81"/>
      <c r="Q310" s="81"/>
      <c r="R310" s="81"/>
      <c r="S310" s="435"/>
      <c r="T310" s="435"/>
      <c r="U310" s="81"/>
      <c r="V310" s="81"/>
      <c r="W310" s="81"/>
      <c r="X310" s="81"/>
      <c r="Y310" s="435"/>
      <c r="Z310" s="435"/>
      <c r="AA310" s="435"/>
      <c r="AB310" s="435"/>
      <c r="AC310" s="435" t="s">
        <v>965</v>
      </c>
      <c r="AD310" s="435"/>
      <c r="AE310" s="81"/>
      <c r="AF310" s="81"/>
      <c r="AG310" s="81"/>
      <c r="AH310" s="81"/>
      <c r="AI310" s="81"/>
    </row>
    <row r="311" spans="16:35">
      <c r="P311" s="81"/>
      <c r="Q311" s="81"/>
      <c r="R311" s="81"/>
      <c r="S311" s="435"/>
      <c r="T311" s="435"/>
      <c r="U311" s="81"/>
      <c r="V311" s="81"/>
      <c r="W311" s="81"/>
      <c r="X311" s="81"/>
      <c r="Y311" s="435"/>
      <c r="Z311" s="435"/>
      <c r="AA311" s="435"/>
      <c r="AB311" s="435"/>
      <c r="AC311" s="435" t="s">
        <v>965</v>
      </c>
      <c r="AD311" s="435"/>
      <c r="AE311" s="81"/>
      <c r="AF311" s="81"/>
      <c r="AG311" s="81"/>
      <c r="AH311" s="81"/>
      <c r="AI311" s="81"/>
    </row>
    <row r="312" spans="16:35">
      <c r="P312" s="81"/>
      <c r="Q312" s="81"/>
      <c r="R312" s="81"/>
      <c r="S312" s="435"/>
      <c r="T312" s="435"/>
      <c r="U312" s="81"/>
      <c r="V312" s="81"/>
      <c r="W312" s="81"/>
      <c r="X312" s="81"/>
      <c r="Y312" s="435"/>
      <c r="Z312" s="435"/>
      <c r="AA312" s="435"/>
      <c r="AB312" s="435"/>
      <c r="AC312" s="435" t="s">
        <v>965</v>
      </c>
      <c r="AD312" s="435"/>
      <c r="AE312" s="81"/>
      <c r="AF312" s="81"/>
      <c r="AG312" s="81"/>
      <c r="AH312" s="81"/>
      <c r="AI312" s="81"/>
    </row>
    <row r="313" spans="16:35">
      <c r="P313" s="81"/>
      <c r="Q313" s="81"/>
      <c r="R313" s="81"/>
      <c r="S313" s="435"/>
      <c r="T313" s="435"/>
      <c r="U313" s="81"/>
      <c r="V313" s="81"/>
      <c r="W313" s="81"/>
      <c r="X313" s="81"/>
      <c r="Y313" s="435"/>
      <c r="Z313" s="435"/>
      <c r="AA313" s="435"/>
      <c r="AB313" s="435"/>
      <c r="AC313" s="435" t="s">
        <v>965</v>
      </c>
      <c r="AD313" s="435"/>
      <c r="AE313" s="81"/>
      <c r="AF313" s="81"/>
      <c r="AG313" s="81"/>
      <c r="AH313" s="81"/>
      <c r="AI313" s="81"/>
    </row>
    <row r="314" spans="16:35">
      <c r="P314" s="81"/>
      <c r="Q314" s="81"/>
      <c r="R314" s="81"/>
      <c r="S314" s="435"/>
      <c r="T314" s="435"/>
      <c r="U314" s="81"/>
      <c r="V314" s="81"/>
      <c r="W314" s="81"/>
      <c r="X314" s="81"/>
      <c r="Y314" s="435"/>
      <c r="Z314" s="435"/>
      <c r="AA314" s="435"/>
      <c r="AB314" s="435"/>
      <c r="AC314" s="435" t="s">
        <v>965</v>
      </c>
      <c r="AD314" s="435"/>
      <c r="AE314" s="81"/>
      <c r="AF314" s="81"/>
      <c r="AG314" s="81"/>
      <c r="AH314" s="81"/>
      <c r="AI314" s="81"/>
    </row>
    <row r="315" spans="16:35">
      <c r="P315" s="81"/>
      <c r="Q315" s="81"/>
      <c r="R315" s="81"/>
      <c r="S315" s="435"/>
      <c r="T315" s="435"/>
      <c r="U315" s="81"/>
      <c r="V315" s="81"/>
      <c r="W315" s="81"/>
      <c r="X315" s="81"/>
      <c r="Y315" s="435"/>
      <c r="Z315" s="435"/>
      <c r="AA315" s="435"/>
      <c r="AB315" s="435"/>
      <c r="AC315" s="435" t="s">
        <v>965</v>
      </c>
      <c r="AD315" s="435"/>
      <c r="AE315" s="81"/>
      <c r="AF315" s="81"/>
      <c r="AG315" s="81"/>
      <c r="AH315" s="81"/>
      <c r="AI315" s="81"/>
    </row>
    <row r="316" spans="16:35">
      <c r="P316" s="81"/>
      <c r="Q316" s="81"/>
      <c r="R316" s="81"/>
      <c r="S316" s="435"/>
      <c r="T316" s="435"/>
      <c r="U316" s="81"/>
      <c r="V316" s="81"/>
      <c r="W316" s="81"/>
      <c r="X316" s="81"/>
      <c r="Y316" s="435"/>
      <c r="Z316" s="435"/>
      <c r="AA316" s="435"/>
      <c r="AB316" s="435"/>
      <c r="AC316" s="435" t="s">
        <v>965</v>
      </c>
      <c r="AD316" s="435"/>
      <c r="AE316" s="81"/>
      <c r="AF316" s="81"/>
      <c r="AG316" s="81"/>
      <c r="AH316" s="81"/>
      <c r="AI316" s="81"/>
    </row>
    <row r="317" spans="16:35">
      <c r="P317" s="81"/>
      <c r="Q317" s="81"/>
      <c r="R317" s="81"/>
      <c r="S317" s="435"/>
      <c r="T317" s="435"/>
      <c r="U317" s="81"/>
      <c r="V317" s="81"/>
      <c r="W317" s="81"/>
      <c r="X317" s="81"/>
      <c r="Y317" s="435"/>
      <c r="Z317" s="435"/>
      <c r="AA317" s="435"/>
      <c r="AB317" s="435"/>
      <c r="AC317" s="435" t="s">
        <v>965</v>
      </c>
      <c r="AD317" s="435"/>
      <c r="AE317" s="81"/>
      <c r="AF317" s="81"/>
      <c r="AG317" s="81"/>
      <c r="AH317" s="81"/>
      <c r="AI317" s="81"/>
    </row>
    <row r="318" spans="16:35">
      <c r="P318" s="81"/>
      <c r="Q318" s="81"/>
      <c r="R318" s="81"/>
      <c r="S318" s="435"/>
      <c r="T318" s="435"/>
      <c r="U318" s="81"/>
      <c r="V318" s="81"/>
      <c r="W318" s="81"/>
      <c r="X318" s="81"/>
      <c r="Y318" s="435"/>
      <c r="Z318" s="435"/>
      <c r="AA318" s="435"/>
      <c r="AB318" s="435"/>
      <c r="AC318" s="435" t="s">
        <v>965</v>
      </c>
      <c r="AD318" s="435"/>
      <c r="AE318" s="81"/>
      <c r="AF318" s="81"/>
      <c r="AG318" s="81"/>
      <c r="AH318" s="81"/>
      <c r="AI318" s="81"/>
    </row>
    <row r="319" spans="16:35">
      <c r="P319" s="81"/>
      <c r="Q319" s="81"/>
      <c r="R319" s="81"/>
      <c r="S319" s="435"/>
      <c r="T319" s="435"/>
      <c r="U319" s="81"/>
      <c r="V319" s="81"/>
      <c r="W319" s="81"/>
      <c r="X319" s="81"/>
      <c r="Y319" s="435"/>
      <c r="Z319" s="435"/>
      <c r="AA319" s="435"/>
      <c r="AB319" s="435"/>
      <c r="AC319" s="435" t="s">
        <v>965</v>
      </c>
      <c r="AD319" s="435"/>
      <c r="AE319" s="81"/>
      <c r="AF319" s="81"/>
      <c r="AG319" s="81"/>
      <c r="AH319" s="81"/>
      <c r="AI319" s="81"/>
    </row>
    <row r="320" spans="16:35">
      <c r="P320" s="81"/>
      <c r="Q320" s="81"/>
      <c r="R320" s="81"/>
      <c r="S320" s="435"/>
      <c r="T320" s="435"/>
      <c r="U320" s="81"/>
      <c r="V320" s="81"/>
      <c r="W320" s="81"/>
      <c r="X320" s="81"/>
      <c r="Y320" s="435"/>
      <c r="Z320" s="435"/>
      <c r="AA320" s="435"/>
      <c r="AB320" s="435"/>
      <c r="AC320" s="435" t="s">
        <v>965</v>
      </c>
      <c r="AD320" s="435"/>
      <c r="AE320" s="81"/>
      <c r="AF320" s="81"/>
      <c r="AG320" s="81"/>
      <c r="AH320" s="81"/>
      <c r="AI320" s="81"/>
    </row>
    <row r="321" spans="16:35">
      <c r="P321" s="81"/>
      <c r="Q321" s="81"/>
      <c r="R321" s="81"/>
      <c r="S321" s="435"/>
      <c r="T321" s="435"/>
      <c r="U321" s="81"/>
      <c r="V321" s="81"/>
      <c r="W321" s="81"/>
      <c r="X321" s="81"/>
      <c r="Y321" s="435"/>
      <c r="Z321" s="435"/>
      <c r="AA321" s="435"/>
      <c r="AB321" s="435"/>
      <c r="AC321" s="435" t="s">
        <v>965</v>
      </c>
      <c r="AD321" s="435"/>
      <c r="AE321" s="81"/>
      <c r="AF321" s="81"/>
      <c r="AG321" s="81"/>
      <c r="AH321" s="81"/>
      <c r="AI321" s="81"/>
    </row>
    <row r="322" spans="16:35">
      <c r="P322" s="81"/>
      <c r="Q322" s="81"/>
      <c r="R322" s="81"/>
      <c r="S322" s="435"/>
      <c r="T322" s="435"/>
      <c r="U322" s="81"/>
      <c r="V322" s="81"/>
      <c r="W322" s="81"/>
      <c r="X322" s="81"/>
      <c r="Y322" s="435"/>
      <c r="Z322" s="435"/>
      <c r="AA322" s="435"/>
      <c r="AB322" s="435"/>
      <c r="AC322" s="435" t="s">
        <v>965</v>
      </c>
      <c r="AD322" s="435"/>
      <c r="AE322" s="81"/>
      <c r="AF322" s="81"/>
      <c r="AG322" s="81"/>
      <c r="AH322" s="81"/>
      <c r="AI322" s="81"/>
    </row>
    <row r="323" spans="16:35">
      <c r="P323" s="81"/>
      <c r="Q323" s="81"/>
      <c r="R323" s="81"/>
      <c r="S323" s="435"/>
      <c r="T323" s="435"/>
      <c r="U323" s="81"/>
      <c r="V323" s="81"/>
      <c r="W323" s="81"/>
      <c r="X323" s="81"/>
      <c r="Y323" s="435"/>
      <c r="Z323" s="435"/>
      <c r="AA323" s="435"/>
      <c r="AB323" s="435"/>
      <c r="AC323" s="435" t="s">
        <v>965</v>
      </c>
      <c r="AD323" s="435"/>
      <c r="AE323" s="81"/>
      <c r="AF323" s="81"/>
      <c r="AG323" s="81"/>
      <c r="AH323" s="81"/>
      <c r="AI323" s="81"/>
    </row>
    <row r="324" spans="16:35">
      <c r="P324" s="81"/>
      <c r="Q324" s="81"/>
      <c r="R324" s="81"/>
      <c r="S324" s="435"/>
      <c r="T324" s="435"/>
      <c r="U324" s="81"/>
      <c r="V324" s="81"/>
      <c r="W324" s="81"/>
      <c r="X324" s="81"/>
      <c r="Y324" s="435"/>
      <c r="Z324" s="435"/>
      <c r="AA324" s="435"/>
      <c r="AB324" s="435"/>
      <c r="AC324" s="435" t="s">
        <v>965</v>
      </c>
      <c r="AD324" s="435"/>
      <c r="AE324" s="81"/>
      <c r="AF324" s="81"/>
      <c r="AG324" s="81"/>
      <c r="AH324" s="81"/>
      <c r="AI324" s="81"/>
    </row>
    <row r="325" spans="16:35">
      <c r="P325" s="81"/>
      <c r="Q325" s="81"/>
      <c r="R325" s="81"/>
      <c r="S325" s="435"/>
      <c r="T325" s="435"/>
      <c r="U325" s="81"/>
      <c r="V325" s="81"/>
      <c r="W325" s="81"/>
      <c r="X325" s="81"/>
      <c r="Y325" s="435"/>
      <c r="Z325" s="435"/>
      <c r="AA325" s="435"/>
      <c r="AB325" s="435"/>
      <c r="AC325" s="435" t="s">
        <v>965</v>
      </c>
      <c r="AD325" s="435"/>
      <c r="AE325" s="81"/>
      <c r="AF325" s="81"/>
      <c r="AG325" s="81"/>
      <c r="AH325" s="81"/>
      <c r="AI325" s="81"/>
    </row>
    <row r="326" spans="16:35">
      <c r="P326" s="81"/>
      <c r="Q326" s="81"/>
      <c r="R326" s="81"/>
      <c r="S326" s="435"/>
      <c r="T326" s="435"/>
      <c r="U326" s="81"/>
      <c r="V326" s="81"/>
      <c r="W326" s="81"/>
      <c r="X326" s="81"/>
      <c r="Y326" s="435"/>
      <c r="Z326" s="435"/>
      <c r="AA326" s="435"/>
      <c r="AB326" s="435"/>
      <c r="AC326" s="435" t="s">
        <v>965</v>
      </c>
      <c r="AD326" s="435"/>
      <c r="AE326" s="81"/>
      <c r="AF326" s="81"/>
      <c r="AG326" s="81"/>
      <c r="AH326" s="81"/>
      <c r="AI326" s="81"/>
    </row>
    <row r="327" spans="16:35">
      <c r="P327" s="81"/>
      <c r="Q327" s="81"/>
      <c r="R327" s="81"/>
      <c r="S327" s="435"/>
      <c r="T327" s="435"/>
      <c r="U327" s="81"/>
      <c r="V327" s="81"/>
      <c r="W327" s="81"/>
      <c r="X327" s="81"/>
      <c r="Y327" s="435"/>
      <c r="Z327" s="435"/>
      <c r="AA327" s="435"/>
      <c r="AB327" s="435"/>
      <c r="AC327" s="435" t="s">
        <v>965</v>
      </c>
      <c r="AD327" s="435"/>
      <c r="AE327" s="81"/>
      <c r="AF327" s="81"/>
      <c r="AG327" s="81"/>
      <c r="AH327" s="81"/>
      <c r="AI327" s="81"/>
    </row>
    <row r="328" spans="16:35">
      <c r="P328" s="81"/>
      <c r="Q328" s="81"/>
      <c r="R328" s="81"/>
      <c r="S328" s="435"/>
      <c r="T328" s="435"/>
      <c r="U328" s="81"/>
      <c r="V328" s="81"/>
      <c r="W328" s="81"/>
      <c r="X328" s="81"/>
      <c r="Y328" s="435"/>
      <c r="Z328" s="435"/>
      <c r="AA328" s="435"/>
      <c r="AB328" s="435"/>
      <c r="AC328" s="435" t="s">
        <v>965</v>
      </c>
      <c r="AD328" s="435"/>
      <c r="AE328" s="81"/>
      <c r="AF328" s="81"/>
      <c r="AG328" s="81"/>
      <c r="AH328" s="81"/>
      <c r="AI328" s="81"/>
    </row>
    <row r="329" spans="16:35">
      <c r="P329" s="81"/>
      <c r="Q329" s="81"/>
      <c r="R329" s="81"/>
      <c r="S329" s="435"/>
      <c r="T329" s="435"/>
      <c r="U329" s="81"/>
      <c r="V329" s="81"/>
      <c r="W329" s="81"/>
      <c r="X329" s="81"/>
      <c r="Y329" s="435"/>
      <c r="Z329" s="435"/>
      <c r="AA329" s="435"/>
      <c r="AB329" s="435"/>
      <c r="AC329" s="435" t="s">
        <v>965</v>
      </c>
      <c r="AD329" s="435"/>
      <c r="AE329" s="81"/>
      <c r="AF329" s="81"/>
      <c r="AG329" s="81"/>
      <c r="AH329" s="81"/>
      <c r="AI329" s="81"/>
    </row>
    <row r="330" spans="16:35">
      <c r="P330" s="81"/>
      <c r="Q330" s="81"/>
      <c r="R330" s="81"/>
      <c r="S330" s="435"/>
      <c r="T330" s="435"/>
      <c r="U330" s="81"/>
      <c r="V330" s="81"/>
      <c r="W330" s="81"/>
      <c r="X330" s="81"/>
      <c r="Y330" s="435"/>
      <c r="Z330" s="435"/>
      <c r="AA330" s="435"/>
      <c r="AB330" s="435"/>
      <c r="AC330" s="435" t="s">
        <v>965</v>
      </c>
      <c r="AD330" s="435"/>
      <c r="AE330" s="81"/>
      <c r="AF330" s="81"/>
      <c r="AG330" s="81"/>
      <c r="AH330" s="81"/>
      <c r="AI330" s="81"/>
    </row>
    <row r="331" spans="16:35">
      <c r="P331" s="81"/>
      <c r="Q331" s="81"/>
      <c r="R331" s="81"/>
      <c r="S331" s="435"/>
      <c r="T331" s="435"/>
      <c r="U331" s="81"/>
      <c r="V331" s="81"/>
      <c r="W331" s="81"/>
      <c r="X331" s="81"/>
      <c r="Y331" s="435"/>
      <c r="Z331" s="435"/>
      <c r="AA331" s="435"/>
      <c r="AB331" s="435"/>
      <c r="AC331" s="435" t="s">
        <v>965</v>
      </c>
      <c r="AD331" s="435"/>
      <c r="AE331" s="81"/>
      <c r="AF331" s="81"/>
      <c r="AG331" s="81"/>
      <c r="AH331" s="81"/>
      <c r="AI331" s="81"/>
    </row>
    <row r="332" spans="16:35">
      <c r="P332" s="81"/>
      <c r="Q332" s="81"/>
      <c r="R332" s="81"/>
      <c r="S332" s="435"/>
      <c r="T332" s="435"/>
      <c r="U332" s="81"/>
      <c r="V332" s="81"/>
      <c r="W332" s="81"/>
      <c r="X332" s="81"/>
      <c r="Y332" s="435"/>
      <c r="Z332" s="435"/>
      <c r="AA332" s="435"/>
      <c r="AB332" s="435"/>
      <c r="AC332" s="435" t="s">
        <v>965</v>
      </c>
      <c r="AD332" s="435"/>
      <c r="AE332" s="81"/>
      <c r="AF332" s="81"/>
      <c r="AG332" s="81"/>
      <c r="AH332" s="81"/>
      <c r="AI332" s="81"/>
    </row>
    <row r="333" spans="16:35">
      <c r="P333" s="81"/>
      <c r="Q333" s="81"/>
      <c r="R333" s="81"/>
      <c r="S333" s="435"/>
      <c r="T333" s="435"/>
      <c r="U333" s="81"/>
      <c r="V333" s="81"/>
      <c r="W333" s="81"/>
      <c r="X333" s="81"/>
      <c r="Y333" s="435"/>
      <c r="Z333" s="435"/>
      <c r="AA333" s="435"/>
      <c r="AB333" s="435"/>
      <c r="AC333" s="435" t="s">
        <v>965</v>
      </c>
      <c r="AD333" s="435"/>
      <c r="AE333" s="81"/>
      <c r="AF333" s="81"/>
      <c r="AG333" s="81"/>
      <c r="AH333" s="81"/>
      <c r="AI333" s="81"/>
    </row>
    <row r="334" spans="16:35">
      <c r="P334" s="81"/>
      <c r="Q334" s="81"/>
      <c r="R334" s="81"/>
      <c r="S334" s="435"/>
      <c r="T334" s="435"/>
      <c r="U334" s="81"/>
      <c r="V334" s="81"/>
      <c r="W334" s="81"/>
      <c r="X334" s="81"/>
      <c r="Y334" s="435"/>
      <c r="Z334" s="435"/>
      <c r="AA334" s="435"/>
      <c r="AB334" s="435"/>
      <c r="AC334" s="435" t="s">
        <v>965</v>
      </c>
      <c r="AD334" s="435"/>
      <c r="AE334" s="81"/>
      <c r="AF334" s="81"/>
      <c r="AG334" s="81"/>
      <c r="AH334" s="81"/>
      <c r="AI334" s="81"/>
    </row>
    <row r="335" spans="16:35">
      <c r="P335" s="81"/>
      <c r="Q335" s="81"/>
      <c r="R335" s="81"/>
      <c r="S335" s="435"/>
      <c r="T335" s="435"/>
      <c r="U335" s="81"/>
      <c r="V335" s="81"/>
      <c r="W335" s="81"/>
      <c r="X335" s="81"/>
      <c r="Y335" s="435"/>
      <c r="Z335" s="435"/>
      <c r="AA335" s="435"/>
      <c r="AB335" s="435"/>
      <c r="AC335" s="435" t="s">
        <v>965</v>
      </c>
      <c r="AD335" s="435"/>
      <c r="AE335" s="81"/>
      <c r="AF335" s="81"/>
      <c r="AG335" s="81"/>
      <c r="AH335" s="81"/>
      <c r="AI335" s="81"/>
    </row>
    <row r="336" spans="16:35">
      <c r="P336" s="81"/>
      <c r="Q336" s="81"/>
      <c r="R336" s="81"/>
      <c r="S336" s="435"/>
      <c r="T336" s="435"/>
      <c r="U336" s="81"/>
      <c r="V336" s="81"/>
      <c r="W336" s="81"/>
      <c r="X336" s="81"/>
      <c r="Y336" s="435"/>
      <c r="Z336" s="435"/>
      <c r="AA336" s="435"/>
      <c r="AB336" s="435"/>
      <c r="AC336" s="435" t="s">
        <v>965</v>
      </c>
      <c r="AD336" s="435"/>
      <c r="AE336" s="81"/>
      <c r="AF336" s="81"/>
      <c r="AG336" s="81"/>
      <c r="AH336" s="81"/>
      <c r="AI336" s="81"/>
    </row>
    <row r="337" spans="16:35">
      <c r="P337" s="81"/>
      <c r="Q337" s="81"/>
      <c r="R337" s="81"/>
      <c r="S337" s="435"/>
      <c r="T337" s="435"/>
      <c r="U337" s="81"/>
      <c r="V337" s="81"/>
      <c r="W337" s="81"/>
      <c r="X337" s="81"/>
      <c r="Y337" s="435"/>
      <c r="Z337" s="435"/>
      <c r="AA337" s="435"/>
      <c r="AB337" s="435"/>
      <c r="AC337" s="435" t="s">
        <v>965</v>
      </c>
      <c r="AD337" s="435"/>
      <c r="AE337" s="81"/>
      <c r="AF337" s="81"/>
      <c r="AG337" s="81"/>
      <c r="AH337" s="81"/>
      <c r="AI337" s="81"/>
    </row>
    <row r="338" spans="16:35">
      <c r="P338" s="81"/>
      <c r="Q338" s="81"/>
      <c r="R338" s="81"/>
      <c r="S338" s="435"/>
      <c r="T338" s="435"/>
      <c r="U338" s="81"/>
      <c r="V338" s="81"/>
      <c r="W338" s="81"/>
      <c r="X338" s="81"/>
      <c r="Y338" s="435"/>
      <c r="Z338" s="435"/>
      <c r="AA338" s="435"/>
      <c r="AB338" s="435"/>
      <c r="AC338" s="435" t="s">
        <v>965</v>
      </c>
      <c r="AD338" s="435"/>
      <c r="AE338" s="81"/>
      <c r="AF338" s="81"/>
      <c r="AG338" s="81"/>
      <c r="AH338" s="81"/>
      <c r="AI338" s="81"/>
    </row>
    <row r="339" spans="16:35">
      <c r="P339" s="81"/>
      <c r="Q339" s="81"/>
      <c r="R339" s="81"/>
      <c r="S339" s="435"/>
      <c r="T339" s="435"/>
      <c r="U339" s="81"/>
      <c r="V339" s="81"/>
      <c r="W339" s="81"/>
      <c r="X339" s="81"/>
      <c r="Y339" s="435"/>
      <c r="Z339" s="435"/>
      <c r="AA339" s="435"/>
      <c r="AB339" s="435"/>
      <c r="AC339" s="435" t="s">
        <v>965</v>
      </c>
      <c r="AD339" s="435"/>
      <c r="AE339" s="81"/>
      <c r="AF339" s="81"/>
      <c r="AG339" s="81"/>
      <c r="AH339" s="81"/>
      <c r="AI339" s="81"/>
    </row>
    <row r="340" spans="16:35">
      <c r="P340" s="81"/>
      <c r="Q340" s="81"/>
      <c r="R340" s="81"/>
      <c r="S340" s="435"/>
      <c r="T340" s="435"/>
      <c r="U340" s="81"/>
      <c r="V340" s="81"/>
      <c r="W340" s="81"/>
      <c r="X340" s="81"/>
      <c r="Y340" s="435"/>
      <c r="Z340" s="435"/>
      <c r="AA340" s="435"/>
      <c r="AB340" s="435"/>
      <c r="AC340" s="435" t="s">
        <v>965</v>
      </c>
      <c r="AD340" s="435"/>
      <c r="AE340" s="81"/>
      <c r="AF340" s="81"/>
      <c r="AG340" s="81"/>
      <c r="AH340" s="81"/>
      <c r="AI340" s="81"/>
    </row>
    <row r="341" spans="16:35">
      <c r="P341" s="81"/>
      <c r="Q341" s="81"/>
      <c r="R341" s="81"/>
      <c r="S341" s="435"/>
      <c r="T341" s="435"/>
      <c r="U341" s="81"/>
      <c r="V341" s="81"/>
      <c r="W341" s="81"/>
      <c r="X341" s="81"/>
      <c r="Y341" s="435"/>
      <c r="Z341" s="435"/>
      <c r="AA341" s="435"/>
      <c r="AB341" s="435"/>
      <c r="AC341" s="435" t="s">
        <v>965</v>
      </c>
      <c r="AD341" s="435"/>
      <c r="AE341" s="81"/>
      <c r="AF341" s="81"/>
      <c r="AG341" s="81"/>
      <c r="AH341" s="81"/>
      <c r="AI341" s="81"/>
    </row>
    <row r="342" spans="16:35">
      <c r="P342" s="81"/>
      <c r="Q342" s="81"/>
      <c r="R342" s="81"/>
      <c r="S342" s="435"/>
      <c r="T342" s="435"/>
      <c r="U342" s="81"/>
      <c r="V342" s="81"/>
      <c r="W342" s="81"/>
      <c r="X342" s="81"/>
      <c r="Y342" s="435"/>
      <c r="Z342" s="435"/>
      <c r="AA342" s="435"/>
      <c r="AB342" s="435"/>
      <c r="AC342" s="435" t="s">
        <v>965</v>
      </c>
      <c r="AD342" s="435"/>
      <c r="AE342" s="81"/>
      <c r="AF342" s="81"/>
      <c r="AG342" s="81"/>
      <c r="AH342" s="81"/>
      <c r="AI342" s="81"/>
    </row>
    <row r="343" spans="16:35">
      <c r="P343" s="81"/>
      <c r="Q343" s="81"/>
      <c r="R343" s="81"/>
      <c r="S343" s="435"/>
      <c r="T343" s="435"/>
      <c r="U343" s="81"/>
      <c r="V343" s="81"/>
      <c r="W343" s="81"/>
      <c r="X343" s="81"/>
      <c r="Y343" s="435"/>
      <c r="Z343" s="435"/>
      <c r="AA343" s="435"/>
      <c r="AB343" s="435"/>
      <c r="AC343" s="435" t="s">
        <v>965</v>
      </c>
      <c r="AD343" s="435"/>
      <c r="AE343" s="81"/>
      <c r="AF343" s="81"/>
      <c r="AG343" s="81"/>
      <c r="AH343" s="81"/>
      <c r="AI343" s="81"/>
    </row>
    <row r="344" spans="16:35">
      <c r="P344" s="81"/>
      <c r="Q344" s="81"/>
      <c r="R344" s="81"/>
      <c r="S344" s="435"/>
      <c r="T344" s="435"/>
      <c r="U344" s="81"/>
      <c r="V344" s="81"/>
      <c r="W344" s="81"/>
      <c r="X344" s="81"/>
      <c r="Y344" s="435"/>
      <c r="Z344" s="435"/>
      <c r="AA344" s="435"/>
      <c r="AB344" s="435"/>
      <c r="AC344" s="435" t="s">
        <v>965</v>
      </c>
      <c r="AD344" s="435"/>
      <c r="AE344" s="81"/>
      <c r="AF344" s="81"/>
      <c r="AG344" s="81"/>
      <c r="AH344" s="81"/>
      <c r="AI344" s="81"/>
    </row>
    <row r="345" spans="16:35">
      <c r="P345" s="81"/>
      <c r="Q345" s="81"/>
      <c r="R345" s="81"/>
      <c r="S345" s="435"/>
      <c r="T345" s="435"/>
      <c r="U345" s="81"/>
      <c r="V345" s="81"/>
      <c r="W345" s="81"/>
      <c r="X345" s="81"/>
      <c r="Y345" s="435"/>
      <c r="Z345" s="435"/>
      <c r="AA345" s="435"/>
      <c r="AB345" s="435"/>
      <c r="AC345" s="435" t="s">
        <v>965</v>
      </c>
      <c r="AD345" s="435"/>
      <c r="AE345" s="81"/>
      <c r="AF345" s="81"/>
      <c r="AG345" s="81"/>
      <c r="AH345" s="81"/>
      <c r="AI345" s="81"/>
    </row>
    <row r="346" spans="16:35">
      <c r="P346" s="81"/>
      <c r="Q346" s="81"/>
      <c r="R346" s="81"/>
      <c r="S346" s="435"/>
      <c r="T346" s="435"/>
      <c r="U346" s="81"/>
      <c r="V346" s="81"/>
      <c r="W346" s="81"/>
      <c r="X346" s="81"/>
      <c r="Y346" s="435"/>
      <c r="Z346" s="435"/>
      <c r="AA346" s="435"/>
      <c r="AB346" s="435"/>
      <c r="AC346" s="435" t="s">
        <v>965</v>
      </c>
      <c r="AD346" s="435"/>
      <c r="AE346" s="81"/>
      <c r="AF346" s="81"/>
      <c r="AG346" s="81"/>
      <c r="AH346" s="81"/>
      <c r="AI346" s="81"/>
    </row>
    <row r="347" spans="16:35">
      <c r="P347" s="81"/>
      <c r="Q347" s="81"/>
      <c r="R347" s="81"/>
      <c r="S347" s="435"/>
      <c r="T347" s="435"/>
      <c r="U347" s="81"/>
      <c r="V347" s="81"/>
      <c r="W347" s="81"/>
      <c r="X347" s="81"/>
      <c r="Y347" s="435"/>
      <c r="Z347" s="435"/>
      <c r="AA347" s="435"/>
      <c r="AB347" s="435"/>
      <c r="AC347" s="435" t="s">
        <v>965</v>
      </c>
      <c r="AD347" s="435"/>
      <c r="AE347" s="81"/>
      <c r="AF347" s="81"/>
      <c r="AG347" s="81"/>
      <c r="AH347" s="81"/>
      <c r="AI347" s="81"/>
    </row>
    <row r="348" spans="16:35">
      <c r="P348" s="81"/>
      <c r="Q348" s="81"/>
      <c r="R348" s="81"/>
      <c r="S348" s="435"/>
      <c r="T348" s="435"/>
      <c r="U348" s="81"/>
      <c r="V348" s="81"/>
      <c r="W348" s="81"/>
      <c r="X348" s="81"/>
      <c r="Y348" s="435"/>
      <c r="Z348" s="435"/>
      <c r="AA348" s="435"/>
      <c r="AB348" s="435"/>
      <c r="AC348" s="435" t="s">
        <v>965</v>
      </c>
      <c r="AD348" s="435"/>
      <c r="AE348" s="81"/>
      <c r="AF348" s="81"/>
      <c r="AG348" s="81"/>
      <c r="AH348" s="81"/>
      <c r="AI348" s="81"/>
    </row>
    <row r="349" spans="16:35">
      <c r="P349" s="81"/>
      <c r="Q349" s="81"/>
      <c r="R349" s="81"/>
      <c r="S349" s="435"/>
      <c r="T349" s="435"/>
      <c r="U349" s="81"/>
      <c r="V349" s="81"/>
      <c r="W349" s="81"/>
      <c r="X349" s="81"/>
      <c r="Y349" s="435"/>
      <c r="Z349" s="435"/>
      <c r="AA349" s="435"/>
      <c r="AB349" s="435"/>
      <c r="AC349" s="435" t="s">
        <v>965</v>
      </c>
      <c r="AD349" s="435"/>
      <c r="AE349" s="81"/>
      <c r="AF349" s="81"/>
      <c r="AG349" s="81"/>
      <c r="AH349" s="81"/>
      <c r="AI349" s="81"/>
    </row>
    <row r="350" spans="16:35">
      <c r="P350" s="81"/>
      <c r="Q350" s="81"/>
      <c r="R350" s="81"/>
      <c r="S350" s="435"/>
      <c r="T350" s="435"/>
      <c r="U350" s="81"/>
      <c r="V350" s="81"/>
      <c r="W350" s="81"/>
      <c r="X350" s="81"/>
      <c r="Y350" s="435"/>
      <c r="Z350" s="435"/>
      <c r="AA350" s="435"/>
      <c r="AB350" s="435"/>
      <c r="AC350" s="435" t="s">
        <v>965</v>
      </c>
      <c r="AD350" s="435"/>
      <c r="AE350" s="81"/>
      <c r="AF350" s="81"/>
      <c r="AG350" s="81"/>
      <c r="AH350" s="81"/>
      <c r="AI350" s="81"/>
    </row>
    <row r="351" spans="16:35">
      <c r="P351" s="81"/>
      <c r="Q351" s="81"/>
      <c r="R351" s="81"/>
      <c r="S351" s="435"/>
      <c r="T351" s="435"/>
      <c r="U351" s="81"/>
      <c r="V351" s="81"/>
      <c r="W351" s="81"/>
      <c r="X351" s="81"/>
      <c r="Y351" s="435"/>
      <c r="Z351" s="435"/>
      <c r="AA351" s="435"/>
      <c r="AB351" s="435"/>
      <c r="AC351" s="435" t="s">
        <v>965</v>
      </c>
      <c r="AD351" s="435"/>
      <c r="AE351" s="81"/>
      <c r="AF351" s="81"/>
      <c r="AG351" s="81"/>
      <c r="AH351" s="81"/>
      <c r="AI351" s="81"/>
    </row>
    <row r="352" spans="16:35">
      <c r="P352" s="81"/>
      <c r="Q352" s="81"/>
      <c r="R352" s="81"/>
      <c r="S352" s="435"/>
      <c r="T352" s="435"/>
      <c r="U352" s="81"/>
      <c r="V352" s="81"/>
      <c r="W352" s="81"/>
      <c r="X352" s="81"/>
      <c r="Y352" s="435"/>
      <c r="Z352" s="435"/>
      <c r="AA352" s="435"/>
      <c r="AB352" s="435"/>
      <c r="AC352" s="435" t="s">
        <v>965</v>
      </c>
      <c r="AD352" s="435"/>
      <c r="AE352" s="81"/>
      <c r="AF352" s="81"/>
      <c r="AG352" s="81"/>
      <c r="AH352" s="81"/>
      <c r="AI352" s="81"/>
    </row>
    <row r="353" spans="1:35">
      <c r="P353" s="81"/>
      <c r="Q353" s="81"/>
      <c r="R353" s="81"/>
      <c r="S353" s="435"/>
      <c r="T353" s="435"/>
      <c r="U353" s="81"/>
      <c r="V353" s="81"/>
      <c r="W353" s="81"/>
      <c r="X353" s="81"/>
      <c r="Y353" s="435"/>
      <c r="Z353" s="435"/>
      <c r="AA353" s="435"/>
      <c r="AB353" s="435"/>
      <c r="AC353" s="435" t="s">
        <v>965</v>
      </c>
      <c r="AD353" s="435"/>
      <c r="AE353" s="81"/>
      <c r="AF353" s="81"/>
      <c r="AG353" s="81"/>
      <c r="AH353" s="81"/>
      <c r="AI353" s="81"/>
    </row>
    <row r="354" spans="1:35">
      <c r="P354" s="81"/>
      <c r="Q354" s="81"/>
      <c r="R354" s="81"/>
      <c r="S354" s="435"/>
      <c r="T354" s="435"/>
      <c r="U354" s="81"/>
      <c r="V354" s="81"/>
      <c r="W354" s="81"/>
      <c r="X354" s="81"/>
      <c r="Y354" s="435"/>
      <c r="Z354" s="435"/>
      <c r="AA354" s="435"/>
      <c r="AB354" s="435"/>
      <c r="AC354" s="435" t="s">
        <v>965</v>
      </c>
      <c r="AD354" s="435"/>
      <c r="AE354" s="81"/>
      <c r="AF354" s="81"/>
      <c r="AG354" s="81"/>
      <c r="AH354" s="81"/>
      <c r="AI354" s="81"/>
    </row>
    <row r="355" spans="1:35">
      <c r="P355" s="81"/>
      <c r="Q355" s="81"/>
      <c r="R355" s="81"/>
      <c r="S355" s="435"/>
      <c r="T355" s="435"/>
      <c r="U355" s="81"/>
      <c r="V355" s="81"/>
      <c r="W355" s="81"/>
      <c r="X355" s="81"/>
      <c r="Y355" s="435"/>
      <c r="Z355" s="435"/>
      <c r="AA355" s="435"/>
      <c r="AB355" s="435"/>
      <c r="AC355" s="435" t="s">
        <v>965</v>
      </c>
      <c r="AD355" s="435"/>
      <c r="AE355" s="81"/>
      <c r="AF355" s="81"/>
      <c r="AG355" s="81"/>
      <c r="AH355" s="81"/>
      <c r="AI355" s="81"/>
    </row>
    <row r="356" spans="1:35">
      <c r="P356" s="81"/>
      <c r="Q356" s="81"/>
      <c r="R356" s="81"/>
      <c r="S356" s="435"/>
      <c r="T356" s="435"/>
      <c r="U356" s="81"/>
      <c r="V356" s="81"/>
      <c r="W356" s="81"/>
      <c r="X356" s="81"/>
      <c r="Y356" s="435"/>
      <c r="Z356" s="435"/>
      <c r="AA356" s="435"/>
      <c r="AB356" s="435"/>
      <c r="AC356" s="435" t="s">
        <v>965</v>
      </c>
      <c r="AD356" s="435"/>
      <c r="AE356" s="81"/>
      <c r="AF356" s="81"/>
      <c r="AG356" s="81"/>
      <c r="AH356" s="81"/>
      <c r="AI356" s="81"/>
    </row>
    <row r="357" spans="1:35">
      <c r="P357" s="81"/>
      <c r="Q357" s="81"/>
      <c r="R357" s="81"/>
      <c r="S357" s="435"/>
      <c r="T357" s="435"/>
      <c r="U357" s="81"/>
      <c r="V357" s="81"/>
      <c r="W357" s="81"/>
      <c r="X357" s="81"/>
      <c r="Y357" s="435"/>
      <c r="Z357" s="435"/>
      <c r="AA357" s="435"/>
      <c r="AB357" s="435"/>
      <c r="AC357" s="435" t="s">
        <v>965</v>
      </c>
      <c r="AD357" s="435"/>
      <c r="AE357" s="81"/>
      <c r="AF357" s="81"/>
      <c r="AG357" s="81"/>
      <c r="AH357" s="81"/>
      <c r="AI357" s="81"/>
    </row>
    <row r="358" spans="1:35">
      <c r="P358" s="81"/>
      <c r="Q358" s="81"/>
      <c r="R358" s="81"/>
      <c r="S358" s="435"/>
      <c r="T358" s="435"/>
      <c r="U358" s="81"/>
      <c r="V358" s="81"/>
      <c r="W358" s="81"/>
      <c r="X358" s="81"/>
      <c r="Y358" s="435"/>
      <c r="Z358" s="435"/>
      <c r="AA358" s="435"/>
      <c r="AB358" s="435"/>
      <c r="AC358" s="435" t="s">
        <v>965</v>
      </c>
      <c r="AD358" s="435"/>
      <c r="AE358" s="81"/>
      <c r="AF358" s="81"/>
      <c r="AG358" s="81"/>
      <c r="AH358" s="81"/>
      <c r="AI358" s="81"/>
    </row>
    <row r="359" spans="1:35">
      <c r="P359" s="81"/>
      <c r="Q359" s="81"/>
      <c r="R359" s="81"/>
      <c r="S359" s="435"/>
      <c r="T359" s="435"/>
      <c r="U359" s="81"/>
      <c r="V359" s="81"/>
      <c r="W359" s="81"/>
      <c r="X359" s="81"/>
      <c r="Y359" s="435"/>
      <c r="Z359" s="435"/>
      <c r="AA359" s="435"/>
      <c r="AB359" s="435"/>
      <c r="AC359" s="435" t="s">
        <v>965</v>
      </c>
      <c r="AD359" s="435"/>
      <c r="AE359" s="81"/>
      <c r="AF359" s="81"/>
      <c r="AG359" s="81"/>
      <c r="AH359" s="81"/>
      <c r="AI359" s="81"/>
    </row>
    <row r="360" spans="1:35">
      <c r="P360" s="81"/>
      <c r="Q360" s="81"/>
      <c r="R360" s="81"/>
      <c r="S360" s="435"/>
      <c r="T360" s="435"/>
      <c r="U360" s="81"/>
      <c r="V360" s="81"/>
      <c r="W360" s="81"/>
      <c r="X360" s="81"/>
      <c r="Y360" s="435"/>
      <c r="Z360" s="435"/>
      <c r="AA360" s="435"/>
      <c r="AB360" s="435"/>
      <c r="AC360" s="435" t="s">
        <v>965</v>
      </c>
      <c r="AD360" s="435"/>
      <c r="AE360" s="81"/>
      <c r="AF360" s="81"/>
      <c r="AG360" s="81"/>
      <c r="AH360" s="81"/>
      <c r="AI360" s="81"/>
    </row>
    <row r="361" spans="1:35">
      <c r="P361" s="81"/>
      <c r="Q361" s="81"/>
      <c r="R361" s="81"/>
      <c r="S361" s="435"/>
      <c r="T361" s="435"/>
      <c r="U361" s="81"/>
      <c r="V361" s="81"/>
      <c r="W361" s="81"/>
      <c r="X361" s="81"/>
      <c r="Y361" s="435"/>
      <c r="Z361" s="435"/>
      <c r="AA361" s="435"/>
      <c r="AB361" s="435"/>
      <c r="AC361" s="435" t="s">
        <v>965</v>
      </c>
      <c r="AD361" s="435"/>
      <c r="AE361" s="81"/>
      <c r="AF361" s="81"/>
      <c r="AG361" s="81"/>
      <c r="AH361" s="81"/>
      <c r="AI361" s="81"/>
    </row>
    <row r="362" spans="1:35">
      <c r="P362" s="81"/>
      <c r="Q362" s="81"/>
      <c r="R362" s="81"/>
      <c r="S362" s="435"/>
      <c r="T362" s="435"/>
      <c r="U362" s="81"/>
      <c r="V362" s="81"/>
      <c r="W362" s="81"/>
      <c r="X362" s="81"/>
      <c r="Y362" s="435"/>
      <c r="Z362" s="435"/>
      <c r="AA362" s="435"/>
      <c r="AB362" s="435"/>
      <c r="AC362" s="435" t="s">
        <v>965</v>
      </c>
      <c r="AD362" s="435"/>
      <c r="AE362" s="81"/>
      <c r="AF362" s="81"/>
      <c r="AG362" s="81"/>
      <c r="AH362" s="81"/>
      <c r="AI362" s="81"/>
    </row>
    <row r="363" spans="1:35">
      <c r="P363" s="81"/>
      <c r="Q363" s="81"/>
      <c r="R363" s="81"/>
      <c r="S363" s="435"/>
      <c r="T363" s="435"/>
      <c r="U363" s="81"/>
      <c r="V363" s="81"/>
      <c r="W363" s="81"/>
      <c r="X363" s="81"/>
      <c r="Y363" s="435"/>
      <c r="Z363" s="435"/>
      <c r="AA363" s="435"/>
      <c r="AB363" s="435"/>
      <c r="AC363" s="435" t="s">
        <v>965</v>
      </c>
      <c r="AD363" s="435"/>
      <c r="AE363" s="81"/>
      <c r="AF363" s="81"/>
      <c r="AG363" s="81"/>
      <c r="AH363" s="81"/>
      <c r="AI363" s="81"/>
    </row>
    <row r="365" spans="1:35" s="1" customFormat="1">
      <c r="A365" s="66"/>
      <c r="B365" s="78" t="s">
        <v>2752</v>
      </c>
      <c r="P365" s="115"/>
      <c r="Q365" s="115"/>
    </row>
    <row r="367" spans="1:35">
      <c r="P367" s="81"/>
      <c r="Q367" s="81"/>
      <c r="R367" s="81"/>
      <c r="S367" s="435"/>
      <c r="T367" s="435"/>
      <c r="U367" s="81"/>
      <c r="V367" s="81"/>
      <c r="W367" s="81"/>
      <c r="X367" s="81"/>
      <c r="Y367" s="435"/>
      <c r="Z367" s="435"/>
      <c r="AA367" s="435"/>
      <c r="AB367" s="435"/>
      <c r="AC367" s="435" t="s">
        <v>965</v>
      </c>
      <c r="AD367" s="435"/>
      <c r="AE367" s="81"/>
      <c r="AF367" s="81"/>
      <c r="AG367" s="81"/>
      <c r="AH367" s="81"/>
      <c r="AI367" s="81"/>
    </row>
    <row r="368" spans="1:35">
      <c r="P368" s="81"/>
      <c r="Q368" s="81"/>
      <c r="R368" s="81"/>
      <c r="S368" s="435"/>
      <c r="T368" s="435"/>
      <c r="U368" s="81"/>
      <c r="V368" s="81"/>
      <c r="W368" s="81"/>
      <c r="X368" s="81"/>
      <c r="Y368" s="435"/>
      <c r="Z368" s="435"/>
      <c r="AA368" s="435"/>
      <c r="AB368" s="435"/>
      <c r="AC368" s="435" t="s">
        <v>965</v>
      </c>
      <c r="AD368" s="435"/>
      <c r="AE368" s="81"/>
      <c r="AF368" s="81"/>
      <c r="AG368" s="81"/>
      <c r="AH368" s="81"/>
      <c r="AI368" s="81"/>
    </row>
    <row r="369" spans="16:35">
      <c r="P369" s="81"/>
      <c r="Q369" s="81"/>
      <c r="R369" s="81"/>
      <c r="S369" s="435"/>
      <c r="T369" s="435"/>
      <c r="U369" s="81"/>
      <c r="V369" s="81"/>
      <c r="W369" s="81"/>
      <c r="X369" s="81"/>
      <c r="Y369" s="435"/>
      <c r="Z369" s="435"/>
      <c r="AA369" s="435"/>
      <c r="AB369" s="435"/>
      <c r="AC369" s="435" t="s">
        <v>965</v>
      </c>
      <c r="AD369" s="435"/>
      <c r="AE369" s="81"/>
      <c r="AF369" s="81"/>
      <c r="AG369" s="81"/>
      <c r="AH369" s="81"/>
      <c r="AI369" s="81"/>
    </row>
    <row r="370" spans="16:35">
      <c r="P370" s="81"/>
      <c r="Q370" s="81"/>
      <c r="R370" s="81"/>
      <c r="S370" s="435"/>
      <c r="T370" s="435"/>
      <c r="U370" s="81"/>
      <c r="V370" s="81"/>
      <c r="W370" s="81"/>
      <c r="X370" s="81"/>
      <c r="Y370" s="435"/>
      <c r="Z370" s="435"/>
      <c r="AA370" s="435"/>
      <c r="AB370" s="435"/>
      <c r="AC370" s="435" t="s">
        <v>965</v>
      </c>
      <c r="AD370" s="435"/>
      <c r="AE370" s="81"/>
      <c r="AF370" s="81"/>
      <c r="AG370" s="81"/>
      <c r="AH370" s="81"/>
      <c r="AI370" s="81"/>
    </row>
    <row r="371" spans="16:35">
      <c r="P371" s="81"/>
      <c r="Q371" s="81"/>
      <c r="R371" s="81"/>
      <c r="S371" s="435"/>
      <c r="T371" s="435"/>
      <c r="U371" s="81"/>
      <c r="V371" s="81"/>
      <c r="W371" s="81"/>
      <c r="X371" s="81"/>
      <c r="Y371" s="435"/>
      <c r="Z371" s="435"/>
      <c r="AA371" s="435"/>
      <c r="AB371" s="435"/>
      <c r="AC371" s="435" t="s">
        <v>965</v>
      </c>
      <c r="AD371" s="435"/>
      <c r="AE371" s="81"/>
      <c r="AF371" s="81"/>
      <c r="AG371" s="81"/>
      <c r="AH371" s="81"/>
      <c r="AI371" s="81"/>
    </row>
    <row r="372" spans="16:35">
      <c r="P372" s="81"/>
      <c r="Q372" s="81"/>
      <c r="R372" s="81"/>
      <c r="S372" s="435"/>
      <c r="T372" s="435"/>
      <c r="U372" s="81"/>
      <c r="V372" s="81"/>
      <c r="W372" s="81"/>
      <c r="X372" s="81"/>
      <c r="Y372" s="435"/>
      <c r="Z372" s="435"/>
      <c r="AA372" s="435"/>
      <c r="AB372" s="435"/>
      <c r="AC372" s="435" t="s">
        <v>965</v>
      </c>
      <c r="AD372" s="435"/>
      <c r="AE372" s="81"/>
      <c r="AF372" s="81"/>
      <c r="AG372" s="81"/>
      <c r="AH372" s="81"/>
      <c r="AI372" s="81"/>
    </row>
    <row r="373" spans="16:35">
      <c r="P373" s="81"/>
      <c r="Q373" s="81"/>
      <c r="R373" s="81"/>
      <c r="S373" s="435"/>
      <c r="T373" s="435"/>
      <c r="U373" s="81"/>
      <c r="V373" s="81"/>
      <c r="W373" s="81"/>
      <c r="X373" s="81"/>
      <c r="Y373" s="435"/>
      <c r="Z373" s="435"/>
      <c r="AA373" s="435"/>
      <c r="AB373" s="435"/>
      <c r="AC373" s="435" t="s">
        <v>965</v>
      </c>
      <c r="AD373" s="435"/>
      <c r="AE373" s="81"/>
      <c r="AF373" s="81"/>
      <c r="AG373" s="81"/>
      <c r="AH373" s="81"/>
      <c r="AI373" s="81"/>
    </row>
    <row r="374" spans="16:35">
      <c r="P374" s="81"/>
      <c r="Q374" s="81"/>
      <c r="R374" s="81"/>
      <c r="S374" s="435"/>
      <c r="T374" s="435"/>
      <c r="U374" s="81"/>
      <c r="V374" s="81"/>
      <c r="W374" s="81"/>
      <c r="X374" s="81"/>
      <c r="Y374" s="435"/>
      <c r="Z374" s="435"/>
      <c r="AA374" s="435"/>
      <c r="AB374" s="435"/>
      <c r="AC374" s="435" t="s">
        <v>965</v>
      </c>
      <c r="AD374" s="435"/>
      <c r="AE374" s="81"/>
      <c r="AF374" s="81"/>
      <c r="AG374" s="81"/>
      <c r="AH374" s="81"/>
      <c r="AI374" s="81"/>
    </row>
    <row r="375" spans="16:35">
      <c r="P375" s="81"/>
      <c r="Q375" s="81"/>
      <c r="R375" s="81"/>
      <c r="S375" s="435"/>
      <c r="T375" s="435"/>
      <c r="U375" s="81"/>
      <c r="V375" s="81"/>
      <c r="W375" s="81"/>
      <c r="X375" s="81"/>
      <c r="Y375" s="435"/>
      <c r="Z375" s="435"/>
      <c r="AA375" s="435"/>
      <c r="AB375" s="435"/>
      <c r="AC375" s="435" t="s">
        <v>965</v>
      </c>
      <c r="AD375" s="435"/>
      <c r="AE375" s="81"/>
      <c r="AF375" s="81"/>
      <c r="AG375" s="81"/>
      <c r="AH375" s="81"/>
      <c r="AI375" s="81"/>
    </row>
    <row r="376" spans="16:35">
      <c r="P376" s="81"/>
      <c r="Q376" s="81"/>
      <c r="R376" s="81"/>
      <c r="S376" s="435"/>
      <c r="T376" s="435"/>
      <c r="U376" s="81"/>
      <c r="V376" s="81"/>
      <c r="W376" s="81"/>
      <c r="X376" s="81"/>
      <c r="Y376" s="435"/>
      <c r="Z376" s="435"/>
      <c r="AA376" s="435"/>
      <c r="AB376" s="435"/>
      <c r="AC376" s="435" t="s">
        <v>965</v>
      </c>
      <c r="AD376" s="435"/>
      <c r="AE376" s="81"/>
      <c r="AF376" s="81"/>
      <c r="AG376" s="81"/>
      <c r="AH376" s="81"/>
      <c r="AI376" s="81"/>
    </row>
    <row r="377" spans="16:35">
      <c r="P377" s="81"/>
      <c r="Q377" s="81"/>
      <c r="R377" s="81"/>
      <c r="S377" s="435"/>
      <c r="T377" s="435"/>
      <c r="U377" s="81"/>
      <c r="V377" s="81"/>
      <c r="W377" s="81"/>
      <c r="X377" s="81"/>
      <c r="Y377" s="435"/>
      <c r="Z377" s="435"/>
      <c r="AA377" s="435"/>
      <c r="AB377" s="435"/>
      <c r="AC377" s="435" t="s">
        <v>965</v>
      </c>
      <c r="AD377" s="435"/>
      <c r="AE377" s="81"/>
      <c r="AF377" s="81"/>
      <c r="AG377" s="81"/>
      <c r="AH377" s="81"/>
      <c r="AI377" s="81"/>
    </row>
    <row r="378" spans="16:35">
      <c r="P378" s="81"/>
      <c r="Q378" s="81"/>
      <c r="R378" s="81"/>
      <c r="S378" s="435"/>
      <c r="T378" s="435"/>
      <c r="U378" s="81"/>
      <c r="V378" s="81"/>
      <c r="W378" s="81"/>
      <c r="X378" s="81"/>
      <c r="Y378" s="435"/>
      <c r="Z378" s="435"/>
      <c r="AA378" s="435"/>
      <c r="AB378" s="435"/>
      <c r="AC378" s="435" t="s">
        <v>965</v>
      </c>
      <c r="AD378" s="435"/>
      <c r="AE378" s="81"/>
      <c r="AF378" s="81"/>
      <c r="AG378" s="81"/>
      <c r="AH378" s="81"/>
      <c r="AI378" s="81"/>
    </row>
    <row r="379" spans="16:35">
      <c r="P379" s="81"/>
      <c r="Q379" s="81"/>
      <c r="R379" s="81"/>
      <c r="S379" s="435"/>
      <c r="T379" s="435"/>
      <c r="U379" s="81"/>
      <c r="V379" s="81"/>
      <c r="W379" s="81"/>
      <c r="X379" s="81"/>
      <c r="Y379" s="435"/>
      <c r="Z379" s="435"/>
      <c r="AA379" s="435"/>
      <c r="AB379" s="435"/>
      <c r="AC379" s="435" t="s">
        <v>965</v>
      </c>
      <c r="AD379" s="435"/>
      <c r="AE379" s="81"/>
      <c r="AF379" s="81"/>
      <c r="AG379" s="81"/>
      <c r="AH379" s="81"/>
      <c r="AI379" s="81"/>
    </row>
    <row r="380" spans="16:35">
      <c r="P380" s="81"/>
      <c r="Q380" s="81"/>
      <c r="R380" s="81"/>
      <c r="S380" s="435"/>
      <c r="T380" s="435"/>
      <c r="U380" s="81"/>
      <c r="V380" s="81"/>
      <c r="W380" s="81"/>
      <c r="X380" s="81"/>
      <c r="Y380" s="435"/>
      <c r="Z380" s="435"/>
      <c r="AA380" s="435"/>
      <c r="AB380" s="435"/>
      <c r="AC380" s="435" t="s">
        <v>965</v>
      </c>
      <c r="AD380" s="435"/>
      <c r="AE380" s="81"/>
      <c r="AF380" s="81"/>
      <c r="AG380" s="81"/>
      <c r="AH380" s="81"/>
      <c r="AI380" s="81"/>
    </row>
    <row r="381" spans="16:35">
      <c r="P381" s="81"/>
      <c r="Q381" s="81"/>
      <c r="R381" s="81"/>
      <c r="S381" s="435"/>
      <c r="T381" s="435"/>
      <c r="U381" s="81"/>
      <c r="V381" s="81"/>
      <c r="W381" s="81"/>
      <c r="X381" s="81"/>
      <c r="Y381" s="435"/>
      <c r="Z381" s="435"/>
      <c r="AA381" s="435"/>
      <c r="AB381" s="435"/>
      <c r="AC381" s="435" t="s">
        <v>965</v>
      </c>
      <c r="AD381" s="435"/>
      <c r="AE381" s="81"/>
      <c r="AF381" s="81"/>
      <c r="AG381" s="81"/>
      <c r="AH381" s="81"/>
      <c r="AI381" s="81"/>
    </row>
    <row r="382" spans="16:35">
      <c r="P382" s="81"/>
      <c r="Q382" s="81"/>
      <c r="R382" s="81"/>
      <c r="S382" s="435"/>
      <c r="T382" s="435"/>
      <c r="U382" s="81"/>
      <c r="V382" s="81"/>
      <c r="W382" s="81"/>
      <c r="X382" s="81"/>
      <c r="Y382" s="435"/>
      <c r="Z382" s="435"/>
      <c r="AA382" s="435"/>
      <c r="AB382" s="435"/>
      <c r="AC382" s="435" t="s">
        <v>965</v>
      </c>
      <c r="AD382" s="435"/>
      <c r="AE382" s="81"/>
      <c r="AF382" s="81"/>
      <c r="AG382" s="81"/>
      <c r="AH382" s="81"/>
      <c r="AI382" s="81"/>
    </row>
    <row r="383" spans="16:35">
      <c r="P383" s="81"/>
      <c r="Q383" s="81"/>
      <c r="R383" s="81"/>
      <c r="S383" s="435"/>
      <c r="T383" s="435"/>
      <c r="U383" s="81"/>
      <c r="V383" s="81"/>
      <c r="W383" s="81"/>
      <c r="X383" s="81"/>
      <c r="Y383" s="435"/>
      <c r="Z383" s="435"/>
      <c r="AA383" s="435"/>
      <c r="AB383" s="435"/>
      <c r="AC383" s="435" t="s">
        <v>965</v>
      </c>
      <c r="AD383" s="435"/>
      <c r="AE383" s="81"/>
      <c r="AF383" s="81"/>
      <c r="AG383" s="81"/>
      <c r="AH383" s="81"/>
      <c r="AI383" s="81"/>
    </row>
    <row r="384" spans="16:35">
      <c r="P384" s="81"/>
      <c r="Q384" s="81"/>
      <c r="R384" s="81"/>
      <c r="S384" s="435"/>
      <c r="T384" s="435"/>
      <c r="U384" s="81"/>
      <c r="V384" s="81"/>
      <c r="W384" s="81"/>
      <c r="X384" s="81"/>
      <c r="Y384" s="435"/>
      <c r="Z384" s="435"/>
      <c r="AA384" s="435"/>
      <c r="AB384" s="435"/>
      <c r="AC384" s="435" t="s">
        <v>965</v>
      </c>
      <c r="AD384" s="435"/>
      <c r="AE384" s="81"/>
      <c r="AF384" s="81"/>
      <c r="AG384" s="81"/>
      <c r="AH384" s="81"/>
      <c r="AI384" s="81"/>
    </row>
    <row r="385" spans="1:35">
      <c r="P385" s="81"/>
      <c r="Q385" s="81"/>
      <c r="R385" s="81"/>
      <c r="S385" s="435"/>
      <c r="T385" s="435"/>
      <c r="U385" s="81"/>
      <c r="V385" s="81"/>
      <c r="W385" s="81"/>
      <c r="X385" s="81"/>
      <c r="Y385" s="435"/>
      <c r="Z385" s="435"/>
      <c r="AA385" s="435"/>
      <c r="AB385" s="435"/>
      <c r="AC385" s="435" t="s">
        <v>965</v>
      </c>
      <c r="AD385" s="435"/>
      <c r="AE385" s="81"/>
      <c r="AF385" s="81"/>
      <c r="AG385" s="81"/>
      <c r="AH385" s="81"/>
      <c r="AI385" s="81"/>
    </row>
    <row r="386" spans="1:35">
      <c r="P386" s="81"/>
      <c r="Q386" s="81"/>
      <c r="R386" s="81"/>
      <c r="S386" s="435"/>
      <c r="T386" s="435"/>
      <c r="U386" s="81"/>
      <c r="V386" s="81"/>
      <c r="W386" s="81"/>
      <c r="X386" s="81"/>
      <c r="Y386" s="435"/>
      <c r="Z386" s="435"/>
      <c r="AA386" s="435"/>
      <c r="AB386" s="435"/>
      <c r="AC386" s="435" t="s">
        <v>965</v>
      </c>
      <c r="AD386" s="435"/>
      <c r="AE386" s="81"/>
      <c r="AF386" s="81"/>
      <c r="AG386" s="81"/>
      <c r="AH386" s="81"/>
      <c r="AI386" s="81"/>
    </row>
    <row r="387" spans="1:35">
      <c r="P387" s="81"/>
      <c r="Q387" s="81"/>
      <c r="R387" s="81"/>
      <c r="S387" s="435"/>
      <c r="T387" s="435"/>
      <c r="U387" s="81"/>
      <c r="V387" s="81"/>
      <c r="W387" s="81"/>
      <c r="X387" s="81"/>
      <c r="Y387" s="435"/>
      <c r="Z387" s="435"/>
      <c r="AA387" s="435"/>
      <c r="AB387" s="435"/>
      <c r="AC387" s="435" t="s">
        <v>965</v>
      </c>
      <c r="AD387" s="435"/>
      <c r="AE387" s="81"/>
      <c r="AF387" s="81"/>
      <c r="AG387" s="81"/>
      <c r="AH387" s="81"/>
      <c r="AI387" s="81"/>
    </row>
    <row r="389" spans="1:35" s="1" customFormat="1">
      <c r="A389" s="66"/>
      <c r="B389" s="78" t="s">
        <v>2753</v>
      </c>
      <c r="P389" s="115"/>
      <c r="Q389" s="115"/>
    </row>
    <row r="391" spans="1:35">
      <c r="P391" s="81"/>
      <c r="Q391" s="81"/>
      <c r="R391" s="81"/>
      <c r="S391" s="81"/>
      <c r="T391" s="435"/>
      <c r="U391" s="435"/>
      <c r="V391" s="81"/>
      <c r="W391" s="81"/>
      <c r="X391" s="81"/>
      <c r="Y391" s="435"/>
      <c r="Z391" s="435"/>
      <c r="AA391" s="435"/>
      <c r="AB391" s="435"/>
      <c r="AC391" s="435" t="s">
        <v>965</v>
      </c>
      <c r="AD391" s="435"/>
      <c r="AE391" s="81"/>
      <c r="AF391" s="81"/>
      <c r="AG391" s="81"/>
      <c r="AH391" s="81"/>
      <c r="AI391" s="81"/>
    </row>
    <row r="392" spans="1:35">
      <c r="P392" s="81"/>
      <c r="Q392" s="81"/>
      <c r="R392" s="81"/>
      <c r="S392" s="81"/>
      <c r="T392" s="435"/>
      <c r="U392" s="435"/>
      <c r="V392" s="81"/>
      <c r="W392" s="81"/>
      <c r="X392" s="81"/>
      <c r="Y392" s="435"/>
      <c r="Z392" s="435"/>
      <c r="AA392" s="435"/>
      <c r="AB392" s="435"/>
      <c r="AC392" s="435" t="s">
        <v>965</v>
      </c>
      <c r="AD392" s="435"/>
      <c r="AE392" s="81"/>
      <c r="AF392" s="81"/>
      <c r="AG392" s="81"/>
      <c r="AH392" s="81"/>
      <c r="AI392" s="81"/>
    </row>
    <row r="393" spans="1:35">
      <c r="P393" s="81"/>
      <c r="Q393" s="81"/>
      <c r="R393" s="81"/>
      <c r="S393" s="81"/>
      <c r="T393" s="435"/>
      <c r="U393" s="435"/>
      <c r="V393" s="81"/>
      <c r="W393" s="81"/>
      <c r="X393" s="81"/>
      <c r="Y393" s="435"/>
      <c r="Z393" s="435"/>
      <c r="AA393" s="435"/>
      <c r="AB393" s="435"/>
      <c r="AC393" s="435" t="s">
        <v>965</v>
      </c>
      <c r="AD393" s="435"/>
      <c r="AE393" s="81"/>
      <c r="AF393" s="81"/>
      <c r="AG393" s="81"/>
      <c r="AH393" s="81"/>
      <c r="AI393" s="81"/>
    </row>
    <row r="394" spans="1:35">
      <c r="P394" s="81"/>
      <c r="Q394" s="81"/>
      <c r="R394" s="81"/>
      <c r="S394" s="81"/>
      <c r="T394" s="435"/>
      <c r="U394" s="435"/>
      <c r="V394" s="81"/>
      <c r="W394" s="81"/>
      <c r="X394" s="81"/>
      <c r="Y394" s="435"/>
      <c r="Z394" s="435"/>
      <c r="AA394" s="435"/>
      <c r="AB394" s="435"/>
      <c r="AC394" s="435" t="s">
        <v>965</v>
      </c>
      <c r="AD394" s="435"/>
      <c r="AE394" s="81"/>
      <c r="AF394" s="81"/>
      <c r="AG394" s="81"/>
      <c r="AH394" s="81"/>
      <c r="AI394" s="81"/>
    </row>
    <row r="395" spans="1:35">
      <c r="P395" s="81"/>
      <c r="Q395" s="81"/>
      <c r="R395" s="81"/>
      <c r="S395" s="81"/>
      <c r="T395" s="435"/>
      <c r="U395" s="435"/>
      <c r="V395" s="81"/>
      <c r="W395" s="81"/>
      <c r="X395" s="81"/>
      <c r="Y395" s="435"/>
      <c r="Z395" s="435"/>
      <c r="AA395" s="435"/>
      <c r="AB395" s="435"/>
      <c r="AC395" s="435" t="s">
        <v>965</v>
      </c>
      <c r="AD395" s="435"/>
      <c r="AE395" s="81"/>
      <c r="AF395" s="81"/>
      <c r="AG395" s="81"/>
      <c r="AH395" s="81"/>
      <c r="AI395" s="81"/>
    </row>
    <row r="396" spans="1:35">
      <c r="P396" s="81"/>
      <c r="Q396" s="81"/>
      <c r="R396" s="81"/>
      <c r="S396" s="81"/>
      <c r="T396" s="435"/>
      <c r="U396" s="435"/>
      <c r="V396" s="81"/>
      <c r="W396" s="81"/>
      <c r="X396" s="81"/>
      <c r="Y396" s="435"/>
      <c r="Z396" s="435"/>
      <c r="AA396" s="435"/>
      <c r="AB396" s="435"/>
      <c r="AC396" s="435" t="s">
        <v>965</v>
      </c>
      <c r="AD396" s="435"/>
      <c r="AE396" s="81"/>
      <c r="AF396" s="81"/>
      <c r="AG396" s="81"/>
      <c r="AH396" s="81"/>
      <c r="AI396" s="81"/>
    </row>
    <row r="397" spans="1:35">
      <c r="P397" s="81"/>
      <c r="Q397" s="81"/>
      <c r="R397" s="81"/>
      <c r="S397" s="81"/>
      <c r="T397" s="435"/>
      <c r="U397" s="435"/>
      <c r="V397" s="81"/>
      <c r="W397" s="81"/>
      <c r="X397" s="81"/>
      <c r="Y397" s="435"/>
      <c r="Z397" s="435"/>
      <c r="AA397" s="435"/>
      <c r="AB397" s="435"/>
      <c r="AC397" s="435" t="s">
        <v>965</v>
      </c>
      <c r="AD397" s="435"/>
      <c r="AE397" s="81"/>
      <c r="AF397" s="81"/>
      <c r="AG397" s="81"/>
      <c r="AH397" s="81"/>
      <c r="AI397" s="81"/>
    </row>
    <row r="398" spans="1:35">
      <c r="P398" s="81"/>
      <c r="Q398" s="81"/>
      <c r="R398" s="81"/>
      <c r="S398" s="81"/>
      <c r="T398" s="435"/>
      <c r="U398" s="435"/>
      <c r="V398" s="81"/>
      <c r="W398" s="81"/>
      <c r="X398" s="81"/>
      <c r="Y398" s="435"/>
      <c r="Z398" s="435"/>
      <c r="AA398" s="435"/>
      <c r="AB398" s="435"/>
      <c r="AC398" s="435" t="s">
        <v>965</v>
      </c>
      <c r="AD398" s="435"/>
      <c r="AE398" s="81"/>
      <c r="AF398" s="81"/>
      <c r="AG398" s="81"/>
      <c r="AH398" s="81"/>
      <c r="AI398" s="81"/>
    </row>
    <row r="399" spans="1:35">
      <c r="P399" s="81"/>
      <c r="Q399" s="81"/>
      <c r="R399" s="81"/>
      <c r="S399" s="81"/>
      <c r="T399" s="435"/>
      <c r="U399" s="435"/>
      <c r="V399" s="81"/>
      <c r="W399" s="81"/>
      <c r="X399" s="81"/>
      <c r="Y399" s="435"/>
      <c r="Z399" s="435"/>
      <c r="AA399" s="435"/>
      <c r="AB399" s="435"/>
      <c r="AC399" s="435" t="s">
        <v>965</v>
      </c>
      <c r="AD399" s="435"/>
      <c r="AE399" s="81"/>
      <c r="AF399" s="81"/>
      <c r="AG399" s="81"/>
      <c r="AH399" s="81"/>
      <c r="AI399" s="81"/>
    </row>
    <row r="400" spans="1:35">
      <c r="P400" s="81"/>
      <c r="Q400" s="81"/>
      <c r="R400" s="81"/>
      <c r="S400" s="81"/>
      <c r="T400" s="435"/>
      <c r="U400" s="435"/>
      <c r="V400" s="81"/>
      <c r="W400" s="81"/>
      <c r="X400" s="81"/>
      <c r="Y400" s="435"/>
      <c r="Z400" s="435"/>
      <c r="AA400" s="435"/>
      <c r="AB400" s="435"/>
      <c r="AC400" s="435" t="s">
        <v>965</v>
      </c>
      <c r="AD400" s="435"/>
      <c r="AE400" s="81"/>
      <c r="AF400" s="81"/>
      <c r="AG400" s="81"/>
      <c r="AH400" s="81"/>
      <c r="AI400" s="81"/>
    </row>
    <row r="401" spans="16:35">
      <c r="P401" s="81"/>
      <c r="Q401" s="81"/>
      <c r="R401" s="81"/>
      <c r="S401" s="81"/>
      <c r="T401" s="435"/>
      <c r="U401" s="435"/>
      <c r="V401" s="81"/>
      <c r="W401" s="81"/>
      <c r="X401" s="81"/>
      <c r="Y401" s="435"/>
      <c r="Z401" s="435"/>
      <c r="AA401" s="435"/>
      <c r="AB401" s="435"/>
      <c r="AC401" s="435" t="s">
        <v>965</v>
      </c>
      <c r="AD401" s="435"/>
      <c r="AE401" s="81"/>
      <c r="AF401" s="81"/>
      <c r="AG401" s="81"/>
      <c r="AH401" s="81"/>
      <c r="AI401" s="81"/>
    </row>
    <row r="402" spans="16:35">
      <c r="P402" s="81"/>
      <c r="Q402" s="81"/>
      <c r="R402" s="81"/>
      <c r="S402" s="81"/>
      <c r="T402" s="435"/>
      <c r="U402" s="435"/>
      <c r="V402" s="81"/>
      <c r="W402" s="81"/>
      <c r="X402" s="81"/>
      <c r="Y402" s="435"/>
      <c r="Z402" s="435"/>
      <c r="AA402" s="435"/>
      <c r="AB402" s="435"/>
      <c r="AC402" s="435" t="s">
        <v>965</v>
      </c>
      <c r="AD402" s="435"/>
      <c r="AE402" s="81"/>
      <c r="AF402" s="81"/>
      <c r="AG402" s="81"/>
      <c r="AH402" s="81"/>
      <c r="AI402" s="81"/>
    </row>
    <row r="403" spans="16:35">
      <c r="P403" s="81"/>
      <c r="Q403" s="81"/>
      <c r="R403" s="81"/>
      <c r="S403" s="81"/>
      <c r="T403" s="435"/>
      <c r="U403" s="435"/>
      <c r="V403" s="81"/>
      <c r="W403" s="81"/>
      <c r="X403" s="81"/>
      <c r="Y403" s="435"/>
      <c r="Z403" s="435"/>
      <c r="AA403" s="435"/>
      <c r="AB403" s="435"/>
      <c r="AC403" s="435" t="s">
        <v>965</v>
      </c>
      <c r="AD403" s="435"/>
      <c r="AE403" s="81"/>
      <c r="AF403" s="81"/>
      <c r="AG403" s="81"/>
      <c r="AH403" s="81"/>
      <c r="AI403" s="81"/>
    </row>
    <row r="404" spans="16:35">
      <c r="P404" s="81"/>
      <c r="Q404" s="81"/>
      <c r="R404" s="81"/>
      <c r="S404" s="81"/>
      <c r="T404" s="435"/>
      <c r="U404" s="435"/>
      <c r="V404" s="81"/>
      <c r="W404" s="81"/>
      <c r="X404" s="81"/>
      <c r="Y404" s="435"/>
      <c r="Z404" s="435"/>
      <c r="AA404" s="435"/>
      <c r="AB404" s="435"/>
      <c r="AC404" s="435" t="s">
        <v>965</v>
      </c>
      <c r="AD404" s="435"/>
      <c r="AE404" s="81"/>
      <c r="AF404" s="81"/>
      <c r="AG404" s="81"/>
      <c r="AH404" s="81"/>
      <c r="AI404" s="81"/>
    </row>
    <row r="405" spans="16:35">
      <c r="P405" s="81"/>
      <c r="Q405" s="81"/>
      <c r="R405" s="81"/>
      <c r="S405" s="81"/>
      <c r="T405" s="435"/>
      <c r="U405" s="435"/>
      <c r="V405" s="81"/>
      <c r="W405" s="81"/>
      <c r="X405" s="81"/>
      <c r="Y405" s="435"/>
      <c r="Z405" s="435"/>
      <c r="AA405" s="435"/>
      <c r="AB405" s="435"/>
      <c r="AC405" s="435" t="s">
        <v>965</v>
      </c>
      <c r="AD405" s="435"/>
      <c r="AE405" s="81"/>
      <c r="AF405" s="81"/>
      <c r="AG405" s="81"/>
      <c r="AH405" s="81"/>
      <c r="AI405" s="81"/>
    </row>
    <row r="406" spans="16:35">
      <c r="P406" s="81"/>
      <c r="Q406" s="81"/>
      <c r="R406" s="81"/>
      <c r="S406" s="81"/>
      <c r="T406" s="435"/>
      <c r="U406" s="435"/>
      <c r="V406" s="81"/>
      <c r="W406" s="81"/>
      <c r="X406" s="81"/>
      <c r="Y406" s="435"/>
      <c r="Z406" s="435"/>
      <c r="AA406" s="435"/>
      <c r="AB406" s="435"/>
      <c r="AC406" s="435" t="s">
        <v>965</v>
      </c>
      <c r="AD406" s="435"/>
      <c r="AE406" s="81"/>
      <c r="AF406" s="81"/>
      <c r="AG406" s="81"/>
      <c r="AH406" s="81"/>
      <c r="AI406" s="81"/>
    </row>
    <row r="407" spans="16:35">
      <c r="P407" s="81"/>
      <c r="Q407" s="81"/>
      <c r="R407" s="81"/>
      <c r="S407" s="81"/>
      <c r="T407" s="435"/>
      <c r="U407" s="435"/>
      <c r="V407" s="81"/>
      <c r="W407" s="81"/>
      <c r="X407" s="81"/>
      <c r="Y407" s="435"/>
      <c r="Z407" s="435"/>
      <c r="AA407" s="435"/>
      <c r="AB407" s="435"/>
      <c r="AC407" s="435" t="s">
        <v>965</v>
      </c>
      <c r="AD407" s="435"/>
      <c r="AE407" s="81"/>
      <c r="AF407" s="81"/>
      <c r="AG407" s="81"/>
      <c r="AH407" s="81"/>
      <c r="AI407" s="81"/>
    </row>
    <row r="408" spans="16:35">
      <c r="P408" s="81"/>
      <c r="Q408" s="81"/>
      <c r="R408" s="81"/>
      <c r="S408" s="81"/>
      <c r="T408" s="435"/>
      <c r="U408" s="435"/>
      <c r="V408" s="81"/>
      <c r="W408" s="81"/>
      <c r="X408" s="81"/>
      <c r="Y408" s="435"/>
      <c r="Z408" s="435"/>
      <c r="AA408" s="435"/>
      <c r="AB408" s="435"/>
      <c r="AC408" s="435" t="s">
        <v>965</v>
      </c>
      <c r="AD408" s="435"/>
      <c r="AE408" s="81"/>
      <c r="AF408" s="81"/>
      <c r="AG408" s="81"/>
      <c r="AH408" s="81"/>
      <c r="AI408" s="81"/>
    </row>
    <row r="409" spans="16:35">
      <c r="P409" s="81"/>
      <c r="Q409" s="81"/>
      <c r="R409" s="81"/>
      <c r="S409" s="81"/>
      <c r="T409" s="435"/>
      <c r="U409" s="435"/>
      <c r="V409" s="81"/>
      <c r="W409" s="81"/>
      <c r="X409" s="81"/>
      <c r="Y409" s="435"/>
      <c r="Z409" s="435"/>
      <c r="AA409" s="435"/>
      <c r="AB409" s="435"/>
      <c r="AC409" s="435" t="s">
        <v>965</v>
      </c>
      <c r="AD409" s="435"/>
      <c r="AE409" s="81"/>
      <c r="AF409" s="81"/>
      <c r="AG409" s="81"/>
      <c r="AH409" s="81"/>
      <c r="AI409" s="81"/>
    </row>
    <row r="410" spans="16:35">
      <c r="P410" s="81"/>
      <c r="Q410" s="81"/>
      <c r="R410" s="81"/>
      <c r="S410" s="81"/>
      <c r="T410" s="435"/>
      <c r="U410" s="435"/>
      <c r="V410" s="81"/>
      <c r="W410" s="81"/>
      <c r="X410" s="81"/>
      <c r="Y410" s="435"/>
      <c r="Z410" s="435"/>
      <c r="AA410" s="435"/>
      <c r="AB410" s="435"/>
      <c r="AC410" s="435" t="s">
        <v>965</v>
      </c>
      <c r="AD410" s="435"/>
      <c r="AE410" s="81"/>
      <c r="AF410" s="81"/>
      <c r="AG410" s="81"/>
      <c r="AH410" s="81"/>
      <c r="AI410" s="81"/>
    </row>
    <row r="411" spans="16:35">
      <c r="P411" s="81"/>
      <c r="Q411" s="81"/>
      <c r="R411" s="81"/>
      <c r="S411" s="81"/>
      <c r="T411" s="435"/>
      <c r="U411" s="435"/>
      <c r="V411" s="81"/>
      <c r="W411" s="81"/>
      <c r="X411" s="81"/>
      <c r="Y411" s="435"/>
      <c r="Z411" s="435"/>
      <c r="AA411" s="435"/>
      <c r="AB411" s="435"/>
      <c r="AC411" s="435" t="s">
        <v>965</v>
      </c>
      <c r="AD411" s="435"/>
      <c r="AE411" s="81"/>
      <c r="AF411" s="81"/>
      <c r="AG411" s="81"/>
      <c r="AH411" s="81"/>
      <c r="AI411" s="81"/>
    </row>
    <row r="412" spans="16:35">
      <c r="P412" s="81"/>
      <c r="Q412" s="81"/>
      <c r="R412" s="81"/>
      <c r="S412" s="81"/>
      <c r="T412" s="435"/>
      <c r="U412" s="435"/>
      <c r="V412" s="81"/>
      <c r="W412" s="81"/>
      <c r="X412" s="81"/>
      <c r="Y412" s="435"/>
      <c r="Z412" s="435"/>
      <c r="AA412" s="435"/>
      <c r="AB412" s="435"/>
      <c r="AC412" s="435" t="s">
        <v>965</v>
      </c>
      <c r="AD412" s="435"/>
      <c r="AE412" s="81"/>
      <c r="AF412" s="81"/>
      <c r="AG412" s="81"/>
      <c r="AH412" s="81"/>
      <c r="AI412" s="81"/>
    </row>
    <row r="413" spans="16:35">
      <c r="P413" s="81"/>
      <c r="Q413" s="81"/>
      <c r="R413" s="81"/>
      <c r="S413" s="81"/>
      <c r="T413" s="435"/>
      <c r="U413" s="435"/>
      <c r="V413" s="81"/>
      <c r="W413" s="81"/>
      <c r="X413" s="81"/>
      <c r="Y413" s="435"/>
      <c r="Z413" s="435"/>
      <c r="AA413" s="435"/>
      <c r="AB413" s="435"/>
      <c r="AC413" s="435" t="s">
        <v>965</v>
      </c>
      <c r="AD413" s="435"/>
      <c r="AE413" s="81"/>
      <c r="AF413" s="81"/>
      <c r="AG413" s="81"/>
      <c r="AH413" s="81"/>
      <c r="AI413" s="81"/>
    </row>
    <row r="414" spans="16:35">
      <c r="P414" s="81"/>
      <c r="Q414" s="81"/>
      <c r="R414" s="81"/>
      <c r="S414" s="81"/>
      <c r="T414" s="435"/>
      <c r="U414" s="435"/>
      <c r="V414" s="81"/>
      <c r="W414" s="81"/>
      <c r="X414" s="81"/>
      <c r="Y414" s="435"/>
      <c r="Z414" s="435"/>
      <c r="AA414" s="435"/>
      <c r="AB414" s="435"/>
      <c r="AC414" s="435" t="s">
        <v>965</v>
      </c>
      <c r="AD414" s="435"/>
      <c r="AE414" s="81"/>
      <c r="AF414" s="81"/>
      <c r="AG414" s="81"/>
      <c r="AH414" s="81"/>
      <c r="AI414" s="81"/>
    </row>
    <row r="415" spans="16:35">
      <c r="P415" s="81"/>
      <c r="Q415" s="81"/>
      <c r="R415" s="81"/>
      <c r="S415" s="81"/>
      <c r="T415" s="435"/>
      <c r="U415" s="435"/>
      <c r="V415" s="81"/>
      <c r="W415" s="81"/>
      <c r="X415" s="81"/>
      <c r="Y415" s="435"/>
      <c r="Z415" s="435"/>
      <c r="AA415" s="435"/>
      <c r="AB415" s="435"/>
      <c r="AC415" s="435" t="s">
        <v>965</v>
      </c>
      <c r="AD415" s="435"/>
      <c r="AE415" s="81"/>
      <c r="AF415" s="81"/>
      <c r="AG415" s="81"/>
      <c r="AH415" s="81"/>
      <c r="AI415" s="81"/>
    </row>
    <row r="416" spans="16:35">
      <c r="P416" s="81"/>
      <c r="Q416" s="81"/>
      <c r="R416" s="81"/>
      <c r="S416" s="81"/>
      <c r="T416" s="435"/>
      <c r="U416" s="435"/>
      <c r="V416" s="81"/>
      <c r="W416" s="81"/>
      <c r="X416" s="81"/>
      <c r="Y416" s="435"/>
      <c r="Z416" s="435"/>
      <c r="AA416" s="435"/>
      <c r="AB416" s="435"/>
      <c r="AC416" s="435" t="s">
        <v>965</v>
      </c>
      <c r="AD416" s="435"/>
      <c r="AE416" s="81"/>
      <c r="AF416" s="81"/>
      <c r="AG416" s="81"/>
      <c r="AH416" s="81"/>
      <c r="AI416" s="81"/>
    </row>
    <row r="417" spans="16:35">
      <c r="P417" s="81"/>
      <c r="Q417" s="81"/>
      <c r="R417" s="81"/>
      <c r="S417" s="81"/>
      <c r="T417" s="435"/>
      <c r="U417" s="435"/>
      <c r="V417" s="81"/>
      <c r="W417" s="81"/>
      <c r="X417" s="81"/>
      <c r="Y417" s="435"/>
      <c r="Z417" s="435"/>
      <c r="AA417" s="435"/>
      <c r="AB417" s="435"/>
      <c r="AC417" s="435" t="s">
        <v>965</v>
      </c>
      <c r="AD417" s="435"/>
      <c r="AE417" s="81"/>
      <c r="AF417" s="81"/>
      <c r="AG417" s="81"/>
      <c r="AH417" s="81"/>
      <c r="AI417" s="81"/>
    </row>
    <row r="418" spans="16:35">
      <c r="P418" s="81"/>
      <c r="Q418" s="81"/>
      <c r="R418" s="81"/>
      <c r="S418" s="81"/>
      <c r="T418" s="435"/>
      <c r="U418" s="435"/>
      <c r="V418" s="81"/>
      <c r="W418" s="81"/>
      <c r="X418" s="81"/>
      <c r="Y418" s="435"/>
      <c r="Z418" s="435"/>
      <c r="AA418" s="435"/>
      <c r="AB418" s="435"/>
      <c r="AC418" s="435" t="s">
        <v>965</v>
      </c>
      <c r="AD418" s="435"/>
      <c r="AE418" s="81"/>
      <c r="AF418" s="81"/>
      <c r="AG418" s="81"/>
      <c r="AH418" s="81"/>
      <c r="AI418" s="81"/>
    </row>
    <row r="419" spans="16:35">
      <c r="P419" s="81"/>
      <c r="Q419" s="81"/>
      <c r="R419" s="81"/>
      <c r="S419" s="81"/>
      <c r="T419" s="435"/>
      <c r="U419" s="435"/>
      <c r="V419" s="81"/>
      <c r="W419" s="81"/>
      <c r="X419" s="81"/>
      <c r="Y419" s="435"/>
      <c r="Z419" s="435"/>
      <c r="AA419" s="435"/>
      <c r="AB419" s="435"/>
      <c r="AC419" s="435" t="s">
        <v>965</v>
      </c>
      <c r="AD419" s="435"/>
      <c r="AE419" s="81"/>
      <c r="AF419" s="81"/>
      <c r="AG419" s="81"/>
      <c r="AH419" s="81"/>
      <c r="AI419" s="81"/>
    </row>
    <row r="420" spans="16:35">
      <c r="P420" s="81"/>
      <c r="Q420" s="81"/>
      <c r="R420" s="81"/>
      <c r="S420" s="81"/>
      <c r="T420" s="435"/>
      <c r="U420" s="435"/>
      <c r="V420" s="81"/>
      <c r="W420" s="81"/>
      <c r="X420" s="81"/>
      <c r="Y420" s="435"/>
      <c r="Z420" s="435"/>
      <c r="AA420" s="435"/>
      <c r="AB420" s="435"/>
      <c r="AC420" s="435" t="s">
        <v>965</v>
      </c>
      <c r="AD420" s="435"/>
      <c r="AE420" s="81"/>
      <c r="AF420" s="81"/>
      <c r="AG420" s="81"/>
      <c r="AH420" s="81"/>
      <c r="AI420" s="81"/>
    </row>
    <row r="421" spans="16:35">
      <c r="P421" s="81"/>
      <c r="Q421" s="81"/>
      <c r="R421" s="81"/>
      <c r="S421" s="81"/>
      <c r="T421" s="435"/>
      <c r="U421" s="435"/>
      <c r="V421" s="81"/>
      <c r="W421" s="81"/>
      <c r="X421" s="81"/>
      <c r="Y421" s="435"/>
      <c r="Z421" s="435"/>
      <c r="AA421" s="435"/>
      <c r="AB421" s="435"/>
      <c r="AC421" s="435" t="s">
        <v>965</v>
      </c>
      <c r="AD421" s="435"/>
      <c r="AE421" s="81"/>
      <c r="AF421" s="81"/>
      <c r="AG421" s="81"/>
      <c r="AH421" s="81"/>
      <c r="AI421" s="81"/>
    </row>
    <row r="422" spans="16:35">
      <c r="P422" s="81"/>
      <c r="Q422" s="81"/>
      <c r="R422" s="81"/>
      <c r="S422" s="81"/>
      <c r="T422" s="435"/>
      <c r="U422" s="435"/>
      <c r="V422" s="81"/>
      <c r="W422" s="81"/>
      <c r="X422" s="81"/>
      <c r="Y422" s="435"/>
      <c r="Z422" s="435"/>
      <c r="AA422" s="435"/>
      <c r="AB422" s="435"/>
      <c r="AC422" s="435" t="s">
        <v>965</v>
      </c>
      <c r="AD422" s="435"/>
      <c r="AE422" s="81"/>
      <c r="AF422" s="81"/>
      <c r="AG422" s="81"/>
      <c r="AH422" s="81"/>
      <c r="AI422" s="81"/>
    </row>
    <row r="423" spans="16:35">
      <c r="P423" s="81"/>
      <c r="Q423" s="81"/>
      <c r="R423" s="81"/>
      <c r="S423" s="81"/>
      <c r="T423" s="435"/>
      <c r="U423" s="435"/>
      <c r="V423" s="81"/>
      <c r="W423" s="81"/>
      <c r="X423" s="81"/>
      <c r="Y423" s="435"/>
      <c r="Z423" s="435"/>
      <c r="AA423" s="435"/>
      <c r="AB423" s="435"/>
      <c r="AC423" s="435" t="s">
        <v>965</v>
      </c>
      <c r="AD423" s="435"/>
      <c r="AE423" s="81"/>
      <c r="AF423" s="81"/>
      <c r="AG423" s="81"/>
      <c r="AH423" s="81"/>
      <c r="AI423" s="81"/>
    </row>
    <row r="424" spans="16:35">
      <c r="P424" s="81"/>
      <c r="Q424" s="81"/>
      <c r="R424" s="81"/>
      <c r="S424" s="81"/>
      <c r="T424" s="435"/>
      <c r="U424" s="435"/>
      <c r="V424" s="81"/>
      <c r="W424" s="81"/>
      <c r="X424" s="81"/>
      <c r="Y424" s="435"/>
      <c r="Z424" s="435"/>
      <c r="AA424" s="435"/>
      <c r="AB424" s="435"/>
      <c r="AC424" s="435" t="s">
        <v>965</v>
      </c>
      <c r="AD424" s="435"/>
      <c r="AE424" s="81"/>
      <c r="AF424" s="81"/>
      <c r="AG424" s="81"/>
      <c r="AH424" s="81"/>
      <c r="AI424" s="81"/>
    </row>
    <row r="425" spans="16:35">
      <c r="P425" s="81"/>
      <c r="Q425" s="81"/>
      <c r="R425" s="81"/>
      <c r="S425" s="81"/>
      <c r="T425" s="435"/>
      <c r="U425" s="435"/>
      <c r="V425" s="81"/>
      <c r="W425" s="81"/>
      <c r="X425" s="81"/>
      <c r="Y425" s="435"/>
      <c r="Z425" s="435"/>
      <c r="AA425" s="435"/>
      <c r="AB425" s="435"/>
      <c r="AC425" s="435" t="s">
        <v>965</v>
      </c>
      <c r="AD425" s="435"/>
      <c r="AE425" s="81"/>
      <c r="AF425" s="81"/>
      <c r="AG425" s="81"/>
      <c r="AH425" s="81"/>
      <c r="AI425" s="81"/>
    </row>
    <row r="426" spans="16:35">
      <c r="P426" s="81"/>
      <c r="Q426" s="81"/>
      <c r="R426" s="81"/>
      <c r="S426" s="81"/>
      <c r="T426" s="435"/>
      <c r="U426" s="435"/>
      <c r="V426" s="81"/>
      <c r="W426" s="81"/>
      <c r="X426" s="81"/>
      <c r="Y426" s="435"/>
      <c r="Z426" s="435"/>
      <c r="AA426" s="435"/>
      <c r="AB426" s="435"/>
      <c r="AC426" s="435" t="s">
        <v>965</v>
      </c>
      <c r="AD426" s="435"/>
      <c r="AE426" s="81"/>
      <c r="AF426" s="81"/>
      <c r="AG426" s="81"/>
      <c r="AH426" s="81"/>
      <c r="AI426" s="81"/>
    </row>
    <row r="427" spans="16:35">
      <c r="P427" s="81"/>
      <c r="Q427" s="81"/>
      <c r="R427" s="81"/>
      <c r="S427" s="81"/>
      <c r="T427" s="435"/>
      <c r="U427" s="435"/>
      <c r="V427" s="81"/>
      <c r="W427" s="81"/>
      <c r="X427" s="81"/>
      <c r="Y427" s="435"/>
      <c r="Z427" s="435"/>
      <c r="AA427" s="435"/>
      <c r="AB427" s="435"/>
      <c r="AC427" s="435" t="s">
        <v>965</v>
      </c>
      <c r="AD427" s="435"/>
      <c r="AE427" s="81"/>
      <c r="AF427" s="81"/>
      <c r="AG427" s="81"/>
      <c r="AH427" s="81"/>
      <c r="AI427" s="81"/>
    </row>
    <row r="428" spans="16:35">
      <c r="P428" s="81"/>
      <c r="Q428" s="81"/>
      <c r="R428" s="81"/>
      <c r="S428" s="81"/>
      <c r="T428" s="435"/>
      <c r="U428" s="435"/>
      <c r="V428" s="81"/>
      <c r="W428" s="81"/>
      <c r="X428" s="81"/>
      <c r="Y428" s="435"/>
      <c r="Z428" s="435"/>
      <c r="AA428" s="435"/>
      <c r="AB428" s="435"/>
      <c r="AC428" s="435" t="s">
        <v>965</v>
      </c>
      <c r="AD428" s="435"/>
      <c r="AE428" s="81"/>
      <c r="AF428" s="81"/>
      <c r="AG428" s="81"/>
      <c r="AH428" s="81"/>
      <c r="AI428" s="81"/>
    </row>
    <row r="429" spans="16:35">
      <c r="P429" s="81"/>
      <c r="Q429" s="81"/>
      <c r="R429" s="81"/>
      <c r="S429" s="81"/>
      <c r="T429" s="435"/>
      <c r="U429" s="435"/>
      <c r="V429" s="81"/>
      <c r="W429" s="81"/>
      <c r="X429" s="81"/>
      <c r="Y429" s="435"/>
      <c r="Z429" s="435"/>
      <c r="AA429" s="435"/>
      <c r="AB429" s="435"/>
      <c r="AC429" s="435" t="s">
        <v>965</v>
      </c>
      <c r="AD429" s="435"/>
      <c r="AE429" s="81"/>
      <c r="AF429" s="81"/>
      <c r="AG429" s="81"/>
      <c r="AH429" s="81"/>
      <c r="AI429" s="81"/>
    </row>
    <row r="430" spans="16:35">
      <c r="P430" s="81"/>
      <c r="Q430" s="81"/>
      <c r="R430" s="81"/>
      <c r="S430" s="81"/>
      <c r="T430" s="435"/>
      <c r="U430" s="435"/>
      <c r="V430" s="81"/>
      <c r="W430" s="81"/>
      <c r="X430" s="81"/>
      <c r="Y430" s="435"/>
      <c r="Z430" s="435"/>
      <c r="AA430" s="435"/>
      <c r="AB430" s="435"/>
      <c r="AC430" s="435" t="s">
        <v>965</v>
      </c>
      <c r="AD430" s="435"/>
      <c r="AE430" s="81"/>
      <c r="AF430" s="81"/>
      <c r="AG430" s="81"/>
      <c r="AH430" s="81"/>
      <c r="AI430" s="81"/>
    </row>
    <row r="431" spans="16:35">
      <c r="P431" s="81"/>
      <c r="Q431" s="81"/>
      <c r="R431" s="81"/>
      <c r="S431" s="81"/>
      <c r="T431" s="435"/>
      <c r="U431" s="435"/>
      <c r="V431" s="81"/>
      <c r="W431" s="81"/>
      <c r="X431" s="81"/>
      <c r="Y431" s="435"/>
      <c r="Z431" s="435"/>
      <c r="AA431" s="435"/>
      <c r="AB431" s="435"/>
      <c r="AC431" s="435" t="s">
        <v>965</v>
      </c>
      <c r="AD431" s="435"/>
      <c r="AE431" s="81"/>
      <c r="AF431" s="81"/>
      <c r="AG431" s="81"/>
      <c r="AH431" s="81"/>
      <c r="AI431" s="81"/>
    </row>
    <row r="432" spans="16:35">
      <c r="P432" s="81"/>
      <c r="Q432" s="81"/>
      <c r="R432" s="81"/>
      <c r="S432" s="81"/>
      <c r="T432" s="435"/>
      <c r="U432" s="435"/>
      <c r="V432" s="81"/>
      <c r="W432" s="81"/>
      <c r="X432" s="81"/>
      <c r="Y432" s="435"/>
      <c r="Z432" s="435"/>
      <c r="AA432" s="435"/>
      <c r="AB432" s="435"/>
      <c r="AC432" s="435" t="s">
        <v>965</v>
      </c>
      <c r="AD432" s="435"/>
      <c r="AE432" s="81"/>
      <c r="AF432" s="81"/>
      <c r="AG432" s="81"/>
      <c r="AH432" s="81"/>
      <c r="AI432" s="81"/>
    </row>
    <row r="433" spans="16:35">
      <c r="P433" s="81"/>
      <c r="Q433" s="81"/>
      <c r="R433" s="81"/>
      <c r="S433" s="81"/>
      <c r="T433" s="435"/>
      <c r="U433" s="435"/>
      <c r="V433" s="81"/>
      <c r="W433" s="81"/>
      <c r="X433" s="81"/>
      <c r="Y433" s="435"/>
      <c r="Z433" s="435"/>
      <c r="AA433" s="435"/>
      <c r="AB433" s="435"/>
      <c r="AC433" s="435" t="s">
        <v>965</v>
      </c>
      <c r="AD433" s="435"/>
      <c r="AE433" s="81"/>
      <c r="AF433" s="81"/>
      <c r="AG433" s="81"/>
      <c r="AH433" s="81"/>
      <c r="AI433" s="81"/>
    </row>
    <row r="434" spans="16:35">
      <c r="P434" s="81"/>
      <c r="Q434" s="81"/>
      <c r="R434" s="81"/>
      <c r="S434" s="81"/>
      <c r="T434" s="435"/>
      <c r="U434" s="435"/>
      <c r="V434" s="81"/>
      <c r="W434" s="81"/>
      <c r="X434" s="81"/>
      <c r="Y434" s="435"/>
      <c r="Z434" s="435"/>
      <c r="AA434" s="435"/>
      <c r="AB434" s="435"/>
      <c r="AC434" s="435" t="s">
        <v>965</v>
      </c>
      <c r="AD434" s="435"/>
      <c r="AE434" s="81"/>
      <c r="AF434" s="81"/>
      <c r="AG434" s="81"/>
      <c r="AH434" s="81"/>
      <c r="AI434" s="81"/>
    </row>
    <row r="435" spans="16:35">
      <c r="P435" s="81"/>
      <c r="Q435" s="81"/>
      <c r="R435" s="81"/>
      <c r="S435" s="81"/>
      <c r="T435" s="435"/>
      <c r="U435" s="435"/>
      <c r="V435" s="81"/>
      <c r="W435" s="81"/>
      <c r="X435" s="81"/>
      <c r="Y435" s="435"/>
      <c r="Z435" s="435"/>
      <c r="AA435" s="435"/>
      <c r="AB435" s="435"/>
      <c r="AC435" s="435" t="s">
        <v>965</v>
      </c>
      <c r="AD435" s="435"/>
      <c r="AE435" s="81"/>
      <c r="AF435" s="81"/>
      <c r="AG435" s="81"/>
      <c r="AH435" s="81"/>
      <c r="AI435" s="81"/>
    </row>
    <row r="436" spans="16:35">
      <c r="P436" s="81"/>
      <c r="Q436" s="81"/>
      <c r="R436" s="81"/>
      <c r="S436" s="81"/>
      <c r="T436" s="435"/>
      <c r="U436" s="435"/>
      <c r="V436" s="81"/>
      <c r="W436" s="81"/>
      <c r="X436" s="81"/>
      <c r="Y436" s="435"/>
      <c r="Z436" s="435"/>
      <c r="AA436" s="435"/>
      <c r="AB436" s="435"/>
      <c r="AC436" s="435" t="s">
        <v>965</v>
      </c>
      <c r="AD436" s="435"/>
      <c r="AE436" s="81"/>
      <c r="AF436" s="81"/>
      <c r="AG436" s="81"/>
      <c r="AH436" s="81"/>
      <c r="AI436" s="81"/>
    </row>
    <row r="437" spans="16:35">
      <c r="P437" s="81"/>
      <c r="Q437" s="81"/>
      <c r="R437" s="81"/>
      <c r="S437" s="81"/>
      <c r="T437" s="435"/>
      <c r="U437" s="435"/>
      <c r="V437" s="81"/>
      <c r="W437" s="81"/>
      <c r="X437" s="81"/>
      <c r="Y437" s="435"/>
      <c r="Z437" s="435"/>
      <c r="AA437" s="435"/>
      <c r="AB437" s="435"/>
      <c r="AC437" s="435" t="s">
        <v>965</v>
      </c>
      <c r="AD437" s="435"/>
      <c r="AE437" s="81"/>
      <c r="AF437" s="81"/>
      <c r="AG437" s="81"/>
      <c r="AH437" s="81"/>
      <c r="AI437" s="81"/>
    </row>
    <row r="438" spans="16:35">
      <c r="P438" s="81"/>
      <c r="Q438" s="81"/>
      <c r="R438" s="81"/>
      <c r="S438" s="81"/>
      <c r="T438" s="435"/>
      <c r="U438" s="435"/>
      <c r="V438" s="81"/>
      <c r="W438" s="81"/>
      <c r="X438" s="81"/>
      <c r="Y438" s="435"/>
      <c r="Z438" s="435"/>
      <c r="AA438" s="435"/>
      <c r="AB438" s="435"/>
      <c r="AC438" s="435" t="s">
        <v>965</v>
      </c>
      <c r="AD438" s="435"/>
      <c r="AE438" s="81"/>
      <c r="AF438" s="81"/>
      <c r="AG438" s="81"/>
      <c r="AH438" s="81"/>
      <c r="AI438" s="81"/>
    </row>
    <row r="439" spans="16:35">
      <c r="P439" s="81"/>
      <c r="Q439" s="81"/>
      <c r="R439" s="81"/>
      <c r="S439" s="81"/>
      <c r="T439" s="435"/>
      <c r="U439" s="435"/>
      <c r="V439" s="81"/>
      <c r="W439" s="81"/>
      <c r="X439" s="81"/>
      <c r="Y439" s="435"/>
      <c r="Z439" s="435"/>
      <c r="AA439" s="435"/>
      <c r="AB439" s="435"/>
      <c r="AC439" s="435" t="s">
        <v>965</v>
      </c>
      <c r="AD439" s="435"/>
      <c r="AE439" s="81"/>
      <c r="AF439" s="81"/>
      <c r="AG439" s="81"/>
      <c r="AH439" s="81"/>
      <c r="AI439" s="81"/>
    </row>
    <row r="440" spans="16:35">
      <c r="P440" s="81"/>
      <c r="Q440" s="81"/>
      <c r="R440" s="81"/>
      <c r="S440" s="81"/>
      <c r="T440" s="435"/>
      <c r="U440" s="435"/>
      <c r="V440" s="81"/>
      <c r="W440" s="81"/>
      <c r="X440" s="81"/>
      <c r="Y440" s="435"/>
      <c r="Z440" s="435"/>
      <c r="AA440" s="435"/>
      <c r="AB440" s="435"/>
      <c r="AC440" s="435" t="s">
        <v>965</v>
      </c>
      <c r="AD440" s="435"/>
      <c r="AE440" s="81"/>
      <c r="AF440" s="81"/>
      <c r="AG440" s="81"/>
      <c r="AH440" s="81"/>
      <c r="AI440" s="81"/>
    </row>
    <row r="441" spans="16:35">
      <c r="P441" s="81"/>
      <c r="Q441" s="81"/>
      <c r="R441" s="81"/>
      <c r="S441" s="81"/>
      <c r="T441" s="435"/>
      <c r="U441" s="435"/>
      <c r="V441" s="81"/>
      <c r="W441" s="81"/>
      <c r="X441" s="81"/>
      <c r="Y441" s="435"/>
      <c r="Z441" s="435"/>
      <c r="AA441" s="435"/>
      <c r="AB441" s="435"/>
      <c r="AC441" s="435" t="s">
        <v>965</v>
      </c>
      <c r="AD441" s="435"/>
      <c r="AE441" s="81"/>
      <c r="AF441" s="81"/>
      <c r="AG441" s="81"/>
      <c r="AH441" s="81"/>
      <c r="AI441" s="81"/>
    </row>
    <row r="442" spans="16:35">
      <c r="P442" s="81"/>
      <c r="Q442" s="81"/>
      <c r="R442" s="81"/>
      <c r="S442" s="81"/>
      <c r="T442" s="435"/>
      <c r="U442" s="435"/>
      <c r="V442" s="81"/>
      <c r="W442" s="81"/>
      <c r="X442" s="81"/>
      <c r="Y442" s="435"/>
      <c r="Z442" s="435"/>
      <c r="AA442" s="435"/>
      <c r="AB442" s="435"/>
      <c r="AC442" s="435" t="s">
        <v>965</v>
      </c>
      <c r="AD442" s="435"/>
      <c r="AE442" s="81"/>
      <c r="AF442" s="81"/>
      <c r="AG442" s="81"/>
      <c r="AH442" s="81"/>
      <c r="AI442" s="81"/>
    </row>
    <row r="443" spans="16:35">
      <c r="P443" s="81"/>
      <c r="Q443" s="81"/>
      <c r="R443" s="81"/>
      <c r="S443" s="81"/>
      <c r="T443" s="435"/>
      <c r="U443" s="435"/>
      <c r="V443" s="81"/>
      <c r="W443" s="81"/>
      <c r="X443" s="81"/>
      <c r="Y443" s="435"/>
      <c r="Z443" s="435"/>
      <c r="AA443" s="435"/>
      <c r="AB443" s="435"/>
      <c r="AC443" s="435" t="s">
        <v>965</v>
      </c>
      <c r="AD443" s="435"/>
      <c r="AE443" s="81"/>
      <c r="AF443" s="81"/>
      <c r="AG443" s="81"/>
      <c r="AH443" s="81"/>
      <c r="AI443" s="81"/>
    </row>
    <row r="444" spans="16:35">
      <c r="P444" s="81"/>
      <c r="Q444" s="81"/>
      <c r="R444" s="81"/>
      <c r="S444" s="81"/>
      <c r="T444" s="435"/>
      <c r="U444" s="435"/>
      <c r="V444" s="81"/>
      <c r="W444" s="81"/>
      <c r="X444" s="81"/>
      <c r="Y444" s="435"/>
      <c r="Z444" s="435"/>
      <c r="AA444" s="435"/>
      <c r="AB444" s="435"/>
      <c r="AC444" s="435" t="s">
        <v>965</v>
      </c>
      <c r="AD444" s="435"/>
      <c r="AE444" s="81"/>
      <c r="AF444" s="81"/>
      <c r="AG444" s="81"/>
      <c r="AH444" s="81"/>
      <c r="AI444" s="81"/>
    </row>
    <row r="445" spans="16:35">
      <c r="P445" s="81"/>
      <c r="Q445" s="81"/>
      <c r="R445" s="81"/>
      <c r="S445" s="81"/>
      <c r="T445" s="435"/>
      <c r="U445" s="435"/>
      <c r="V445" s="81"/>
      <c r="W445" s="81"/>
      <c r="X445" s="81"/>
      <c r="Y445" s="435"/>
      <c r="Z445" s="435"/>
      <c r="AA445" s="435"/>
      <c r="AB445" s="435"/>
      <c r="AC445" s="435" t="s">
        <v>965</v>
      </c>
      <c r="AD445" s="435"/>
      <c r="AE445" s="81"/>
      <c r="AF445" s="81"/>
      <c r="AG445" s="81"/>
      <c r="AH445" s="81"/>
      <c r="AI445" s="81"/>
    </row>
    <row r="446" spans="16:35">
      <c r="P446" s="81"/>
      <c r="Q446" s="81"/>
      <c r="R446" s="81"/>
      <c r="S446" s="81"/>
      <c r="T446" s="435"/>
      <c r="U446" s="435"/>
      <c r="V446" s="81"/>
      <c r="W446" s="81"/>
      <c r="X446" s="81"/>
      <c r="Y446" s="435"/>
      <c r="Z446" s="435"/>
      <c r="AA446" s="435"/>
      <c r="AB446" s="435"/>
      <c r="AC446" s="435" t="s">
        <v>965</v>
      </c>
      <c r="AD446" s="435"/>
      <c r="AE446" s="81"/>
      <c r="AF446" s="81"/>
      <c r="AG446" s="81"/>
      <c r="AH446" s="81"/>
      <c r="AI446" s="81"/>
    </row>
    <row r="447" spans="16:35">
      <c r="P447" s="81"/>
      <c r="Q447" s="81"/>
      <c r="R447" s="81"/>
      <c r="S447" s="81"/>
      <c r="T447" s="435"/>
      <c r="U447" s="435"/>
      <c r="V447" s="81"/>
      <c r="W447" s="81"/>
      <c r="X447" s="81"/>
      <c r="Y447" s="435"/>
      <c r="Z447" s="435"/>
      <c r="AA447" s="435"/>
      <c r="AB447" s="435"/>
      <c r="AC447" s="435" t="s">
        <v>965</v>
      </c>
      <c r="AD447" s="435"/>
      <c r="AE447" s="81"/>
      <c r="AF447" s="81"/>
      <c r="AG447" s="81"/>
      <c r="AH447" s="81"/>
      <c r="AI447" s="81"/>
    </row>
    <row r="448" spans="16:35">
      <c r="P448" s="81"/>
      <c r="Q448" s="81"/>
      <c r="R448" s="81"/>
      <c r="S448" s="81"/>
      <c r="T448" s="435"/>
      <c r="U448" s="435"/>
      <c r="V448" s="81"/>
      <c r="W448" s="81"/>
      <c r="X448" s="81"/>
      <c r="Y448" s="435"/>
      <c r="Z448" s="435"/>
      <c r="AA448" s="435"/>
      <c r="AB448" s="435"/>
      <c r="AC448" s="435" t="s">
        <v>965</v>
      </c>
      <c r="AD448" s="435"/>
      <c r="AE448" s="81"/>
      <c r="AF448" s="81"/>
      <c r="AG448" s="81"/>
      <c r="AH448" s="81"/>
      <c r="AI448" s="81"/>
    </row>
    <row r="449" spans="16:35">
      <c r="P449" s="81"/>
      <c r="Q449" s="81"/>
      <c r="R449" s="81"/>
      <c r="S449" s="81"/>
      <c r="T449" s="435"/>
      <c r="U449" s="435"/>
      <c r="V449" s="81"/>
      <c r="W449" s="81"/>
      <c r="X449" s="81"/>
      <c r="Y449" s="435"/>
      <c r="Z449" s="435"/>
      <c r="AA449" s="435"/>
      <c r="AB449" s="435"/>
      <c r="AC449" s="435" t="s">
        <v>965</v>
      </c>
      <c r="AD449" s="435"/>
      <c r="AE449" s="81"/>
      <c r="AF449" s="81"/>
      <c r="AG449" s="81"/>
      <c r="AH449" s="81"/>
      <c r="AI449" s="81"/>
    </row>
    <row r="450" spans="16:35">
      <c r="P450" s="81"/>
      <c r="Q450" s="81"/>
      <c r="R450" s="81"/>
      <c r="S450" s="81"/>
      <c r="T450" s="435"/>
      <c r="U450" s="435"/>
      <c r="V450" s="81"/>
      <c r="W450" s="81"/>
      <c r="X450" s="81"/>
      <c r="Y450" s="435"/>
      <c r="Z450" s="435"/>
      <c r="AA450" s="435"/>
      <c r="AB450" s="435"/>
      <c r="AC450" s="435" t="s">
        <v>965</v>
      </c>
      <c r="AD450" s="435"/>
      <c r="AE450" s="81"/>
      <c r="AF450" s="81"/>
      <c r="AG450" s="81"/>
      <c r="AH450" s="81"/>
      <c r="AI450" s="81"/>
    </row>
    <row r="451" spans="16:35">
      <c r="P451" s="81"/>
      <c r="Q451" s="81"/>
      <c r="R451" s="81"/>
      <c r="S451" s="81"/>
      <c r="T451" s="435"/>
      <c r="U451" s="435"/>
      <c r="V451" s="81"/>
      <c r="W451" s="81"/>
      <c r="X451" s="81"/>
      <c r="Y451" s="435"/>
      <c r="Z451" s="435"/>
      <c r="AA451" s="435"/>
      <c r="AB451" s="435"/>
      <c r="AC451" s="435" t="s">
        <v>965</v>
      </c>
      <c r="AD451" s="435"/>
      <c r="AE451" s="81"/>
      <c r="AF451" s="81"/>
      <c r="AG451" s="81"/>
      <c r="AH451" s="81"/>
      <c r="AI451" s="81"/>
    </row>
    <row r="452" spans="16:35">
      <c r="P452" s="81"/>
      <c r="Q452" s="81"/>
      <c r="R452" s="81"/>
      <c r="S452" s="81"/>
      <c r="T452" s="435"/>
      <c r="U452" s="435"/>
      <c r="V452" s="81"/>
      <c r="W452" s="81"/>
      <c r="X452" s="81"/>
      <c r="Y452" s="435"/>
      <c r="Z452" s="435"/>
      <c r="AA452" s="435"/>
      <c r="AB452" s="435"/>
      <c r="AC452" s="435" t="s">
        <v>965</v>
      </c>
      <c r="AD452" s="435"/>
      <c r="AE452" s="81"/>
      <c r="AF452" s="81"/>
      <c r="AG452" s="81"/>
      <c r="AH452" s="81"/>
      <c r="AI452" s="81"/>
    </row>
    <row r="453" spans="16:35">
      <c r="P453" s="81"/>
      <c r="Q453" s="81"/>
      <c r="R453" s="81"/>
      <c r="S453" s="81"/>
      <c r="T453" s="435"/>
      <c r="U453" s="435"/>
      <c r="V453" s="81"/>
      <c r="W453" s="81"/>
      <c r="X453" s="81"/>
      <c r="Y453" s="435"/>
      <c r="Z453" s="435"/>
      <c r="AA453" s="435"/>
      <c r="AB453" s="435"/>
      <c r="AC453" s="435" t="s">
        <v>965</v>
      </c>
      <c r="AD453" s="435"/>
      <c r="AE453" s="81"/>
      <c r="AF453" s="81"/>
      <c r="AG453" s="81"/>
      <c r="AH453" s="81"/>
      <c r="AI453" s="81"/>
    </row>
    <row r="454" spans="16:35">
      <c r="P454" s="81"/>
      <c r="Q454" s="81"/>
      <c r="R454" s="81"/>
      <c r="S454" s="81"/>
      <c r="T454" s="435"/>
      <c r="U454" s="435"/>
      <c r="V454" s="81"/>
      <c r="W454" s="81"/>
      <c r="X454" s="81"/>
      <c r="Y454" s="435"/>
      <c r="Z454" s="435"/>
      <c r="AA454" s="435"/>
      <c r="AB454" s="435"/>
      <c r="AC454" s="435" t="s">
        <v>965</v>
      </c>
      <c r="AD454" s="435"/>
      <c r="AE454" s="81"/>
      <c r="AF454" s="81"/>
      <c r="AG454" s="81"/>
      <c r="AH454" s="81"/>
      <c r="AI454" s="81"/>
    </row>
    <row r="455" spans="16:35">
      <c r="P455" s="81"/>
      <c r="Q455" s="81"/>
      <c r="R455" s="81"/>
      <c r="S455" s="81"/>
      <c r="T455" s="435"/>
      <c r="U455" s="435"/>
      <c r="V455" s="81"/>
      <c r="W455" s="81"/>
      <c r="X455" s="81"/>
      <c r="Y455" s="435"/>
      <c r="Z455" s="435"/>
      <c r="AA455" s="435"/>
      <c r="AB455" s="435"/>
      <c r="AC455" s="435" t="s">
        <v>965</v>
      </c>
      <c r="AD455" s="435"/>
      <c r="AE455" s="81"/>
      <c r="AF455" s="81"/>
      <c r="AG455" s="81"/>
      <c r="AH455" s="81"/>
      <c r="AI455" s="81"/>
    </row>
    <row r="456" spans="16:35">
      <c r="P456" s="81"/>
      <c r="Q456" s="81"/>
      <c r="R456" s="81"/>
      <c r="S456" s="81"/>
      <c r="T456" s="435"/>
      <c r="U456" s="435"/>
      <c r="V456" s="81"/>
      <c r="W456" s="81"/>
      <c r="X456" s="81"/>
      <c r="Y456" s="435"/>
      <c r="Z456" s="435"/>
      <c r="AA456" s="435"/>
      <c r="AB456" s="435"/>
      <c r="AC456" s="435" t="s">
        <v>965</v>
      </c>
      <c r="AD456" s="435"/>
      <c r="AE456" s="81"/>
      <c r="AF456" s="81"/>
      <c r="AG456" s="81"/>
      <c r="AH456" s="81"/>
      <c r="AI456" s="81"/>
    </row>
    <row r="457" spans="16:35">
      <c r="P457" s="81"/>
      <c r="Q457" s="81"/>
      <c r="R457" s="81"/>
      <c r="S457" s="81"/>
      <c r="T457" s="435"/>
      <c r="U457" s="435"/>
      <c r="V457" s="81"/>
      <c r="W457" s="81"/>
      <c r="X457" s="81"/>
      <c r="Y457" s="435"/>
      <c r="Z457" s="435"/>
      <c r="AA457" s="435"/>
      <c r="AB457" s="435"/>
      <c r="AC457" s="435" t="s">
        <v>965</v>
      </c>
      <c r="AD457" s="435"/>
      <c r="AE457" s="81"/>
      <c r="AF457" s="81"/>
      <c r="AG457" s="81"/>
      <c r="AH457" s="81"/>
      <c r="AI457" s="81"/>
    </row>
    <row r="458" spans="16:35">
      <c r="P458" s="81"/>
      <c r="Q458" s="81"/>
      <c r="R458" s="81"/>
      <c r="S458" s="81"/>
      <c r="T458" s="435"/>
      <c r="U458" s="435"/>
      <c r="V458" s="81"/>
      <c r="W458" s="81"/>
      <c r="X458" s="81"/>
      <c r="Y458" s="435"/>
      <c r="Z458" s="435"/>
      <c r="AA458" s="435"/>
      <c r="AB458" s="435"/>
      <c r="AC458" s="435" t="s">
        <v>965</v>
      </c>
      <c r="AD458" s="435"/>
      <c r="AE458" s="81"/>
      <c r="AF458" s="81"/>
      <c r="AG458" s="81"/>
      <c r="AH458" s="81"/>
      <c r="AI458" s="81"/>
    </row>
    <row r="459" spans="16:35">
      <c r="P459" s="81"/>
      <c r="Q459" s="81"/>
      <c r="R459" s="81"/>
      <c r="S459" s="81"/>
      <c r="T459" s="435"/>
      <c r="U459" s="435"/>
      <c r="V459" s="81"/>
      <c r="W459" s="81"/>
      <c r="X459" s="81"/>
      <c r="Y459" s="435"/>
      <c r="Z459" s="435"/>
      <c r="AA459" s="435"/>
      <c r="AB459" s="435"/>
      <c r="AC459" s="435" t="s">
        <v>965</v>
      </c>
      <c r="AD459" s="435"/>
      <c r="AE459" s="81"/>
      <c r="AF459" s="81"/>
      <c r="AG459" s="81"/>
      <c r="AH459" s="81"/>
      <c r="AI459" s="81"/>
    </row>
    <row r="460" spans="16:35">
      <c r="P460" s="81"/>
      <c r="Q460" s="81"/>
      <c r="R460" s="81"/>
      <c r="S460" s="81"/>
      <c r="T460" s="435"/>
      <c r="U460" s="435"/>
      <c r="V460" s="81"/>
      <c r="W460" s="81"/>
      <c r="X460" s="81"/>
      <c r="Y460" s="435"/>
      <c r="Z460" s="435"/>
      <c r="AA460" s="435"/>
      <c r="AB460" s="435"/>
      <c r="AC460" s="435" t="s">
        <v>965</v>
      </c>
      <c r="AD460" s="435"/>
      <c r="AE460" s="81"/>
      <c r="AF460" s="81"/>
      <c r="AG460" s="81"/>
      <c r="AH460" s="81"/>
      <c r="AI460" s="81"/>
    </row>
    <row r="461" spans="16:35">
      <c r="P461" s="81"/>
      <c r="Q461" s="81"/>
      <c r="R461" s="81"/>
      <c r="S461" s="81"/>
      <c r="T461" s="435"/>
      <c r="U461" s="435"/>
      <c r="V461" s="81"/>
      <c r="W461" s="81"/>
      <c r="X461" s="81"/>
      <c r="Y461" s="435"/>
      <c r="Z461" s="435"/>
      <c r="AA461" s="435"/>
      <c r="AB461" s="435"/>
      <c r="AC461" s="435" t="s">
        <v>965</v>
      </c>
      <c r="AD461" s="435"/>
      <c r="AE461" s="81"/>
      <c r="AF461" s="81"/>
      <c r="AG461" s="81"/>
      <c r="AH461" s="81"/>
      <c r="AI461" s="81"/>
    </row>
    <row r="462" spans="16:35">
      <c r="P462" s="81"/>
      <c r="Q462" s="81"/>
      <c r="R462" s="81"/>
      <c r="S462" s="81"/>
      <c r="T462" s="435"/>
      <c r="U462" s="435"/>
      <c r="V462" s="81"/>
      <c r="W462" s="81"/>
      <c r="X462" s="81"/>
      <c r="Y462" s="435"/>
      <c r="Z462" s="435"/>
      <c r="AA462" s="435"/>
      <c r="AB462" s="435"/>
      <c r="AC462" s="435" t="s">
        <v>965</v>
      </c>
      <c r="AD462" s="435"/>
      <c r="AE462" s="81"/>
      <c r="AF462" s="81"/>
      <c r="AG462" s="81"/>
      <c r="AH462" s="81"/>
      <c r="AI462" s="81"/>
    </row>
    <row r="463" spans="16:35">
      <c r="P463" s="81"/>
      <c r="Q463" s="81"/>
      <c r="R463" s="81"/>
      <c r="S463" s="81"/>
      <c r="T463" s="435"/>
      <c r="U463" s="435"/>
      <c r="V463" s="81"/>
      <c r="W463" s="81"/>
      <c r="X463" s="81"/>
      <c r="Y463" s="435"/>
      <c r="Z463" s="435"/>
      <c r="AA463" s="435"/>
      <c r="AB463" s="435"/>
      <c r="AC463" s="435" t="s">
        <v>965</v>
      </c>
      <c r="AD463" s="435"/>
      <c r="AE463" s="81"/>
      <c r="AF463" s="81"/>
      <c r="AG463" s="81"/>
      <c r="AH463" s="81"/>
      <c r="AI463" s="81"/>
    </row>
    <row r="464" spans="16:35">
      <c r="P464" s="81"/>
      <c r="Q464" s="81"/>
      <c r="R464" s="81"/>
      <c r="S464" s="81"/>
      <c r="T464" s="435"/>
      <c r="U464" s="435"/>
      <c r="V464" s="81"/>
      <c r="W464" s="81"/>
      <c r="X464" s="81"/>
      <c r="Y464" s="435"/>
      <c r="Z464" s="435"/>
      <c r="AA464" s="435"/>
      <c r="AB464" s="435"/>
      <c r="AC464" s="435" t="s">
        <v>965</v>
      </c>
      <c r="AD464" s="435"/>
      <c r="AE464" s="81"/>
      <c r="AF464" s="81"/>
      <c r="AG464" s="81"/>
      <c r="AH464" s="81"/>
      <c r="AI464" s="81"/>
    </row>
    <row r="465" spans="1:35">
      <c r="P465" s="81"/>
      <c r="Q465" s="81"/>
      <c r="R465" s="81"/>
      <c r="S465" s="81"/>
      <c r="T465" s="435"/>
      <c r="U465" s="435"/>
      <c r="V465" s="81"/>
      <c r="W465" s="81"/>
      <c r="X465" s="81"/>
      <c r="Y465" s="435"/>
      <c r="Z465" s="435"/>
      <c r="AA465" s="435"/>
      <c r="AB465" s="435"/>
      <c r="AC465" s="435" t="s">
        <v>965</v>
      </c>
      <c r="AD465" s="435"/>
      <c r="AE465" s="81"/>
      <c r="AF465" s="81"/>
      <c r="AG465" s="81"/>
      <c r="AH465" s="81"/>
      <c r="AI465" s="81"/>
    </row>
    <row r="466" spans="1:35">
      <c r="P466" s="81"/>
      <c r="Q466" s="81"/>
      <c r="R466" s="81"/>
      <c r="S466" s="81"/>
      <c r="T466" s="435"/>
      <c r="U466" s="435"/>
      <c r="V466" s="81"/>
      <c r="W466" s="81"/>
      <c r="X466" s="81"/>
      <c r="Y466" s="435"/>
      <c r="Z466" s="435"/>
      <c r="AA466" s="435"/>
      <c r="AB466" s="435"/>
      <c r="AC466" s="435" t="s">
        <v>965</v>
      </c>
      <c r="AD466" s="435"/>
      <c r="AE466" s="81"/>
      <c r="AF466" s="81"/>
      <c r="AG466" s="81"/>
      <c r="AH466" s="81"/>
      <c r="AI466" s="81"/>
    </row>
    <row r="467" spans="1:35">
      <c r="P467" s="81"/>
      <c r="Q467" s="81"/>
      <c r="R467" s="81"/>
      <c r="S467" s="81"/>
      <c r="T467" s="435"/>
      <c r="U467" s="435"/>
      <c r="V467" s="81"/>
      <c r="W467" s="81"/>
      <c r="X467" s="81"/>
      <c r="Y467" s="435"/>
      <c r="Z467" s="435"/>
      <c r="AA467" s="435"/>
      <c r="AB467" s="435"/>
      <c r="AC467" s="435" t="s">
        <v>965</v>
      </c>
      <c r="AD467" s="435"/>
      <c r="AE467" s="81"/>
      <c r="AF467" s="81"/>
      <c r="AG467" s="81"/>
      <c r="AH467" s="81"/>
      <c r="AI467" s="81"/>
    </row>
    <row r="468" spans="1:35">
      <c r="P468" s="81"/>
      <c r="Q468" s="81"/>
      <c r="R468" s="81"/>
      <c r="S468" s="81"/>
      <c r="T468" s="435"/>
      <c r="U468" s="435"/>
      <c r="V468" s="81"/>
      <c r="W468" s="81"/>
      <c r="X468" s="81"/>
      <c r="Y468" s="435"/>
      <c r="Z468" s="435"/>
      <c r="AA468" s="435"/>
      <c r="AB468" s="435"/>
      <c r="AC468" s="435" t="s">
        <v>965</v>
      </c>
      <c r="AD468" s="435"/>
      <c r="AE468" s="81"/>
      <c r="AF468" s="81"/>
      <c r="AG468" s="81"/>
      <c r="AH468" s="81"/>
      <c r="AI468" s="81"/>
    </row>
    <row r="469" spans="1:35">
      <c r="P469" s="81"/>
      <c r="Q469" s="81"/>
      <c r="R469" s="81"/>
      <c r="S469" s="81"/>
      <c r="T469" s="435"/>
      <c r="U469" s="435"/>
      <c r="V469" s="81"/>
      <c r="W469" s="81"/>
      <c r="X469" s="81"/>
      <c r="Y469" s="435"/>
      <c r="Z469" s="435"/>
      <c r="AA469" s="435"/>
      <c r="AB469" s="435"/>
      <c r="AC469" s="435" t="s">
        <v>965</v>
      </c>
      <c r="AD469" s="435"/>
      <c r="AE469" s="81"/>
      <c r="AF469" s="81"/>
      <c r="AG469" s="81"/>
      <c r="AH469" s="81"/>
      <c r="AI469" s="81"/>
    </row>
    <row r="470" spans="1:35">
      <c r="P470" s="81"/>
      <c r="Q470" s="81"/>
      <c r="R470" s="81"/>
      <c r="S470" s="81"/>
      <c r="T470" s="435"/>
      <c r="U470" s="435"/>
      <c r="V470" s="81"/>
      <c r="W470" s="81"/>
      <c r="X470" s="81"/>
      <c r="Y470" s="435"/>
      <c r="Z470" s="435"/>
      <c r="AA470" s="435"/>
      <c r="AB470" s="435"/>
      <c r="AC470" s="435" t="s">
        <v>965</v>
      </c>
      <c r="AD470" s="435"/>
      <c r="AE470" s="81"/>
      <c r="AF470" s="81"/>
      <c r="AG470" s="81"/>
      <c r="AH470" s="81"/>
      <c r="AI470" s="81"/>
    </row>
    <row r="471" spans="1:35">
      <c r="P471" s="81"/>
      <c r="Q471" s="81"/>
      <c r="R471" s="81"/>
      <c r="S471" s="81"/>
      <c r="T471" s="435"/>
      <c r="U471" s="435"/>
      <c r="V471" s="81"/>
      <c r="W471" s="81"/>
      <c r="X471" s="81"/>
      <c r="Y471" s="435"/>
      <c r="Z471" s="435"/>
      <c r="AA471" s="435"/>
      <c r="AB471" s="435"/>
      <c r="AC471" s="435" t="s">
        <v>965</v>
      </c>
      <c r="AD471" s="435"/>
      <c r="AE471" s="81"/>
      <c r="AF471" s="81"/>
      <c r="AG471" s="81"/>
      <c r="AH471" s="81"/>
      <c r="AI471" s="81"/>
    </row>
    <row r="472" spans="1:35">
      <c r="P472" s="81"/>
      <c r="Q472" s="81"/>
      <c r="R472" s="81"/>
      <c r="S472" s="81"/>
      <c r="T472" s="435"/>
      <c r="U472" s="435"/>
      <c r="V472" s="81"/>
      <c r="W472" s="81"/>
      <c r="X472" s="81"/>
      <c r="Y472" s="435"/>
      <c r="Z472" s="435"/>
      <c r="AA472" s="435"/>
      <c r="AB472" s="435"/>
      <c r="AC472" s="435" t="s">
        <v>965</v>
      </c>
      <c r="AD472" s="435"/>
      <c r="AE472" s="81"/>
      <c r="AF472" s="81"/>
      <c r="AG472" s="81"/>
      <c r="AH472" s="81"/>
      <c r="AI472" s="81"/>
    </row>
    <row r="473" spans="1:35">
      <c r="P473" s="81"/>
      <c r="Q473" s="81"/>
      <c r="R473" s="81"/>
      <c r="S473" s="81"/>
      <c r="T473" s="435"/>
      <c r="U473" s="435"/>
      <c r="V473" s="81"/>
      <c r="W473" s="81"/>
      <c r="X473" s="81"/>
      <c r="Y473" s="435"/>
      <c r="Z473" s="435"/>
      <c r="AA473" s="435"/>
      <c r="AB473" s="435"/>
      <c r="AC473" s="435" t="s">
        <v>965</v>
      </c>
      <c r="AD473" s="435"/>
      <c r="AE473" s="81"/>
      <c r="AF473" s="81"/>
      <c r="AG473" s="81"/>
      <c r="AH473" s="81"/>
      <c r="AI473" s="81"/>
    </row>
    <row r="475" spans="1:35" s="1" customFormat="1">
      <c r="A475" s="66"/>
      <c r="B475" s="78" t="s">
        <v>2754</v>
      </c>
      <c r="P475" s="115"/>
      <c r="Q475" s="115"/>
    </row>
    <row r="477" spans="1:35">
      <c r="P477" s="81"/>
      <c r="Q477" s="81"/>
      <c r="R477" s="81"/>
      <c r="S477" s="81"/>
      <c r="T477" s="435"/>
      <c r="U477" s="435"/>
      <c r="V477" s="81"/>
      <c r="W477" s="81"/>
      <c r="X477" s="81"/>
      <c r="Y477" s="435"/>
      <c r="Z477" s="435"/>
      <c r="AA477" s="435"/>
      <c r="AB477" s="435"/>
      <c r="AC477" s="435" t="s">
        <v>965</v>
      </c>
      <c r="AD477" s="435"/>
      <c r="AE477" s="81"/>
      <c r="AF477" s="81"/>
      <c r="AG477" s="81"/>
      <c r="AH477" s="81"/>
      <c r="AI477" s="81"/>
    </row>
    <row r="478" spans="1:35">
      <c r="P478" s="81"/>
      <c r="Q478" s="81"/>
      <c r="R478" s="81"/>
      <c r="S478" s="81"/>
      <c r="T478" s="435"/>
      <c r="U478" s="435"/>
      <c r="V478" s="81"/>
      <c r="W478" s="81"/>
      <c r="X478" s="81"/>
      <c r="Y478" s="435"/>
      <c r="Z478" s="435"/>
      <c r="AA478" s="435"/>
      <c r="AB478" s="435"/>
      <c r="AC478" s="435" t="s">
        <v>965</v>
      </c>
      <c r="AD478" s="435"/>
      <c r="AE478" s="81"/>
      <c r="AF478" s="81"/>
      <c r="AG478" s="81"/>
      <c r="AH478" s="81"/>
      <c r="AI478" s="81"/>
    </row>
    <row r="479" spans="1:35">
      <c r="P479" s="81"/>
      <c r="Q479" s="81"/>
      <c r="R479" s="81"/>
      <c r="S479" s="81"/>
      <c r="T479" s="435"/>
      <c r="U479" s="435"/>
      <c r="V479" s="81"/>
      <c r="W479" s="81"/>
      <c r="X479" s="81"/>
      <c r="Y479" s="435"/>
      <c r="Z479" s="435"/>
      <c r="AA479" s="435"/>
      <c r="AB479" s="435"/>
      <c r="AC479" s="435" t="s">
        <v>965</v>
      </c>
      <c r="AD479" s="435"/>
      <c r="AE479" s="81"/>
      <c r="AF479" s="81"/>
      <c r="AG479" s="81"/>
      <c r="AH479" s="81"/>
      <c r="AI479" s="81"/>
    </row>
    <row r="480" spans="1:35">
      <c r="P480" s="81"/>
      <c r="Q480" s="81"/>
      <c r="R480" s="81"/>
      <c r="S480" s="81"/>
      <c r="T480" s="435"/>
      <c r="U480" s="435"/>
      <c r="V480" s="81"/>
      <c r="W480" s="81"/>
      <c r="X480" s="81"/>
      <c r="Y480" s="435"/>
      <c r="Z480" s="435"/>
      <c r="AA480" s="435"/>
      <c r="AB480" s="435"/>
      <c r="AC480" s="435" t="s">
        <v>965</v>
      </c>
      <c r="AD480" s="435"/>
      <c r="AE480" s="81"/>
      <c r="AF480" s="81"/>
      <c r="AG480" s="81"/>
      <c r="AH480" s="81"/>
      <c r="AI480" s="81"/>
    </row>
    <row r="481" spans="16:35">
      <c r="P481" s="81"/>
      <c r="Q481" s="81"/>
      <c r="R481" s="81"/>
      <c r="S481" s="81"/>
      <c r="T481" s="435"/>
      <c r="U481" s="435"/>
      <c r="V481" s="81"/>
      <c r="W481" s="81"/>
      <c r="X481" s="81"/>
      <c r="Y481" s="435"/>
      <c r="Z481" s="435"/>
      <c r="AA481" s="435"/>
      <c r="AB481" s="435"/>
      <c r="AC481" s="435" t="s">
        <v>965</v>
      </c>
      <c r="AD481" s="435"/>
      <c r="AE481" s="81"/>
      <c r="AF481" s="81"/>
      <c r="AG481" s="81"/>
      <c r="AH481" s="81"/>
      <c r="AI481" s="81"/>
    </row>
    <row r="482" spans="16:35">
      <c r="P482" s="81"/>
      <c r="Q482" s="81"/>
      <c r="R482" s="81"/>
      <c r="S482" s="81"/>
      <c r="T482" s="435"/>
      <c r="U482" s="435"/>
      <c r="V482" s="81"/>
      <c r="W482" s="81"/>
      <c r="X482" s="81"/>
      <c r="Y482" s="435"/>
      <c r="Z482" s="435"/>
      <c r="AA482" s="435"/>
      <c r="AB482" s="435"/>
      <c r="AC482" s="435" t="s">
        <v>965</v>
      </c>
      <c r="AD482" s="435"/>
      <c r="AE482" s="81"/>
      <c r="AF482" s="81"/>
      <c r="AG482" s="81"/>
      <c r="AH482" s="81"/>
      <c r="AI482" s="81"/>
    </row>
    <row r="483" spans="16:35">
      <c r="P483" s="81"/>
      <c r="Q483" s="81"/>
      <c r="R483" s="81"/>
      <c r="S483" s="81"/>
      <c r="T483" s="435"/>
      <c r="U483" s="435"/>
      <c r="V483" s="81"/>
      <c r="W483" s="81"/>
      <c r="X483" s="81"/>
      <c r="Y483" s="435"/>
      <c r="Z483" s="435"/>
      <c r="AA483" s="435"/>
      <c r="AB483" s="435"/>
      <c r="AC483" s="435" t="s">
        <v>965</v>
      </c>
      <c r="AD483" s="435"/>
      <c r="AE483" s="81"/>
      <c r="AF483" s="81"/>
      <c r="AG483" s="81"/>
      <c r="AH483" s="81"/>
      <c r="AI483" s="81"/>
    </row>
    <row r="484" spans="16:35">
      <c r="P484" s="81"/>
      <c r="Q484" s="81"/>
      <c r="R484" s="81"/>
      <c r="S484" s="81"/>
      <c r="T484" s="435"/>
      <c r="U484" s="435"/>
      <c r="V484" s="81"/>
      <c r="W484" s="81"/>
      <c r="X484" s="81"/>
      <c r="Y484" s="435"/>
      <c r="Z484" s="435"/>
      <c r="AA484" s="435"/>
      <c r="AB484" s="435"/>
      <c r="AC484" s="435" t="s">
        <v>965</v>
      </c>
      <c r="AD484" s="435"/>
      <c r="AE484" s="81"/>
      <c r="AF484" s="81"/>
      <c r="AG484" s="81"/>
      <c r="AH484" s="81"/>
      <c r="AI484" s="81"/>
    </row>
    <row r="485" spans="16:35">
      <c r="P485" s="81"/>
      <c r="Q485" s="81"/>
      <c r="R485" s="81"/>
      <c r="S485" s="81"/>
      <c r="T485" s="435"/>
      <c r="U485" s="435"/>
      <c r="V485" s="81"/>
      <c r="W485" s="81"/>
      <c r="X485" s="81"/>
      <c r="Y485" s="435"/>
      <c r="Z485" s="435"/>
      <c r="AA485" s="435"/>
      <c r="AB485" s="435"/>
      <c r="AC485" s="435" t="s">
        <v>965</v>
      </c>
      <c r="AD485" s="435"/>
      <c r="AE485" s="81"/>
      <c r="AF485" s="81"/>
      <c r="AG485" s="81"/>
      <c r="AH485" s="81"/>
      <c r="AI485" s="81"/>
    </row>
    <row r="486" spans="16:35">
      <c r="P486" s="81"/>
      <c r="Q486" s="81"/>
      <c r="R486" s="81"/>
      <c r="S486" s="81"/>
      <c r="T486" s="435"/>
      <c r="U486" s="435"/>
      <c r="V486" s="81"/>
      <c r="W486" s="81"/>
      <c r="X486" s="81"/>
      <c r="Y486" s="435"/>
      <c r="Z486" s="435"/>
      <c r="AA486" s="435"/>
      <c r="AB486" s="435"/>
      <c r="AC486" s="435" t="s">
        <v>965</v>
      </c>
      <c r="AD486" s="435"/>
      <c r="AE486" s="81"/>
      <c r="AF486" s="81"/>
      <c r="AG486" s="81"/>
      <c r="AH486" s="81"/>
      <c r="AI486" s="81"/>
    </row>
    <row r="487" spans="16:35">
      <c r="P487" s="81"/>
      <c r="Q487" s="81"/>
      <c r="R487" s="81"/>
      <c r="S487" s="81"/>
      <c r="T487" s="435"/>
      <c r="U487" s="435"/>
      <c r="V487" s="81"/>
      <c r="W487" s="81"/>
      <c r="X487" s="81"/>
      <c r="Y487" s="435"/>
      <c r="Z487" s="435"/>
      <c r="AA487" s="435"/>
      <c r="AB487" s="435"/>
      <c r="AC487" s="435" t="s">
        <v>965</v>
      </c>
      <c r="AD487" s="435"/>
      <c r="AE487" s="81"/>
      <c r="AF487" s="81"/>
      <c r="AG487" s="81"/>
      <c r="AH487" s="81"/>
      <c r="AI487" s="81"/>
    </row>
    <row r="488" spans="16:35">
      <c r="P488" s="81"/>
      <c r="Q488" s="81"/>
      <c r="R488" s="81"/>
      <c r="S488" s="81"/>
      <c r="T488" s="435"/>
      <c r="U488" s="435"/>
      <c r="V488" s="81"/>
      <c r="W488" s="81"/>
      <c r="X488" s="81"/>
      <c r="Y488" s="435"/>
      <c r="Z488" s="435"/>
      <c r="AA488" s="435"/>
      <c r="AB488" s="435"/>
      <c r="AC488" s="435" t="s">
        <v>965</v>
      </c>
      <c r="AD488" s="435"/>
      <c r="AE488" s="81"/>
      <c r="AF488" s="81"/>
      <c r="AG488" s="81"/>
      <c r="AH488" s="81"/>
      <c r="AI488" s="81"/>
    </row>
    <row r="489" spans="16:35">
      <c r="P489" s="81"/>
      <c r="Q489" s="81"/>
      <c r="R489" s="81"/>
      <c r="S489" s="81"/>
      <c r="T489" s="435"/>
      <c r="U489" s="435"/>
      <c r="V489" s="81"/>
      <c r="W489" s="81"/>
      <c r="X489" s="81"/>
      <c r="Y489" s="435"/>
      <c r="Z489" s="435"/>
      <c r="AA489" s="435"/>
      <c r="AB489" s="435"/>
      <c r="AC489" s="435" t="s">
        <v>965</v>
      </c>
      <c r="AD489" s="435"/>
      <c r="AE489" s="81"/>
      <c r="AF489" s="81"/>
      <c r="AG489" s="81"/>
      <c r="AH489" s="81"/>
      <c r="AI489" s="81"/>
    </row>
    <row r="490" spans="16:35">
      <c r="P490" s="81"/>
      <c r="Q490" s="81"/>
      <c r="R490" s="81"/>
      <c r="S490" s="81"/>
      <c r="T490" s="435"/>
      <c r="U490" s="435"/>
      <c r="V490" s="81"/>
      <c r="W490" s="81"/>
      <c r="X490" s="81"/>
      <c r="Y490" s="435"/>
      <c r="Z490" s="435"/>
      <c r="AA490" s="435"/>
      <c r="AB490" s="435"/>
      <c r="AC490" s="435" t="s">
        <v>965</v>
      </c>
      <c r="AD490" s="435"/>
      <c r="AE490" s="81"/>
      <c r="AF490" s="81"/>
      <c r="AG490" s="81"/>
      <c r="AH490" s="81"/>
      <c r="AI490" s="81"/>
    </row>
    <row r="491" spans="16:35">
      <c r="P491" s="81"/>
      <c r="Q491" s="81"/>
      <c r="R491" s="81"/>
      <c r="S491" s="81"/>
      <c r="T491" s="435"/>
      <c r="U491" s="435"/>
      <c r="V491" s="81"/>
      <c r="W491" s="81"/>
      <c r="X491" s="81"/>
      <c r="Y491" s="435"/>
      <c r="Z491" s="435"/>
      <c r="AA491" s="435"/>
      <c r="AB491" s="435"/>
      <c r="AC491" s="435" t="s">
        <v>965</v>
      </c>
      <c r="AD491" s="435"/>
      <c r="AE491" s="81"/>
      <c r="AF491" s="81"/>
      <c r="AG491" s="81"/>
      <c r="AH491" s="81"/>
      <c r="AI491" s="81"/>
    </row>
    <row r="492" spans="16:35">
      <c r="P492" s="81"/>
      <c r="Q492" s="81"/>
      <c r="R492" s="81"/>
      <c r="S492" s="81"/>
      <c r="T492" s="435"/>
      <c r="U492" s="435"/>
      <c r="V492" s="81"/>
      <c r="W492" s="81"/>
      <c r="X492" s="81"/>
      <c r="Y492" s="435"/>
      <c r="Z492" s="435"/>
      <c r="AA492" s="435"/>
      <c r="AB492" s="435"/>
      <c r="AC492" s="435" t="s">
        <v>965</v>
      </c>
      <c r="AD492" s="435"/>
      <c r="AE492" s="81"/>
      <c r="AF492" s="81"/>
      <c r="AG492" s="81"/>
      <c r="AH492" s="81"/>
      <c r="AI492" s="81"/>
    </row>
    <row r="493" spans="16:35">
      <c r="P493" s="81"/>
      <c r="Q493" s="81"/>
      <c r="R493" s="81"/>
      <c r="S493" s="81"/>
      <c r="T493" s="435"/>
      <c r="U493" s="435"/>
      <c r="V493" s="81"/>
      <c r="W493" s="81"/>
      <c r="X493" s="81"/>
      <c r="Y493" s="435"/>
      <c r="Z493" s="435"/>
      <c r="AA493" s="435"/>
      <c r="AB493" s="435"/>
      <c r="AC493" s="435" t="s">
        <v>965</v>
      </c>
      <c r="AD493" s="435"/>
      <c r="AE493" s="81"/>
      <c r="AF493" s="81"/>
      <c r="AG493" s="81"/>
      <c r="AH493" s="81"/>
      <c r="AI493" s="81"/>
    </row>
    <row r="494" spans="16:35">
      <c r="P494" s="81"/>
      <c r="Q494" s="81"/>
      <c r="R494" s="81"/>
      <c r="S494" s="81"/>
      <c r="T494" s="435"/>
      <c r="U494" s="435"/>
      <c r="V494" s="81"/>
      <c r="W494" s="81"/>
      <c r="X494" s="81"/>
      <c r="Y494" s="435"/>
      <c r="Z494" s="435"/>
      <c r="AA494" s="435"/>
      <c r="AB494" s="435"/>
      <c r="AC494" s="435" t="s">
        <v>965</v>
      </c>
      <c r="AD494" s="435"/>
      <c r="AE494" s="81"/>
      <c r="AF494" s="81"/>
      <c r="AG494" s="81"/>
      <c r="AH494" s="81"/>
      <c r="AI494" s="81"/>
    </row>
    <row r="495" spans="16:35">
      <c r="P495" s="81"/>
      <c r="Q495" s="81"/>
      <c r="R495" s="81"/>
      <c r="S495" s="81"/>
      <c r="T495" s="435"/>
      <c r="U495" s="435"/>
      <c r="V495" s="81"/>
      <c r="W495" s="81"/>
      <c r="X495" s="81"/>
      <c r="Y495" s="435"/>
      <c r="Z495" s="435"/>
      <c r="AA495" s="435"/>
      <c r="AB495" s="435"/>
      <c r="AC495" s="435" t="s">
        <v>965</v>
      </c>
      <c r="AD495" s="435"/>
      <c r="AE495" s="81"/>
      <c r="AF495" s="81"/>
      <c r="AG495" s="81"/>
      <c r="AH495" s="81"/>
      <c r="AI495" s="81"/>
    </row>
    <row r="496" spans="16:35">
      <c r="P496" s="81"/>
      <c r="Q496" s="81"/>
      <c r="R496" s="81"/>
      <c r="S496" s="81"/>
      <c r="T496" s="435"/>
      <c r="U496" s="435"/>
      <c r="V496" s="81"/>
      <c r="W496" s="81"/>
      <c r="X496" s="81"/>
      <c r="Y496" s="435"/>
      <c r="Z496" s="435"/>
      <c r="AA496" s="435"/>
      <c r="AB496" s="435"/>
      <c r="AC496" s="435" t="s">
        <v>965</v>
      </c>
      <c r="AD496" s="435"/>
      <c r="AE496" s="81"/>
      <c r="AF496" s="81"/>
      <c r="AG496" s="81"/>
      <c r="AH496" s="81"/>
      <c r="AI496" s="81"/>
    </row>
    <row r="497" spans="16:35">
      <c r="P497" s="81"/>
      <c r="Q497" s="81"/>
      <c r="R497" s="81"/>
      <c r="S497" s="81"/>
      <c r="T497" s="435"/>
      <c r="U497" s="435"/>
      <c r="V497" s="81"/>
      <c r="W497" s="81"/>
      <c r="X497" s="81"/>
      <c r="Y497" s="435"/>
      <c r="Z497" s="435"/>
      <c r="AA497" s="435"/>
      <c r="AB497" s="435"/>
      <c r="AC497" s="435" t="s">
        <v>965</v>
      </c>
      <c r="AD497" s="435"/>
      <c r="AE497" s="81"/>
      <c r="AF497" s="81"/>
      <c r="AG497" s="81"/>
      <c r="AH497" s="81"/>
      <c r="AI497" s="81"/>
    </row>
    <row r="498" spans="16:35">
      <c r="P498" s="81"/>
      <c r="Q498" s="81"/>
      <c r="R498" s="81"/>
      <c r="S498" s="81"/>
      <c r="T498" s="435"/>
      <c r="U498" s="435"/>
      <c r="V498" s="81"/>
      <c r="W498" s="81"/>
      <c r="X498" s="81"/>
      <c r="Y498" s="435"/>
      <c r="Z498" s="435"/>
      <c r="AA498" s="435"/>
      <c r="AB498" s="435"/>
      <c r="AC498" s="435" t="s">
        <v>965</v>
      </c>
      <c r="AD498" s="435"/>
      <c r="AE498" s="81"/>
      <c r="AF498" s="81"/>
      <c r="AG498" s="81"/>
      <c r="AH498" s="81"/>
      <c r="AI498" s="81"/>
    </row>
    <row r="499" spans="16:35">
      <c r="P499" s="81"/>
      <c r="Q499" s="81"/>
      <c r="R499" s="81"/>
      <c r="S499" s="81"/>
      <c r="T499" s="435"/>
      <c r="U499" s="435"/>
      <c r="V499" s="81"/>
      <c r="W499" s="81"/>
      <c r="X499" s="81"/>
      <c r="Y499" s="435"/>
      <c r="Z499" s="435"/>
      <c r="AA499" s="435"/>
      <c r="AB499" s="435"/>
      <c r="AC499" s="435" t="s">
        <v>965</v>
      </c>
      <c r="AD499" s="435"/>
      <c r="AE499" s="81"/>
      <c r="AF499" s="81"/>
      <c r="AG499" s="81"/>
      <c r="AH499" s="81"/>
      <c r="AI499" s="81"/>
    </row>
    <row r="500" spans="16:35">
      <c r="P500" s="81"/>
      <c r="Q500" s="81"/>
      <c r="R500" s="81"/>
      <c r="S500" s="81"/>
      <c r="T500" s="435"/>
      <c r="U500" s="435"/>
      <c r="V500" s="81"/>
      <c r="W500" s="81"/>
      <c r="X500" s="81"/>
      <c r="Y500" s="435"/>
      <c r="Z500" s="435"/>
      <c r="AA500" s="435"/>
      <c r="AB500" s="435"/>
      <c r="AC500" s="435" t="s">
        <v>965</v>
      </c>
      <c r="AD500" s="435"/>
      <c r="AE500" s="81"/>
      <c r="AF500" s="81"/>
      <c r="AG500" s="81"/>
      <c r="AH500" s="81"/>
      <c r="AI500" s="81"/>
    </row>
    <row r="501" spans="16:35">
      <c r="P501" s="81"/>
      <c r="Q501" s="81"/>
      <c r="R501" s="81"/>
      <c r="S501" s="81"/>
      <c r="T501" s="435"/>
      <c r="U501" s="435"/>
      <c r="V501" s="81"/>
      <c r="W501" s="81"/>
      <c r="X501" s="81"/>
      <c r="Y501" s="435"/>
      <c r="Z501" s="435"/>
      <c r="AA501" s="435"/>
      <c r="AB501" s="435"/>
      <c r="AC501" s="435" t="s">
        <v>965</v>
      </c>
      <c r="AD501" s="435"/>
      <c r="AE501" s="81"/>
      <c r="AF501" s="81"/>
      <c r="AG501" s="81"/>
      <c r="AH501" s="81"/>
      <c r="AI501" s="81"/>
    </row>
    <row r="502" spans="16:35">
      <c r="P502" s="81"/>
      <c r="Q502" s="81"/>
      <c r="R502" s="81"/>
      <c r="S502" s="81"/>
      <c r="T502" s="435"/>
      <c r="U502" s="435"/>
      <c r="V502" s="81"/>
      <c r="W502" s="81"/>
      <c r="X502" s="81"/>
      <c r="Y502" s="435"/>
      <c r="Z502" s="435"/>
      <c r="AA502" s="435"/>
      <c r="AB502" s="435"/>
      <c r="AC502" s="435" t="s">
        <v>965</v>
      </c>
      <c r="AD502" s="435"/>
      <c r="AE502" s="81"/>
      <c r="AF502" s="81"/>
      <c r="AG502" s="81"/>
      <c r="AH502" s="81"/>
      <c r="AI502" s="81"/>
    </row>
    <row r="503" spans="16:35">
      <c r="P503" s="81"/>
      <c r="Q503" s="81"/>
      <c r="R503" s="81"/>
      <c r="S503" s="81"/>
      <c r="T503" s="435"/>
      <c r="U503" s="435"/>
      <c r="V503" s="81"/>
      <c r="W503" s="81"/>
      <c r="X503" s="81"/>
      <c r="Y503" s="435"/>
      <c r="Z503" s="435"/>
      <c r="AA503" s="435"/>
      <c r="AB503" s="435"/>
      <c r="AC503" s="435" t="s">
        <v>965</v>
      </c>
      <c r="AD503" s="435"/>
      <c r="AE503" s="81"/>
      <c r="AF503" s="81"/>
      <c r="AG503" s="81"/>
      <c r="AH503" s="81"/>
      <c r="AI503" s="81"/>
    </row>
    <row r="504" spans="16:35">
      <c r="P504" s="81"/>
      <c r="Q504" s="81"/>
      <c r="R504" s="81"/>
      <c r="S504" s="81"/>
      <c r="T504" s="435"/>
      <c r="U504" s="435"/>
      <c r="V504" s="81"/>
      <c r="W504" s="81"/>
      <c r="X504" s="81"/>
      <c r="Y504" s="435"/>
      <c r="Z504" s="435"/>
      <c r="AA504" s="435"/>
      <c r="AB504" s="435"/>
      <c r="AC504" s="435" t="s">
        <v>965</v>
      </c>
      <c r="AD504" s="435"/>
      <c r="AE504" s="81"/>
      <c r="AF504" s="81"/>
      <c r="AG504" s="81"/>
      <c r="AH504" s="81"/>
      <c r="AI504" s="81"/>
    </row>
    <row r="505" spans="16:35">
      <c r="P505" s="81"/>
      <c r="Q505" s="81"/>
      <c r="R505" s="81"/>
      <c r="S505" s="81"/>
      <c r="T505" s="435"/>
      <c r="U505" s="435"/>
      <c r="V505" s="81"/>
      <c r="W505" s="81"/>
      <c r="X505" s="81"/>
      <c r="Y505" s="435"/>
      <c r="Z505" s="435"/>
      <c r="AA505" s="435"/>
      <c r="AB505" s="435"/>
      <c r="AC505" s="435" t="s">
        <v>965</v>
      </c>
      <c r="AD505" s="435"/>
      <c r="AE505" s="81"/>
      <c r="AF505" s="81"/>
      <c r="AG505" s="81"/>
      <c r="AH505" s="81"/>
      <c r="AI505" s="81"/>
    </row>
    <row r="506" spans="16:35">
      <c r="P506" s="81"/>
      <c r="Q506" s="81"/>
      <c r="R506" s="81"/>
      <c r="S506" s="81"/>
      <c r="T506" s="435"/>
      <c r="U506" s="435"/>
      <c r="V506" s="81"/>
      <c r="W506" s="81"/>
      <c r="X506" s="81"/>
      <c r="Y506" s="435"/>
      <c r="Z506" s="435"/>
      <c r="AA506" s="435"/>
      <c r="AB506" s="435"/>
      <c r="AC506" s="435" t="s">
        <v>965</v>
      </c>
      <c r="AD506" s="435"/>
      <c r="AE506" s="81"/>
      <c r="AF506" s="81"/>
      <c r="AG506" s="81"/>
      <c r="AH506" s="81"/>
      <c r="AI506" s="81"/>
    </row>
    <row r="507" spans="16:35">
      <c r="P507" s="81"/>
      <c r="Q507" s="81"/>
      <c r="R507" s="81"/>
      <c r="S507" s="81"/>
      <c r="T507" s="435"/>
      <c r="U507" s="435"/>
      <c r="V507" s="81"/>
      <c r="W507" s="81"/>
      <c r="X507" s="81"/>
      <c r="Y507" s="435"/>
      <c r="Z507" s="435"/>
      <c r="AA507" s="435"/>
      <c r="AB507" s="435"/>
      <c r="AC507" s="435" t="s">
        <v>965</v>
      </c>
      <c r="AD507" s="435"/>
      <c r="AE507" s="81"/>
      <c r="AF507" s="81"/>
      <c r="AG507" s="81"/>
      <c r="AH507" s="81"/>
      <c r="AI507" s="81"/>
    </row>
    <row r="508" spans="16:35">
      <c r="P508" s="81"/>
      <c r="Q508" s="81"/>
      <c r="R508" s="81"/>
      <c r="S508" s="81"/>
      <c r="T508" s="435"/>
      <c r="U508" s="435"/>
      <c r="V508" s="81"/>
      <c r="W508" s="81"/>
      <c r="X508" s="81"/>
      <c r="Y508" s="435"/>
      <c r="Z508" s="435"/>
      <c r="AA508" s="435"/>
      <c r="AB508" s="435"/>
      <c r="AC508" s="435" t="s">
        <v>965</v>
      </c>
      <c r="AD508" s="435"/>
      <c r="AE508" s="81"/>
      <c r="AF508" s="81"/>
      <c r="AG508" s="81"/>
      <c r="AH508" s="81"/>
      <c r="AI508" s="81"/>
    </row>
    <row r="509" spans="16:35">
      <c r="P509" s="81"/>
      <c r="Q509" s="81"/>
      <c r="R509" s="81"/>
      <c r="S509" s="81"/>
      <c r="T509" s="435"/>
      <c r="U509" s="435"/>
      <c r="V509" s="81"/>
      <c r="W509" s="81"/>
      <c r="X509" s="81"/>
      <c r="Y509" s="435"/>
      <c r="Z509" s="435"/>
      <c r="AA509" s="435"/>
      <c r="AB509" s="435"/>
      <c r="AC509" s="435" t="s">
        <v>965</v>
      </c>
      <c r="AD509" s="435"/>
      <c r="AE509" s="81"/>
      <c r="AF509" s="81"/>
      <c r="AG509" s="81"/>
      <c r="AH509" s="81"/>
      <c r="AI509" s="81"/>
    </row>
    <row r="510" spans="16:35">
      <c r="P510" s="81"/>
      <c r="Q510" s="81"/>
      <c r="R510" s="81"/>
      <c r="S510" s="81"/>
      <c r="T510" s="435"/>
      <c r="U510" s="435"/>
      <c r="V510" s="81"/>
      <c r="W510" s="81"/>
      <c r="X510" s="81"/>
      <c r="Y510" s="435"/>
      <c r="Z510" s="435"/>
      <c r="AA510" s="435"/>
      <c r="AB510" s="435"/>
      <c r="AC510" s="435" t="s">
        <v>965</v>
      </c>
      <c r="AD510" s="435"/>
      <c r="AE510" s="81"/>
      <c r="AF510" s="81"/>
      <c r="AG510" s="81"/>
      <c r="AH510" s="81"/>
      <c r="AI510" s="81"/>
    </row>
    <row r="511" spans="16:35">
      <c r="P511" s="81"/>
      <c r="Q511" s="81"/>
      <c r="R511" s="81"/>
      <c r="S511" s="81"/>
      <c r="T511" s="435"/>
      <c r="U511" s="435"/>
      <c r="V511" s="81"/>
      <c r="W511" s="81"/>
      <c r="X511" s="81"/>
      <c r="Y511" s="435"/>
      <c r="Z511" s="435"/>
      <c r="AA511" s="435"/>
      <c r="AB511" s="435"/>
      <c r="AC511" s="435" t="s">
        <v>965</v>
      </c>
      <c r="AD511" s="435"/>
      <c r="AE511" s="81"/>
      <c r="AF511" s="81"/>
      <c r="AG511" s="81"/>
      <c r="AH511" s="81"/>
      <c r="AI511" s="81"/>
    </row>
    <row r="512" spans="16:35">
      <c r="P512" s="81"/>
      <c r="Q512" s="81"/>
      <c r="R512" s="81"/>
      <c r="S512" s="81"/>
      <c r="T512" s="435"/>
      <c r="U512" s="435"/>
      <c r="V512" s="81"/>
      <c r="W512" s="81"/>
      <c r="X512" s="81"/>
      <c r="Y512" s="435"/>
      <c r="Z512" s="435"/>
      <c r="AA512" s="435"/>
      <c r="AB512" s="435"/>
      <c r="AC512" s="435" t="s">
        <v>965</v>
      </c>
      <c r="AD512" s="435"/>
      <c r="AE512" s="81"/>
      <c r="AF512" s="81"/>
      <c r="AG512" s="81"/>
      <c r="AH512" s="81"/>
      <c r="AI512" s="81"/>
    </row>
    <row r="513" spans="16:35">
      <c r="P513" s="81"/>
      <c r="Q513" s="81"/>
      <c r="R513" s="81"/>
      <c r="S513" s="81"/>
      <c r="T513" s="435"/>
      <c r="U513" s="435"/>
      <c r="V513" s="81"/>
      <c r="W513" s="81"/>
      <c r="X513" s="81"/>
      <c r="Y513" s="435"/>
      <c r="Z513" s="435"/>
      <c r="AA513" s="435"/>
      <c r="AB513" s="435"/>
      <c r="AC513" s="435" t="s">
        <v>965</v>
      </c>
      <c r="AD513" s="435"/>
      <c r="AE513" s="81"/>
      <c r="AF513" s="81"/>
      <c r="AG513" s="81"/>
      <c r="AH513" s="81"/>
      <c r="AI513" s="81"/>
    </row>
    <row r="514" spans="16:35">
      <c r="P514" s="81"/>
      <c r="Q514" s="81"/>
      <c r="R514" s="81"/>
      <c r="S514" s="81"/>
      <c r="T514" s="435"/>
      <c r="U514" s="435"/>
      <c r="V514" s="81"/>
      <c r="W514" s="81"/>
      <c r="X514" s="81"/>
      <c r="Y514" s="435"/>
      <c r="Z514" s="435"/>
      <c r="AA514" s="435"/>
      <c r="AB514" s="435"/>
      <c r="AC514" s="435" t="s">
        <v>965</v>
      </c>
      <c r="AD514" s="435"/>
      <c r="AE514" s="81"/>
      <c r="AF514" s="81"/>
      <c r="AG514" s="81"/>
      <c r="AH514" s="81"/>
      <c r="AI514" s="81"/>
    </row>
    <row r="515" spans="16:35">
      <c r="P515" s="81"/>
      <c r="Q515" s="81"/>
      <c r="R515" s="81"/>
      <c r="S515" s="81"/>
      <c r="T515" s="435"/>
      <c r="U515" s="435"/>
      <c r="V515" s="81"/>
      <c r="W515" s="81"/>
      <c r="X515" s="81"/>
      <c r="Y515" s="435"/>
      <c r="Z515" s="435"/>
      <c r="AA515" s="435"/>
      <c r="AB515" s="435"/>
      <c r="AC515" s="435" t="s">
        <v>965</v>
      </c>
      <c r="AD515" s="435"/>
      <c r="AE515" s="81"/>
      <c r="AF515" s="81"/>
      <c r="AG515" s="81"/>
      <c r="AH515" s="81"/>
      <c r="AI515" s="81"/>
    </row>
    <row r="516" spans="16:35">
      <c r="P516" s="81"/>
      <c r="Q516" s="81"/>
      <c r="R516" s="81"/>
      <c r="S516" s="81"/>
      <c r="T516" s="435"/>
      <c r="U516" s="435"/>
      <c r="V516" s="81"/>
      <c r="W516" s="81"/>
      <c r="X516" s="81"/>
      <c r="Y516" s="435"/>
      <c r="Z516" s="435"/>
      <c r="AA516" s="435"/>
      <c r="AB516" s="435"/>
      <c r="AC516" s="435" t="s">
        <v>965</v>
      </c>
      <c r="AD516" s="435"/>
      <c r="AE516" s="81"/>
      <c r="AF516" s="81"/>
      <c r="AG516" s="81"/>
      <c r="AH516" s="81"/>
      <c r="AI516" s="81"/>
    </row>
    <row r="517" spans="16:35">
      <c r="P517" s="81"/>
      <c r="Q517" s="81"/>
      <c r="R517" s="81"/>
      <c r="S517" s="81"/>
      <c r="T517" s="435"/>
      <c r="U517" s="435"/>
      <c r="V517" s="81"/>
      <c r="W517" s="81"/>
      <c r="X517" s="81"/>
      <c r="Y517" s="435"/>
      <c r="Z517" s="435"/>
      <c r="AA517" s="435"/>
      <c r="AB517" s="435"/>
      <c r="AC517" s="435" t="s">
        <v>965</v>
      </c>
      <c r="AD517" s="435"/>
      <c r="AE517" s="81"/>
      <c r="AF517" s="81"/>
      <c r="AG517" s="81"/>
      <c r="AH517" s="81"/>
      <c r="AI517" s="81"/>
    </row>
    <row r="518" spans="16:35">
      <c r="P518" s="81"/>
      <c r="Q518" s="81"/>
      <c r="R518" s="81"/>
      <c r="S518" s="81"/>
      <c r="T518" s="435"/>
      <c r="U518" s="435"/>
      <c r="V518" s="81"/>
      <c r="W518" s="81"/>
      <c r="X518" s="81"/>
      <c r="Y518" s="435"/>
      <c r="Z518" s="435"/>
      <c r="AA518" s="435"/>
      <c r="AB518" s="435"/>
      <c r="AC518" s="435" t="s">
        <v>965</v>
      </c>
      <c r="AD518" s="435"/>
      <c r="AE518" s="81"/>
      <c r="AF518" s="81"/>
      <c r="AG518" s="81"/>
      <c r="AH518" s="81"/>
      <c r="AI518" s="81"/>
    </row>
    <row r="519" spans="16:35">
      <c r="P519" s="81"/>
      <c r="Q519" s="81"/>
      <c r="R519" s="81"/>
      <c r="S519" s="81"/>
      <c r="T519" s="435"/>
      <c r="U519" s="435"/>
      <c r="V519" s="81"/>
      <c r="W519" s="81"/>
      <c r="X519" s="81"/>
      <c r="Y519" s="435"/>
      <c r="Z519" s="435"/>
      <c r="AA519" s="435"/>
      <c r="AB519" s="435"/>
      <c r="AC519" s="435" t="s">
        <v>965</v>
      </c>
      <c r="AD519" s="435"/>
      <c r="AE519" s="81"/>
      <c r="AF519" s="81"/>
      <c r="AG519" s="81"/>
      <c r="AH519" s="81"/>
      <c r="AI519" s="81"/>
    </row>
    <row r="520" spans="16:35">
      <c r="P520" s="81"/>
      <c r="Q520" s="81"/>
      <c r="R520" s="81"/>
      <c r="S520" s="81"/>
      <c r="T520" s="435"/>
      <c r="U520" s="435"/>
      <c r="V520" s="81"/>
      <c r="W520" s="81"/>
      <c r="X520" s="81"/>
      <c r="Y520" s="435"/>
      <c r="Z520" s="435"/>
      <c r="AA520" s="435"/>
      <c r="AB520" s="435"/>
      <c r="AC520" s="435" t="s">
        <v>965</v>
      </c>
      <c r="AD520" s="435"/>
      <c r="AE520" s="81"/>
      <c r="AF520" s="81"/>
      <c r="AG520" s="81"/>
      <c r="AH520" s="81"/>
      <c r="AI520" s="81"/>
    </row>
    <row r="521" spans="16:35">
      <c r="P521" s="81"/>
      <c r="Q521" s="81"/>
      <c r="R521" s="81"/>
      <c r="S521" s="81"/>
      <c r="T521" s="435"/>
      <c r="U521" s="435"/>
      <c r="V521" s="81"/>
      <c r="W521" s="81"/>
      <c r="X521" s="81"/>
      <c r="Y521" s="435"/>
      <c r="Z521" s="435"/>
      <c r="AA521" s="435"/>
      <c r="AB521" s="435"/>
      <c r="AC521" s="435" t="s">
        <v>965</v>
      </c>
      <c r="AD521" s="435"/>
      <c r="AE521" s="81"/>
      <c r="AF521" s="81"/>
      <c r="AG521" s="81"/>
      <c r="AH521" s="81"/>
      <c r="AI521" s="81"/>
    </row>
    <row r="522" spans="16:35">
      <c r="P522" s="81"/>
      <c r="Q522" s="81"/>
      <c r="R522" s="81"/>
      <c r="S522" s="81"/>
      <c r="T522" s="435"/>
      <c r="U522" s="435"/>
      <c r="V522" s="81"/>
      <c r="W522" s="81"/>
      <c r="X522" s="81"/>
      <c r="Y522" s="435"/>
      <c r="Z522" s="435"/>
      <c r="AA522" s="435"/>
      <c r="AB522" s="435"/>
      <c r="AC522" s="435" t="s">
        <v>965</v>
      </c>
      <c r="AD522" s="435"/>
      <c r="AE522" s="81"/>
      <c r="AF522" s="81"/>
      <c r="AG522" s="81"/>
      <c r="AH522" s="81"/>
      <c r="AI522" s="81"/>
    </row>
    <row r="523" spans="16:35">
      <c r="P523" s="81"/>
      <c r="Q523" s="81"/>
      <c r="R523" s="81"/>
      <c r="S523" s="81"/>
      <c r="T523" s="435"/>
      <c r="U523" s="435"/>
      <c r="V523" s="81"/>
      <c r="W523" s="81"/>
      <c r="X523" s="81"/>
      <c r="Y523" s="435"/>
      <c r="Z523" s="435"/>
      <c r="AA523" s="435"/>
      <c r="AB523" s="435"/>
      <c r="AC523" s="435" t="s">
        <v>965</v>
      </c>
      <c r="AD523" s="435"/>
      <c r="AE523" s="81"/>
      <c r="AF523" s="81"/>
      <c r="AG523" s="81"/>
      <c r="AH523" s="81"/>
      <c r="AI523" s="81"/>
    </row>
    <row r="524" spans="16:35">
      <c r="P524" s="81"/>
      <c r="Q524" s="81"/>
      <c r="R524" s="81"/>
      <c r="S524" s="81"/>
      <c r="T524" s="435"/>
      <c r="U524" s="435"/>
      <c r="V524" s="81"/>
      <c r="W524" s="81"/>
      <c r="X524" s="81"/>
      <c r="Y524" s="435"/>
      <c r="Z524" s="435"/>
      <c r="AA524" s="435"/>
      <c r="AB524" s="435"/>
      <c r="AC524" s="435" t="s">
        <v>965</v>
      </c>
      <c r="AD524" s="435"/>
      <c r="AE524" s="81"/>
      <c r="AF524" s="81"/>
      <c r="AG524" s="81"/>
      <c r="AH524" s="81"/>
      <c r="AI524" s="81"/>
    </row>
    <row r="525" spans="16:35">
      <c r="P525" s="81"/>
      <c r="Q525" s="81"/>
      <c r="R525" s="81"/>
      <c r="S525" s="81"/>
      <c r="T525" s="435"/>
      <c r="U525" s="435"/>
      <c r="V525" s="81"/>
      <c r="W525" s="81"/>
      <c r="X525" s="81"/>
      <c r="Y525" s="435"/>
      <c r="Z525" s="435"/>
      <c r="AA525" s="435"/>
      <c r="AB525" s="435"/>
      <c r="AC525" s="435" t="s">
        <v>965</v>
      </c>
      <c r="AD525" s="435"/>
      <c r="AE525" s="81"/>
      <c r="AF525" s="81"/>
      <c r="AG525" s="81"/>
      <c r="AH525" s="81"/>
      <c r="AI525" s="81"/>
    </row>
    <row r="526" spans="16:35">
      <c r="P526" s="81"/>
      <c r="Q526" s="81"/>
      <c r="R526" s="81"/>
      <c r="S526" s="81"/>
      <c r="T526" s="435"/>
      <c r="U526" s="435"/>
      <c r="V526" s="81"/>
      <c r="W526" s="81"/>
      <c r="X526" s="81"/>
      <c r="Y526" s="435"/>
      <c r="Z526" s="435"/>
      <c r="AA526" s="435"/>
      <c r="AB526" s="435"/>
      <c r="AC526" s="435" t="s">
        <v>965</v>
      </c>
      <c r="AD526" s="435"/>
      <c r="AE526" s="81"/>
      <c r="AF526" s="81"/>
      <c r="AG526" s="81"/>
      <c r="AH526" s="81"/>
      <c r="AI526" s="81"/>
    </row>
    <row r="527" spans="16:35">
      <c r="P527" s="81"/>
      <c r="Q527" s="81"/>
      <c r="R527" s="81"/>
      <c r="S527" s="81"/>
      <c r="T527" s="435"/>
      <c r="U527" s="435"/>
      <c r="V527" s="81"/>
      <c r="W527" s="81"/>
      <c r="X527" s="81"/>
      <c r="Y527" s="435"/>
      <c r="Z527" s="435"/>
      <c r="AA527" s="435"/>
      <c r="AB527" s="435"/>
      <c r="AC527" s="435" t="s">
        <v>965</v>
      </c>
      <c r="AD527" s="435"/>
      <c r="AE527" s="81"/>
      <c r="AF527" s="81"/>
      <c r="AG527" s="81"/>
      <c r="AH527" s="81"/>
      <c r="AI527" s="81"/>
    </row>
    <row r="528" spans="16:35">
      <c r="P528" s="81"/>
      <c r="Q528" s="81"/>
      <c r="R528" s="81"/>
      <c r="S528" s="81"/>
      <c r="T528" s="435"/>
      <c r="U528" s="435"/>
      <c r="V528" s="81"/>
      <c r="W528" s="81"/>
      <c r="X528" s="81"/>
      <c r="Y528" s="435"/>
      <c r="Z528" s="435"/>
      <c r="AA528" s="435"/>
      <c r="AB528" s="435"/>
      <c r="AC528" s="435" t="s">
        <v>965</v>
      </c>
      <c r="AD528" s="435"/>
      <c r="AE528" s="81"/>
      <c r="AF528" s="81"/>
      <c r="AG528" s="81"/>
      <c r="AH528" s="81"/>
      <c r="AI528" s="81"/>
    </row>
    <row r="529" spans="16:35">
      <c r="P529" s="81"/>
      <c r="Q529" s="81"/>
      <c r="R529" s="81"/>
      <c r="S529" s="81"/>
      <c r="T529" s="435"/>
      <c r="U529" s="435"/>
      <c r="V529" s="81"/>
      <c r="W529" s="81"/>
      <c r="X529" s="81"/>
      <c r="Y529" s="435"/>
      <c r="Z529" s="435"/>
      <c r="AA529" s="435"/>
      <c r="AB529" s="435"/>
      <c r="AC529" s="435" t="s">
        <v>965</v>
      </c>
      <c r="AD529" s="435"/>
      <c r="AE529" s="81"/>
      <c r="AF529" s="81"/>
      <c r="AG529" s="81"/>
      <c r="AH529" s="81"/>
      <c r="AI529" s="81"/>
    </row>
    <row r="530" spans="16:35">
      <c r="P530" s="81"/>
      <c r="Q530" s="81"/>
      <c r="R530" s="81"/>
      <c r="S530" s="81"/>
      <c r="T530" s="435"/>
      <c r="U530" s="435"/>
      <c r="V530" s="81"/>
      <c r="W530" s="81"/>
      <c r="X530" s="81"/>
      <c r="Y530" s="435"/>
      <c r="Z530" s="435"/>
      <c r="AA530" s="435"/>
      <c r="AB530" s="435"/>
      <c r="AC530" s="435" t="s">
        <v>965</v>
      </c>
      <c r="AD530" s="435"/>
      <c r="AE530" s="81"/>
      <c r="AF530" s="81"/>
      <c r="AG530" s="81"/>
      <c r="AH530" s="81"/>
      <c r="AI530" s="81"/>
    </row>
    <row r="531" spans="16:35">
      <c r="P531" s="81"/>
      <c r="Q531" s="81"/>
      <c r="R531" s="81"/>
      <c r="S531" s="81"/>
      <c r="T531" s="435"/>
      <c r="U531" s="435"/>
      <c r="V531" s="81"/>
      <c r="W531" s="81"/>
      <c r="X531" s="81"/>
      <c r="Y531" s="435"/>
      <c r="Z531" s="435"/>
      <c r="AA531" s="435"/>
      <c r="AB531" s="435"/>
      <c r="AC531" s="435" t="s">
        <v>965</v>
      </c>
      <c r="AD531" s="435"/>
      <c r="AE531" s="81"/>
      <c r="AF531" s="81"/>
      <c r="AG531" s="81"/>
      <c r="AH531" s="81"/>
      <c r="AI531" s="81"/>
    </row>
    <row r="532" spans="16:35">
      <c r="P532" s="81"/>
      <c r="Q532" s="81"/>
      <c r="R532" s="81"/>
      <c r="S532" s="81"/>
      <c r="T532" s="435"/>
      <c r="U532" s="435"/>
      <c r="V532" s="81"/>
      <c r="W532" s="81"/>
      <c r="X532" s="81"/>
      <c r="Y532" s="435"/>
      <c r="Z532" s="435"/>
      <c r="AA532" s="435"/>
      <c r="AB532" s="435"/>
      <c r="AC532" s="435" t="s">
        <v>965</v>
      </c>
      <c r="AD532" s="435"/>
      <c r="AE532" s="81"/>
      <c r="AF532" s="81"/>
      <c r="AG532" s="81"/>
      <c r="AH532" s="81"/>
      <c r="AI532" s="81"/>
    </row>
    <row r="533" spans="16:35">
      <c r="P533" s="81"/>
      <c r="Q533" s="81"/>
      <c r="R533" s="81"/>
      <c r="S533" s="81"/>
      <c r="T533" s="435"/>
      <c r="U533" s="435"/>
      <c r="V533" s="81"/>
      <c r="W533" s="81"/>
      <c r="X533" s="81"/>
      <c r="Y533" s="435"/>
      <c r="Z533" s="435"/>
      <c r="AA533" s="435"/>
      <c r="AB533" s="435"/>
      <c r="AC533" s="435" t="s">
        <v>965</v>
      </c>
      <c r="AD533" s="435"/>
      <c r="AE533" s="81"/>
      <c r="AF533" s="81"/>
      <c r="AG533" s="81"/>
      <c r="AH533" s="81"/>
      <c r="AI533" s="81"/>
    </row>
    <row r="534" spans="16:35">
      <c r="P534" s="81"/>
      <c r="Q534" s="81"/>
      <c r="R534" s="81"/>
      <c r="S534" s="81"/>
      <c r="T534" s="435"/>
      <c r="U534" s="435"/>
      <c r="V534" s="81"/>
      <c r="W534" s="81"/>
      <c r="X534" s="81"/>
      <c r="Y534" s="435"/>
      <c r="Z534" s="435"/>
      <c r="AA534" s="435"/>
      <c r="AB534" s="435"/>
      <c r="AC534" s="435" t="s">
        <v>965</v>
      </c>
      <c r="AD534" s="435"/>
      <c r="AE534" s="81"/>
      <c r="AF534" s="81"/>
      <c r="AG534" s="81"/>
      <c r="AH534" s="81"/>
      <c r="AI534" s="81"/>
    </row>
    <row r="535" spans="16:35">
      <c r="P535" s="81"/>
      <c r="Q535" s="81"/>
      <c r="R535" s="81"/>
      <c r="S535" s="81"/>
      <c r="T535" s="435"/>
      <c r="U535" s="435"/>
      <c r="V535" s="81"/>
      <c r="W535" s="81"/>
      <c r="X535" s="81"/>
      <c r="Y535" s="435"/>
      <c r="Z535" s="435"/>
      <c r="AA535" s="435"/>
      <c r="AB535" s="435"/>
      <c r="AC535" s="435" t="s">
        <v>965</v>
      </c>
      <c r="AD535" s="435"/>
      <c r="AE535" s="81"/>
      <c r="AF535" s="81"/>
      <c r="AG535" s="81"/>
      <c r="AH535" s="81"/>
      <c r="AI535" s="81"/>
    </row>
    <row r="536" spans="16:35">
      <c r="P536" s="81"/>
      <c r="Q536" s="81"/>
      <c r="R536" s="81"/>
      <c r="S536" s="81"/>
      <c r="T536" s="435"/>
      <c r="U536" s="435"/>
      <c r="V536" s="81"/>
      <c r="W536" s="81"/>
      <c r="X536" s="81"/>
      <c r="Y536" s="435"/>
      <c r="Z536" s="435"/>
      <c r="AA536" s="435"/>
      <c r="AB536" s="435"/>
      <c r="AC536" s="435" t="s">
        <v>965</v>
      </c>
      <c r="AD536" s="435"/>
      <c r="AE536" s="81"/>
      <c r="AF536" s="81"/>
      <c r="AG536" s="81"/>
      <c r="AH536" s="81"/>
      <c r="AI536" s="81"/>
    </row>
    <row r="537" spans="16:35">
      <c r="P537" s="81"/>
      <c r="Q537" s="81"/>
      <c r="R537" s="81"/>
      <c r="S537" s="81"/>
      <c r="T537" s="435"/>
      <c r="U537" s="435"/>
      <c r="V537" s="81"/>
      <c r="W537" s="81"/>
      <c r="X537" s="81"/>
      <c r="Y537" s="435"/>
      <c r="Z537" s="435"/>
      <c r="AA537" s="435"/>
      <c r="AB537" s="435"/>
      <c r="AC537" s="435" t="s">
        <v>965</v>
      </c>
      <c r="AD537" s="435"/>
      <c r="AE537" s="81"/>
      <c r="AF537" s="81"/>
      <c r="AG537" s="81"/>
      <c r="AH537" s="81"/>
      <c r="AI537" s="81"/>
    </row>
    <row r="538" spans="16:35">
      <c r="P538" s="81"/>
      <c r="Q538" s="81"/>
      <c r="R538" s="81"/>
      <c r="S538" s="81"/>
      <c r="T538" s="435"/>
      <c r="U538" s="435"/>
      <c r="V538" s="81"/>
      <c r="W538" s="81"/>
      <c r="X538" s="81"/>
      <c r="Y538" s="435"/>
      <c r="Z538" s="435"/>
      <c r="AA538" s="435"/>
      <c r="AB538" s="435"/>
      <c r="AC538" s="435" t="s">
        <v>965</v>
      </c>
      <c r="AD538" s="435"/>
      <c r="AE538" s="81"/>
      <c r="AF538" s="81"/>
      <c r="AG538" s="81"/>
      <c r="AH538" s="81"/>
      <c r="AI538" s="81"/>
    </row>
    <row r="539" spans="16:35">
      <c r="P539" s="81"/>
      <c r="Q539" s="81"/>
      <c r="R539" s="81"/>
      <c r="S539" s="81"/>
      <c r="T539" s="435"/>
      <c r="U539" s="435"/>
      <c r="V539" s="81"/>
      <c r="W539" s="81"/>
      <c r="X539" s="81"/>
      <c r="Y539" s="435"/>
      <c r="Z539" s="435"/>
      <c r="AA539" s="435"/>
      <c r="AB539" s="435"/>
      <c r="AC539" s="435" t="s">
        <v>965</v>
      </c>
      <c r="AD539" s="435"/>
      <c r="AE539" s="81"/>
      <c r="AF539" s="81"/>
      <c r="AG539" s="81"/>
      <c r="AH539" s="81"/>
      <c r="AI539" s="81"/>
    </row>
    <row r="540" spans="16:35">
      <c r="P540" s="81"/>
      <c r="Q540" s="81"/>
      <c r="R540" s="81"/>
      <c r="S540" s="81"/>
      <c r="T540" s="435"/>
      <c r="U540" s="435"/>
      <c r="V540" s="81"/>
      <c r="W540" s="81"/>
      <c r="X540" s="81"/>
      <c r="Y540" s="435"/>
      <c r="Z540" s="435"/>
      <c r="AA540" s="435"/>
      <c r="AB540" s="435"/>
      <c r="AC540" s="435" t="s">
        <v>965</v>
      </c>
      <c r="AD540" s="435"/>
      <c r="AE540" s="81"/>
      <c r="AF540" s="81"/>
      <c r="AG540" s="81"/>
      <c r="AH540" s="81"/>
      <c r="AI540" s="81"/>
    </row>
    <row r="541" spans="16:35">
      <c r="P541" s="81"/>
      <c r="Q541" s="81"/>
      <c r="R541" s="81"/>
      <c r="S541" s="81"/>
      <c r="T541" s="435"/>
      <c r="U541" s="435"/>
      <c r="V541" s="81"/>
      <c r="W541" s="81"/>
      <c r="X541" s="81"/>
      <c r="Y541" s="435"/>
      <c r="Z541" s="435"/>
      <c r="AA541" s="435"/>
      <c r="AB541" s="435"/>
      <c r="AC541" s="435" t="s">
        <v>965</v>
      </c>
      <c r="AD541" s="435"/>
      <c r="AE541" s="81"/>
      <c r="AF541" s="81"/>
      <c r="AG541" s="81"/>
      <c r="AH541" s="81"/>
      <c r="AI541" s="81"/>
    </row>
    <row r="542" spans="16:35">
      <c r="P542" s="81"/>
      <c r="Q542" s="81"/>
      <c r="R542" s="81"/>
      <c r="S542" s="81"/>
      <c r="T542" s="435"/>
      <c r="U542" s="435"/>
      <c r="V542" s="81"/>
      <c r="W542" s="81"/>
      <c r="X542" s="81"/>
      <c r="Y542" s="435"/>
      <c r="Z542" s="435"/>
      <c r="AA542" s="435"/>
      <c r="AB542" s="435"/>
      <c r="AC542" s="435" t="s">
        <v>965</v>
      </c>
      <c r="AD542" s="435"/>
      <c r="AE542" s="81"/>
      <c r="AF542" s="81"/>
      <c r="AG542" s="81"/>
      <c r="AH542" s="81"/>
      <c r="AI542" s="81"/>
    </row>
    <row r="543" spans="16:35">
      <c r="P543" s="81"/>
      <c r="Q543" s="81"/>
      <c r="R543" s="81"/>
      <c r="S543" s="81"/>
      <c r="T543" s="435"/>
      <c r="U543" s="435"/>
      <c r="V543" s="81"/>
      <c r="W543" s="81"/>
      <c r="X543" s="81"/>
      <c r="Y543" s="435"/>
      <c r="Z543" s="435"/>
      <c r="AA543" s="435"/>
      <c r="AB543" s="435"/>
      <c r="AC543" s="435" t="s">
        <v>965</v>
      </c>
      <c r="AD543" s="435"/>
      <c r="AE543" s="81"/>
      <c r="AF543" s="81"/>
      <c r="AG543" s="81"/>
      <c r="AH543" s="81"/>
      <c r="AI543" s="81"/>
    </row>
    <row r="544" spans="16:35">
      <c r="P544" s="81"/>
      <c r="Q544" s="81"/>
      <c r="R544" s="81"/>
      <c r="S544" s="81"/>
      <c r="T544" s="435"/>
      <c r="U544" s="435"/>
      <c r="V544" s="81"/>
      <c r="W544" s="81"/>
      <c r="X544" s="81"/>
      <c r="Y544" s="435"/>
      <c r="Z544" s="435"/>
      <c r="AA544" s="435"/>
      <c r="AB544" s="435"/>
      <c r="AC544" s="435" t="s">
        <v>965</v>
      </c>
      <c r="AD544" s="435"/>
      <c r="AE544" s="81"/>
      <c r="AF544" s="81"/>
      <c r="AG544" s="81"/>
      <c r="AH544" s="81"/>
      <c r="AI544" s="81"/>
    </row>
    <row r="545" spans="16:35">
      <c r="P545" s="81"/>
      <c r="Q545" s="81"/>
      <c r="R545" s="81"/>
      <c r="S545" s="81"/>
      <c r="T545" s="435"/>
      <c r="U545" s="435"/>
      <c r="V545" s="81"/>
      <c r="W545" s="81"/>
      <c r="X545" s="81"/>
      <c r="Y545" s="435"/>
      <c r="Z545" s="435"/>
      <c r="AA545" s="435"/>
      <c r="AB545" s="435"/>
      <c r="AC545" s="435" t="s">
        <v>965</v>
      </c>
      <c r="AD545" s="435"/>
      <c r="AE545" s="81"/>
      <c r="AF545" s="81"/>
      <c r="AG545" s="81"/>
      <c r="AH545" s="81"/>
      <c r="AI545" s="81"/>
    </row>
    <row r="546" spans="16:35">
      <c r="P546" s="81"/>
      <c r="Q546" s="81"/>
      <c r="R546" s="81"/>
      <c r="S546" s="81"/>
      <c r="T546" s="435"/>
      <c r="U546" s="435"/>
      <c r="V546" s="81"/>
      <c r="W546" s="81"/>
      <c r="X546" s="81"/>
      <c r="Y546" s="435"/>
      <c r="Z546" s="435"/>
      <c r="AA546" s="435"/>
      <c r="AB546" s="435"/>
      <c r="AC546" s="435" t="s">
        <v>965</v>
      </c>
      <c r="AD546" s="435"/>
      <c r="AE546" s="81"/>
      <c r="AF546" s="81"/>
      <c r="AG546" s="81"/>
      <c r="AH546" s="81"/>
      <c r="AI546" s="81"/>
    </row>
    <row r="547" spans="16:35">
      <c r="P547" s="81"/>
      <c r="Q547" s="81"/>
      <c r="R547" s="81"/>
      <c r="S547" s="81"/>
      <c r="T547" s="435"/>
      <c r="U547" s="435"/>
      <c r="V547" s="81"/>
      <c r="W547" s="81"/>
      <c r="X547" s="81"/>
      <c r="Y547" s="435"/>
      <c r="Z547" s="435"/>
      <c r="AA547" s="435"/>
      <c r="AB547" s="435"/>
      <c r="AC547" s="435" t="s">
        <v>965</v>
      </c>
      <c r="AD547" s="435"/>
      <c r="AE547" s="81"/>
      <c r="AF547" s="81"/>
      <c r="AG547" s="81"/>
      <c r="AH547" s="81"/>
      <c r="AI547" s="81"/>
    </row>
    <row r="548" spans="16:35">
      <c r="P548" s="81"/>
      <c r="Q548" s="81"/>
      <c r="R548" s="81"/>
      <c r="S548" s="81"/>
      <c r="T548" s="435"/>
      <c r="U548" s="435"/>
      <c r="V548" s="81"/>
      <c r="W548" s="81"/>
      <c r="X548" s="81"/>
      <c r="Y548" s="435"/>
      <c r="Z548" s="435"/>
      <c r="AA548" s="435"/>
      <c r="AB548" s="435"/>
      <c r="AC548" s="435" t="s">
        <v>965</v>
      </c>
      <c r="AD548" s="435"/>
      <c r="AE548" s="81"/>
      <c r="AF548" s="81"/>
      <c r="AG548" s="81"/>
      <c r="AH548" s="81"/>
      <c r="AI548" s="81"/>
    </row>
    <row r="549" spans="16:35">
      <c r="P549" s="81"/>
      <c r="Q549" s="81"/>
      <c r="R549" s="81"/>
      <c r="S549" s="81"/>
      <c r="T549" s="435"/>
      <c r="U549" s="435"/>
      <c r="V549" s="81"/>
      <c r="W549" s="81"/>
      <c r="X549" s="81"/>
      <c r="Y549" s="435"/>
      <c r="Z549" s="435"/>
      <c r="AA549" s="435"/>
      <c r="AB549" s="435"/>
      <c r="AC549" s="435" t="s">
        <v>965</v>
      </c>
      <c r="AD549" s="435"/>
      <c r="AE549" s="81"/>
      <c r="AF549" s="81"/>
      <c r="AG549" s="81"/>
      <c r="AH549" s="81"/>
      <c r="AI549" s="81"/>
    </row>
    <row r="550" spans="16:35">
      <c r="P550" s="81"/>
      <c r="Q550" s="81"/>
      <c r="R550" s="81"/>
      <c r="S550" s="81"/>
      <c r="T550" s="435"/>
      <c r="U550" s="435"/>
      <c r="V550" s="81"/>
      <c r="W550" s="81"/>
      <c r="X550" s="81"/>
      <c r="Y550" s="435"/>
      <c r="Z550" s="435"/>
      <c r="AA550" s="435"/>
      <c r="AB550" s="435"/>
      <c r="AC550" s="435" t="s">
        <v>965</v>
      </c>
      <c r="AD550" s="435"/>
      <c r="AE550" s="81"/>
      <c r="AF550" s="81"/>
      <c r="AG550" s="81"/>
      <c r="AH550" s="81"/>
      <c r="AI550" s="81"/>
    </row>
    <row r="551" spans="16:35">
      <c r="P551" s="81"/>
      <c r="Q551" s="81"/>
      <c r="R551" s="81"/>
      <c r="S551" s="81"/>
      <c r="T551" s="435"/>
      <c r="U551" s="435"/>
      <c r="V551" s="81"/>
      <c r="W551" s="81"/>
      <c r="X551" s="81"/>
      <c r="Y551" s="435"/>
      <c r="Z551" s="435"/>
      <c r="AA551" s="435"/>
      <c r="AB551" s="435"/>
      <c r="AC551" s="435" t="s">
        <v>965</v>
      </c>
      <c r="AD551" s="435"/>
      <c r="AE551" s="81"/>
      <c r="AF551" s="81"/>
      <c r="AG551" s="81"/>
      <c r="AH551" s="81"/>
      <c r="AI551" s="81"/>
    </row>
    <row r="552" spans="16:35">
      <c r="P552" s="81"/>
      <c r="Q552" s="81"/>
      <c r="R552" s="81"/>
      <c r="S552" s="81"/>
      <c r="T552" s="435"/>
      <c r="U552" s="435"/>
      <c r="V552" s="81"/>
      <c r="W552" s="81"/>
      <c r="X552" s="81"/>
      <c r="Y552" s="435"/>
      <c r="Z552" s="435"/>
      <c r="AA552" s="435"/>
      <c r="AB552" s="435"/>
      <c r="AC552" s="435" t="s">
        <v>965</v>
      </c>
      <c r="AD552" s="435"/>
      <c r="AE552" s="81"/>
      <c r="AF552" s="81"/>
      <c r="AG552" s="81"/>
      <c r="AH552" s="81"/>
      <c r="AI552" s="81"/>
    </row>
    <row r="553" spans="16:35">
      <c r="P553" s="81"/>
      <c r="Q553" s="81"/>
      <c r="R553" s="81"/>
      <c r="S553" s="81"/>
      <c r="T553" s="435"/>
      <c r="U553" s="435"/>
      <c r="V553" s="81"/>
      <c r="W553" s="81"/>
      <c r="X553" s="81"/>
      <c r="Y553" s="435"/>
      <c r="Z553" s="435"/>
      <c r="AA553" s="435"/>
      <c r="AB553" s="435"/>
      <c r="AC553" s="435" t="s">
        <v>965</v>
      </c>
      <c r="AD553" s="435"/>
      <c r="AE553" s="81"/>
      <c r="AF553" s="81"/>
      <c r="AG553" s="81"/>
      <c r="AH553" s="81"/>
      <c r="AI553" s="81"/>
    </row>
    <row r="554" spans="16:35">
      <c r="P554" s="81"/>
      <c r="Q554" s="81"/>
      <c r="R554" s="81"/>
      <c r="S554" s="81"/>
      <c r="T554" s="435"/>
      <c r="U554" s="435"/>
      <c r="V554" s="81"/>
      <c r="W554" s="81"/>
      <c r="X554" s="81"/>
      <c r="Y554" s="435"/>
      <c r="Z554" s="435"/>
      <c r="AA554" s="435"/>
      <c r="AB554" s="435"/>
      <c r="AC554" s="435" t="s">
        <v>965</v>
      </c>
      <c r="AD554" s="435"/>
      <c r="AE554" s="81"/>
      <c r="AF554" s="81"/>
      <c r="AG554" s="81"/>
      <c r="AH554" s="81"/>
      <c r="AI554" s="81"/>
    </row>
    <row r="555" spans="16:35">
      <c r="P555" s="81"/>
      <c r="Q555" s="81"/>
      <c r="R555" s="81"/>
      <c r="S555" s="81"/>
      <c r="T555" s="435"/>
      <c r="U555" s="435"/>
      <c r="V555" s="81"/>
      <c r="W555" s="81"/>
      <c r="X555" s="81"/>
      <c r="Y555" s="435"/>
      <c r="Z555" s="435"/>
      <c r="AA555" s="435"/>
      <c r="AB555" s="435"/>
      <c r="AC555" s="435" t="s">
        <v>965</v>
      </c>
      <c r="AD555" s="435"/>
      <c r="AE555" s="81"/>
      <c r="AF555" s="81"/>
      <c r="AG555" s="81"/>
      <c r="AH555" s="81"/>
      <c r="AI555" s="81"/>
    </row>
    <row r="556" spans="16:35">
      <c r="P556" s="81"/>
      <c r="Q556" s="81"/>
      <c r="R556" s="81"/>
      <c r="S556" s="81"/>
      <c r="T556" s="435"/>
      <c r="U556" s="435"/>
      <c r="V556" s="81"/>
      <c r="W556" s="81"/>
      <c r="X556" s="81"/>
      <c r="Y556" s="435"/>
      <c r="Z556" s="435"/>
      <c r="AA556" s="435"/>
      <c r="AB556" s="435"/>
      <c r="AC556" s="435" t="s">
        <v>965</v>
      </c>
      <c r="AD556" s="435"/>
      <c r="AE556" s="81"/>
      <c r="AF556" s="81"/>
      <c r="AG556" s="81"/>
      <c r="AH556" s="81"/>
      <c r="AI556" s="81"/>
    </row>
    <row r="557" spans="16:35">
      <c r="P557" s="81"/>
      <c r="Q557" s="81"/>
      <c r="R557" s="81"/>
      <c r="S557" s="81"/>
      <c r="T557" s="435"/>
      <c r="U557" s="435"/>
      <c r="V557" s="81"/>
      <c r="W557" s="81"/>
      <c r="X557" s="81"/>
      <c r="Y557" s="435"/>
      <c r="Z557" s="435"/>
      <c r="AA557" s="435"/>
      <c r="AB557" s="435"/>
      <c r="AC557" s="435" t="s">
        <v>965</v>
      </c>
      <c r="AD557" s="435"/>
      <c r="AE557" s="81"/>
      <c r="AF557" s="81"/>
      <c r="AG557" s="81"/>
      <c r="AH557" s="81"/>
      <c r="AI557" s="81"/>
    </row>
    <row r="558" spans="16:35">
      <c r="P558" s="81"/>
      <c r="Q558" s="81"/>
      <c r="R558" s="81"/>
      <c r="S558" s="81"/>
      <c r="T558" s="435"/>
      <c r="U558" s="435"/>
      <c r="V558" s="81"/>
      <c r="W558" s="81"/>
      <c r="X558" s="81"/>
      <c r="Y558" s="435"/>
      <c r="Z558" s="435"/>
      <c r="AA558" s="435"/>
      <c r="AB558" s="435"/>
      <c r="AC558" s="435" t="s">
        <v>965</v>
      </c>
      <c r="AD558" s="435"/>
      <c r="AE558" s="81"/>
      <c r="AF558" s="81"/>
      <c r="AG558" s="81"/>
      <c r="AH558" s="81"/>
      <c r="AI558" s="81"/>
    </row>
    <row r="559" spans="16:35">
      <c r="P559" s="81"/>
      <c r="Q559" s="81"/>
      <c r="R559" s="81"/>
      <c r="S559" s="81"/>
      <c r="T559" s="435"/>
      <c r="U559" s="435"/>
      <c r="V559" s="81"/>
      <c r="W559" s="81"/>
      <c r="X559" s="81"/>
      <c r="Y559" s="435"/>
      <c r="Z559" s="435"/>
      <c r="AA559" s="435"/>
      <c r="AB559" s="435"/>
      <c r="AC559" s="435" t="s">
        <v>965</v>
      </c>
      <c r="AD559" s="435"/>
      <c r="AE559" s="81"/>
      <c r="AF559" s="81"/>
      <c r="AG559" s="81"/>
      <c r="AH559" s="81"/>
      <c r="AI559" s="81"/>
    </row>
    <row r="560" spans="16:35">
      <c r="P560" s="81"/>
      <c r="Q560" s="81"/>
      <c r="R560" s="81"/>
      <c r="S560" s="81"/>
      <c r="T560" s="435"/>
      <c r="U560" s="435"/>
      <c r="V560" s="81"/>
      <c r="W560" s="81"/>
      <c r="X560" s="81"/>
      <c r="Y560" s="435"/>
      <c r="Z560" s="435"/>
      <c r="AA560" s="435"/>
      <c r="AB560" s="435"/>
      <c r="AC560" s="435" t="s">
        <v>965</v>
      </c>
      <c r="AD560" s="435"/>
      <c r="AE560" s="81"/>
      <c r="AF560" s="81"/>
      <c r="AG560" s="81"/>
      <c r="AH560" s="81"/>
      <c r="AI560" s="81"/>
    </row>
    <row r="561" spans="16:35">
      <c r="P561" s="81"/>
      <c r="Q561" s="81"/>
      <c r="R561" s="81"/>
      <c r="S561" s="81"/>
      <c r="T561" s="435"/>
      <c r="U561" s="435"/>
      <c r="V561" s="81"/>
      <c r="W561" s="81"/>
      <c r="X561" s="81"/>
      <c r="Y561" s="435"/>
      <c r="Z561" s="435"/>
      <c r="AA561" s="435"/>
      <c r="AB561" s="435"/>
      <c r="AC561" s="435" t="s">
        <v>965</v>
      </c>
      <c r="AD561" s="435"/>
      <c r="AE561" s="81"/>
      <c r="AF561" s="81"/>
      <c r="AG561" s="81"/>
      <c r="AH561" s="81"/>
      <c r="AI561" s="81"/>
    </row>
    <row r="562" spans="16:35">
      <c r="P562" s="81"/>
      <c r="Q562" s="81"/>
      <c r="R562" s="81"/>
      <c r="S562" s="81"/>
      <c r="T562" s="435"/>
      <c r="U562" s="435"/>
      <c r="V562" s="81"/>
      <c r="W562" s="81"/>
      <c r="X562" s="81"/>
      <c r="Y562" s="435"/>
      <c r="Z562" s="435"/>
      <c r="AA562" s="435"/>
      <c r="AB562" s="435"/>
      <c r="AC562" s="435" t="s">
        <v>965</v>
      </c>
      <c r="AD562" s="435"/>
      <c r="AE562" s="81"/>
      <c r="AF562" s="81"/>
      <c r="AG562" s="81"/>
      <c r="AH562" s="81"/>
      <c r="AI562" s="81"/>
    </row>
    <row r="563" spans="16:35">
      <c r="P563" s="81"/>
      <c r="Q563" s="81"/>
      <c r="R563" s="81"/>
      <c r="S563" s="81"/>
      <c r="T563" s="435"/>
      <c r="U563" s="435"/>
      <c r="V563" s="81"/>
      <c r="W563" s="81"/>
      <c r="X563" s="81"/>
      <c r="Y563" s="435"/>
      <c r="Z563" s="435"/>
      <c r="AA563" s="435"/>
      <c r="AB563" s="435"/>
      <c r="AC563" s="435" t="s">
        <v>965</v>
      </c>
      <c r="AD563" s="435"/>
      <c r="AE563" s="81"/>
      <c r="AF563" s="81"/>
      <c r="AG563" s="81"/>
      <c r="AH563" s="81"/>
      <c r="AI563" s="81"/>
    </row>
    <row r="564" spans="16:35">
      <c r="P564" s="81"/>
      <c r="Q564" s="81"/>
      <c r="R564" s="81"/>
      <c r="S564" s="81"/>
      <c r="T564" s="435"/>
      <c r="U564" s="435"/>
      <c r="V564" s="81"/>
      <c r="W564" s="81"/>
      <c r="X564" s="81"/>
      <c r="Y564" s="435"/>
      <c r="Z564" s="435"/>
      <c r="AA564" s="435"/>
      <c r="AB564" s="435"/>
      <c r="AC564" s="435" t="s">
        <v>965</v>
      </c>
      <c r="AD564" s="435"/>
      <c r="AE564" s="81"/>
      <c r="AF564" s="81"/>
      <c r="AG564" s="81"/>
      <c r="AH564" s="81"/>
      <c r="AI564" s="81"/>
    </row>
    <row r="565" spans="16:35">
      <c r="P565" s="81"/>
      <c r="Q565" s="81"/>
      <c r="R565" s="81"/>
      <c r="S565" s="81"/>
      <c r="T565" s="435"/>
      <c r="U565" s="435"/>
      <c r="V565" s="81"/>
      <c r="W565" s="81"/>
      <c r="X565" s="81"/>
      <c r="Y565" s="435"/>
      <c r="Z565" s="435"/>
      <c r="AA565" s="435"/>
      <c r="AB565" s="435"/>
      <c r="AC565" s="435" t="s">
        <v>965</v>
      </c>
      <c r="AD565" s="435"/>
      <c r="AE565" s="81"/>
      <c r="AF565" s="81"/>
      <c r="AG565" s="81"/>
      <c r="AH565" s="81"/>
      <c r="AI565" s="81"/>
    </row>
    <row r="566" spans="16:35">
      <c r="P566" s="81"/>
      <c r="Q566" s="81"/>
      <c r="R566" s="81"/>
      <c r="S566" s="81"/>
      <c r="T566" s="435"/>
      <c r="U566" s="435"/>
      <c r="V566" s="81"/>
      <c r="W566" s="81"/>
      <c r="X566" s="81"/>
      <c r="Y566" s="435"/>
      <c r="Z566" s="435"/>
      <c r="AA566" s="435"/>
      <c r="AB566" s="435"/>
      <c r="AC566" s="435" t="s">
        <v>965</v>
      </c>
      <c r="AD566" s="435"/>
      <c r="AE566" s="81"/>
      <c r="AF566" s="81"/>
      <c r="AG566" s="81"/>
      <c r="AH566" s="81"/>
      <c r="AI566" s="81"/>
    </row>
    <row r="567" spans="16:35">
      <c r="P567" s="81"/>
      <c r="Q567" s="81"/>
      <c r="R567" s="81"/>
      <c r="S567" s="81"/>
      <c r="T567" s="435"/>
      <c r="U567" s="435"/>
      <c r="V567" s="81"/>
      <c r="W567" s="81"/>
      <c r="X567" s="81"/>
      <c r="Y567" s="435"/>
      <c r="Z567" s="435"/>
      <c r="AA567" s="435"/>
      <c r="AB567" s="435"/>
      <c r="AC567" s="435" t="s">
        <v>965</v>
      </c>
      <c r="AD567" s="435"/>
      <c r="AE567" s="81"/>
      <c r="AF567" s="81"/>
      <c r="AG567" s="81"/>
      <c r="AH567" s="81"/>
      <c r="AI567" s="81"/>
    </row>
    <row r="568" spans="16:35">
      <c r="P568" s="81"/>
      <c r="Q568" s="81"/>
      <c r="R568" s="81"/>
      <c r="S568" s="81"/>
      <c r="T568" s="435"/>
      <c r="U568" s="435"/>
      <c r="V568" s="81"/>
      <c r="W568" s="81"/>
      <c r="X568" s="81"/>
      <c r="Y568" s="435"/>
      <c r="Z568" s="435"/>
      <c r="AA568" s="435"/>
      <c r="AB568" s="435"/>
      <c r="AC568" s="435" t="s">
        <v>965</v>
      </c>
      <c r="AD568" s="435"/>
      <c r="AE568" s="81"/>
      <c r="AF568" s="81"/>
      <c r="AG568" s="81"/>
      <c r="AH568" s="81"/>
      <c r="AI568" s="81"/>
    </row>
    <row r="569" spans="16:35">
      <c r="P569" s="81"/>
      <c r="Q569" s="81"/>
      <c r="R569" s="81"/>
      <c r="S569" s="81"/>
      <c r="T569" s="435"/>
      <c r="U569" s="435"/>
      <c r="V569" s="81"/>
      <c r="W569" s="81"/>
      <c r="X569" s="81"/>
      <c r="Y569" s="435"/>
      <c r="Z569" s="435"/>
      <c r="AA569" s="435"/>
      <c r="AB569" s="435"/>
      <c r="AC569" s="435" t="s">
        <v>965</v>
      </c>
      <c r="AD569" s="435"/>
      <c r="AE569" s="81"/>
      <c r="AF569" s="81"/>
      <c r="AG569" s="81"/>
      <c r="AH569" s="81"/>
      <c r="AI569" s="81"/>
    </row>
    <row r="570" spans="16:35">
      <c r="P570" s="81"/>
      <c r="Q570" s="81"/>
      <c r="R570" s="81"/>
      <c r="S570" s="81"/>
      <c r="T570" s="435"/>
      <c r="U570" s="435"/>
      <c r="V570" s="81"/>
      <c r="W570" s="81"/>
      <c r="X570" s="81"/>
      <c r="Y570" s="435"/>
      <c r="Z570" s="435"/>
      <c r="AA570" s="435"/>
      <c r="AB570" s="435"/>
      <c r="AC570" s="435" t="s">
        <v>965</v>
      </c>
      <c r="AD570" s="435"/>
      <c r="AE570" s="81"/>
      <c r="AF570" s="81"/>
      <c r="AG570" s="81"/>
      <c r="AH570" s="81"/>
      <c r="AI570" s="81"/>
    </row>
    <row r="571" spans="16:35">
      <c r="P571" s="81"/>
      <c r="Q571" s="81"/>
      <c r="R571" s="81"/>
      <c r="S571" s="81"/>
      <c r="T571" s="435"/>
      <c r="U571" s="435"/>
      <c r="V571" s="81"/>
      <c r="W571" s="81"/>
      <c r="X571" s="81"/>
      <c r="Y571" s="435"/>
      <c r="Z571" s="435"/>
      <c r="AA571" s="435"/>
      <c r="AB571" s="435"/>
      <c r="AC571" s="435" t="s">
        <v>965</v>
      </c>
      <c r="AD571" s="435"/>
      <c r="AE571" s="81"/>
      <c r="AF571" s="81"/>
      <c r="AG571" s="81"/>
      <c r="AH571" s="81"/>
      <c r="AI571" s="81"/>
    </row>
    <row r="572" spans="16:35">
      <c r="P572" s="81"/>
      <c r="Q572" s="81"/>
      <c r="R572" s="81"/>
      <c r="S572" s="81"/>
      <c r="T572" s="435"/>
      <c r="U572" s="435"/>
      <c r="V572" s="81"/>
      <c r="W572" s="81"/>
      <c r="X572" s="81"/>
      <c r="Y572" s="435"/>
      <c r="Z572" s="435"/>
      <c r="AA572" s="435"/>
      <c r="AB572" s="435"/>
      <c r="AC572" s="435" t="s">
        <v>965</v>
      </c>
      <c r="AD572" s="435"/>
      <c r="AE572" s="81"/>
      <c r="AF572" s="81"/>
      <c r="AG572" s="81"/>
      <c r="AH572" s="81"/>
      <c r="AI572" s="81"/>
    </row>
    <row r="573" spans="16:35">
      <c r="P573" s="81"/>
      <c r="Q573" s="81"/>
      <c r="R573" s="81"/>
      <c r="S573" s="81"/>
      <c r="T573" s="435"/>
      <c r="U573" s="435"/>
      <c r="V573" s="81"/>
      <c r="W573" s="81"/>
      <c r="X573" s="81"/>
      <c r="Y573" s="435"/>
      <c r="Z573" s="435"/>
      <c r="AA573" s="435"/>
      <c r="AB573" s="435"/>
      <c r="AC573" s="435" t="s">
        <v>965</v>
      </c>
      <c r="AD573" s="435"/>
      <c r="AE573" s="81"/>
      <c r="AF573" s="81"/>
      <c r="AG573" s="81"/>
      <c r="AH573" s="81"/>
      <c r="AI573" s="81"/>
    </row>
    <row r="574" spans="16:35">
      <c r="P574" s="81"/>
      <c r="Q574" s="81"/>
      <c r="R574" s="81"/>
      <c r="S574" s="81"/>
      <c r="T574" s="435"/>
      <c r="U574" s="435"/>
      <c r="V574" s="81"/>
      <c r="W574" s="81"/>
      <c r="X574" s="81"/>
      <c r="Y574" s="435"/>
      <c r="Z574" s="435"/>
      <c r="AA574" s="435"/>
      <c r="AB574" s="435"/>
      <c r="AC574" s="435" t="s">
        <v>965</v>
      </c>
      <c r="AD574" s="435"/>
      <c r="AE574" s="81"/>
      <c r="AF574" s="81"/>
      <c r="AG574" s="81"/>
      <c r="AH574" s="81"/>
      <c r="AI574" s="81"/>
    </row>
    <row r="575" spans="16:35">
      <c r="P575" s="81"/>
      <c r="Q575" s="81"/>
      <c r="R575" s="81"/>
      <c r="S575" s="81"/>
      <c r="T575" s="435"/>
      <c r="U575" s="435"/>
      <c r="V575" s="81"/>
      <c r="W575" s="81"/>
      <c r="X575" s="81"/>
      <c r="Y575" s="435"/>
      <c r="Z575" s="435"/>
      <c r="AA575" s="435"/>
      <c r="AB575" s="435"/>
      <c r="AC575" s="435" t="s">
        <v>965</v>
      </c>
      <c r="AD575" s="435"/>
      <c r="AE575" s="81"/>
      <c r="AF575" s="81"/>
      <c r="AG575" s="81"/>
      <c r="AH575" s="81"/>
      <c r="AI575" s="81"/>
    </row>
    <row r="576" spans="16:35">
      <c r="P576" s="81"/>
      <c r="Q576" s="81"/>
      <c r="R576" s="81"/>
      <c r="S576" s="81"/>
      <c r="T576" s="435"/>
      <c r="U576" s="435"/>
      <c r="V576" s="81"/>
      <c r="W576" s="81"/>
      <c r="X576" s="81"/>
      <c r="Y576" s="435"/>
      <c r="Z576" s="435"/>
      <c r="AA576" s="435"/>
      <c r="AB576" s="435"/>
      <c r="AC576" s="435" t="s">
        <v>965</v>
      </c>
      <c r="AD576" s="435"/>
      <c r="AE576" s="81"/>
      <c r="AF576" s="81"/>
      <c r="AG576" s="81"/>
      <c r="AH576" s="81"/>
      <c r="AI576" s="81"/>
    </row>
    <row r="577" spans="16:35">
      <c r="P577" s="81"/>
      <c r="Q577" s="81"/>
      <c r="R577" s="81"/>
      <c r="S577" s="81"/>
      <c r="T577" s="435"/>
      <c r="U577" s="435"/>
      <c r="V577" s="81"/>
      <c r="W577" s="81"/>
      <c r="X577" s="81"/>
      <c r="Y577" s="435"/>
      <c r="Z577" s="435"/>
      <c r="AA577" s="435"/>
      <c r="AB577" s="435"/>
      <c r="AC577" s="435" t="s">
        <v>965</v>
      </c>
      <c r="AD577" s="435"/>
      <c r="AE577" s="81"/>
      <c r="AF577" s="81"/>
      <c r="AG577" s="81"/>
      <c r="AH577" s="81"/>
      <c r="AI577" s="81"/>
    </row>
    <row r="578" spans="16:35">
      <c r="P578" s="81"/>
      <c r="Q578" s="81"/>
      <c r="R578" s="81"/>
      <c r="S578" s="81"/>
      <c r="T578" s="435"/>
      <c r="U578" s="435"/>
      <c r="V578" s="81"/>
      <c r="W578" s="81"/>
      <c r="X578" s="81"/>
      <c r="Y578" s="435"/>
      <c r="Z578" s="435"/>
      <c r="AA578" s="435"/>
      <c r="AB578" s="435"/>
      <c r="AC578" s="435" t="s">
        <v>965</v>
      </c>
      <c r="AD578" s="435"/>
      <c r="AE578" s="81"/>
      <c r="AF578" s="81"/>
      <c r="AG578" s="81"/>
      <c r="AH578" s="81"/>
      <c r="AI578" s="81"/>
    </row>
    <row r="579" spans="16:35">
      <c r="P579" s="81"/>
      <c r="Q579" s="81"/>
      <c r="R579" s="81"/>
      <c r="S579" s="81"/>
      <c r="T579" s="435"/>
      <c r="U579" s="435"/>
      <c r="V579" s="81"/>
      <c r="W579" s="81"/>
      <c r="X579" s="81"/>
      <c r="Y579" s="435"/>
      <c r="Z579" s="435"/>
      <c r="AA579" s="435"/>
      <c r="AB579" s="435"/>
      <c r="AC579" s="435" t="s">
        <v>965</v>
      </c>
      <c r="AD579" s="435"/>
      <c r="AE579" s="81"/>
      <c r="AF579" s="81"/>
      <c r="AG579" s="81"/>
      <c r="AH579" s="81"/>
      <c r="AI579" s="81"/>
    </row>
    <row r="580" spans="16:35">
      <c r="P580" s="81"/>
      <c r="Q580" s="81"/>
      <c r="R580" s="81"/>
      <c r="S580" s="81"/>
      <c r="T580" s="435"/>
      <c r="U580" s="435"/>
      <c r="V580" s="81"/>
      <c r="W580" s="81"/>
      <c r="X580" s="81"/>
      <c r="Y580" s="435"/>
      <c r="Z580" s="435"/>
      <c r="AA580" s="435"/>
      <c r="AB580" s="435"/>
      <c r="AC580" s="435" t="s">
        <v>965</v>
      </c>
      <c r="AD580" s="435"/>
      <c r="AE580" s="81"/>
      <c r="AF580" s="81"/>
      <c r="AG580" s="81"/>
      <c r="AH580" s="81"/>
      <c r="AI580" s="81"/>
    </row>
    <row r="581" spans="16:35">
      <c r="P581" s="81"/>
      <c r="Q581" s="81"/>
      <c r="R581" s="81"/>
      <c r="S581" s="81"/>
      <c r="T581" s="435"/>
      <c r="U581" s="435"/>
      <c r="V581" s="81"/>
      <c r="W581" s="81"/>
      <c r="X581" s="81"/>
      <c r="Y581" s="435"/>
      <c r="Z581" s="435"/>
      <c r="AA581" s="435"/>
      <c r="AB581" s="435"/>
      <c r="AC581" s="435" t="s">
        <v>965</v>
      </c>
      <c r="AD581" s="435"/>
      <c r="AE581" s="81"/>
      <c r="AF581" s="81"/>
      <c r="AG581" s="81"/>
      <c r="AH581" s="81"/>
      <c r="AI581" s="81"/>
    </row>
    <row r="582" spans="16:35">
      <c r="P582" s="81"/>
      <c r="Q582" s="81"/>
      <c r="R582" s="81"/>
      <c r="S582" s="81"/>
      <c r="T582" s="435"/>
      <c r="U582" s="435"/>
      <c r="V582" s="81"/>
      <c r="W582" s="81"/>
      <c r="X582" s="81"/>
      <c r="Y582" s="435"/>
      <c r="Z582" s="435"/>
      <c r="AA582" s="435"/>
      <c r="AB582" s="435"/>
      <c r="AC582" s="435" t="s">
        <v>965</v>
      </c>
      <c r="AD582" s="435"/>
      <c r="AE582" s="81"/>
      <c r="AF582" s="81"/>
      <c r="AG582" s="81"/>
      <c r="AH582" s="81"/>
      <c r="AI582" s="81"/>
    </row>
    <row r="583" spans="16:35">
      <c r="P583" s="81"/>
      <c r="Q583" s="81"/>
      <c r="R583" s="81"/>
      <c r="S583" s="81"/>
      <c r="T583" s="435"/>
      <c r="U583" s="435"/>
      <c r="V583" s="81"/>
      <c r="W583" s="81"/>
      <c r="X583" s="81"/>
      <c r="Y583" s="435"/>
      <c r="Z583" s="435"/>
      <c r="AA583" s="435"/>
      <c r="AB583" s="435"/>
      <c r="AC583" s="435" t="s">
        <v>965</v>
      </c>
      <c r="AD583" s="435"/>
      <c r="AE583" s="81"/>
      <c r="AF583" s="81"/>
      <c r="AG583" s="81"/>
      <c r="AH583" s="81"/>
      <c r="AI583" s="81"/>
    </row>
    <row r="584" spans="16:35">
      <c r="P584" s="81"/>
      <c r="Q584" s="81"/>
      <c r="R584" s="81"/>
      <c r="S584" s="81"/>
      <c r="T584" s="435"/>
      <c r="U584" s="435"/>
      <c r="V584" s="81"/>
      <c r="W584" s="81"/>
      <c r="X584" s="81"/>
      <c r="Y584" s="435"/>
      <c r="Z584" s="435"/>
      <c r="AA584" s="435"/>
      <c r="AB584" s="435"/>
      <c r="AC584" s="435" t="s">
        <v>965</v>
      </c>
      <c r="AD584" s="435"/>
      <c r="AE584" s="81"/>
      <c r="AF584" s="81"/>
      <c r="AG584" s="81"/>
      <c r="AH584" s="81"/>
      <c r="AI584" s="81"/>
    </row>
    <row r="585" spans="16:35">
      <c r="P585" s="81"/>
      <c r="Q585" s="81"/>
      <c r="R585" s="81"/>
      <c r="S585" s="81"/>
      <c r="T585" s="435"/>
      <c r="U585" s="435"/>
      <c r="V585" s="81"/>
      <c r="W585" s="81"/>
      <c r="X585" s="81"/>
      <c r="Y585" s="435"/>
      <c r="Z585" s="435"/>
      <c r="AA585" s="435"/>
      <c r="AB585" s="435"/>
      <c r="AC585" s="435" t="s">
        <v>965</v>
      </c>
      <c r="AD585" s="435"/>
      <c r="AE585" s="81"/>
      <c r="AF585" s="81"/>
      <c r="AG585" s="81"/>
      <c r="AH585" s="81"/>
      <c r="AI585" s="81"/>
    </row>
    <row r="586" spans="16:35">
      <c r="P586" s="81"/>
      <c r="Q586" s="81"/>
      <c r="R586" s="81"/>
      <c r="S586" s="81"/>
      <c r="T586" s="435"/>
      <c r="U586" s="435"/>
      <c r="V586" s="81"/>
      <c r="W586" s="81"/>
      <c r="X586" s="81"/>
      <c r="Y586" s="435"/>
      <c r="Z586" s="435"/>
      <c r="AA586" s="435"/>
      <c r="AB586" s="435"/>
      <c r="AC586" s="435" t="s">
        <v>965</v>
      </c>
      <c r="AD586" s="435"/>
      <c r="AE586" s="81"/>
      <c r="AF586" s="81"/>
      <c r="AG586" s="81"/>
      <c r="AH586" s="81"/>
      <c r="AI586" s="81"/>
    </row>
    <row r="587" spans="16:35">
      <c r="P587" s="81"/>
      <c r="Q587" s="81"/>
      <c r="R587" s="81"/>
      <c r="S587" s="81"/>
      <c r="T587" s="435"/>
      <c r="U587" s="435"/>
      <c r="V587" s="81"/>
      <c r="W587" s="81"/>
      <c r="X587" s="81"/>
      <c r="Y587" s="435"/>
      <c r="Z587" s="435"/>
      <c r="AA587" s="435"/>
      <c r="AB587" s="435"/>
      <c r="AC587" s="435" t="s">
        <v>965</v>
      </c>
      <c r="AD587" s="435"/>
      <c r="AE587" s="81"/>
      <c r="AF587" s="81"/>
      <c r="AG587" s="81"/>
      <c r="AH587" s="81"/>
      <c r="AI587" s="81"/>
    </row>
    <row r="588" spans="16:35">
      <c r="P588" s="81"/>
      <c r="Q588" s="81"/>
      <c r="R588" s="81"/>
      <c r="S588" s="81"/>
      <c r="T588" s="435"/>
      <c r="U588" s="435"/>
      <c r="V588" s="81"/>
      <c r="W588" s="81"/>
      <c r="X588" s="81"/>
      <c r="Y588" s="435"/>
      <c r="Z588" s="435"/>
      <c r="AA588" s="435"/>
      <c r="AB588" s="435"/>
      <c r="AC588" s="435" t="s">
        <v>965</v>
      </c>
      <c r="AD588" s="435"/>
      <c r="AE588" s="81"/>
      <c r="AF588" s="81"/>
      <c r="AG588" s="81"/>
      <c r="AH588" s="81"/>
      <c r="AI588" s="81"/>
    </row>
    <row r="589" spans="16:35">
      <c r="P589" s="81"/>
      <c r="Q589" s="81"/>
      <c r="R589" s="81"/>
      <c r="S589" s="81"/>
      <c r="T589" s="435"/>
      <c r="U589" s="435"/>
      <c r="V589" s="81"/>
      <c r="W589" s="81"/>
      <c r="X589" s="81"/>
      <c r="Y589" s="435"/>
      <c r="Z589" s="435"/>
      <c r="AA589" s="435"/>
      <c r="AB589" s="435"/>
      <c r="AC589" s="435" t="s">
        <v>965</v>
      </c>
      <c r="AD589" s="435"/>
      <c r="AE589" s="81"/>
      <c r="AF589" s="81"/>
      <c r="AG589" s="81"/>
      <c r="AH589" s="81"/>
      <c r="AI589" s="81"/>
    </row>
    <row r="590" spans="16:35">
      <c r="P590" s="81"/>
      <c r="Q590" s="81"/>
      <c r="R590" s="81"/>
      <c r="S590" s="81"/>
      <c r="T590" s="435"/>
      <c r="U590" s="435"/>
      <c r="V590" s="81"/>
      <c r="W590" s="81"/>
      <c r="X590" s="81"/>
      <c r="Y590" s="435"/>
      <c r="Z590" s="435"/>
      <c r="AA590" s="435"/>
      <c r="AB590" s="435"/>
      <c r="AC590" s="435" t="s">
        <v>965</v>
      </c>
      <c r="AD590" s="435"/>
      <c r="AE590" s="81"/>
      <c r="AF590" s="81"/>
      <c r="AG590" s="81"/>
      <c r="AH590" s="81"/>
      <c r="AI590" s="81"/>
    </row>
    <row r="591" spans="16:35">
      <c r="P591" s="81"/>
      <c r="Q591" s="81"/>
      <c r="R591" s="81"/>
      <c r="S591" s="81"/>
      <c r="T591" s="435"/>
      <c r="U591" s="435"/>
      <c r="V591" s="81"/>
      <c r="W591" s="81"/>
      <c r="X591" s="81"/>
      <c r="Y591" s="435"/>
      <c r="Z591" s="435"/>
      <c r="AA591" s="435"/>
      <c r="AB591" s="435"/>
      <c r="AC591" s="435" t="s">
        <v>965</v>
      </c>
      <c r="AD591" s="435"/>
      <c r="AE591" s="81"/>
      <c r="AF591" s="81"/>
      <c r="AG591" s="81"/>
      <c r="AH591" s="81"/>
      <c r="AI591" s="81"/>
    </row>
    <row r="592" spans="16:35">
      <c r="P592" s="81"/>
      <c r="Q592" s="81"/>
      <c r="R592" s="81"/>
      <c r="S592" s="81"/>
      <c r="T592" s="435"/>
      <c r="U592" s="435"/>
      <c r="V592" s="81"/>
      <c r="W592" s="81"/>
      <c r="X592" s="81"/>
      <c r="Y592" s="435"/>
      <c r="Z592" s="435"/>
      <c r="AA592" s="435"/>
      <c r="AB592" s="435"/>
      <c r="AC592" s="435" t="s">
        <v>965</v>
      </c>
      <c r="AD592" s="435"/>
      <c r="AE592" s="81"/>
      <c r="AF592" s="81"/>
      <c r="AG592" s="81"/>
      <c r="AH592" s="81"/>
      <c r="AI592" s="81"/>
    </row>
    <row r="593" spans="16:35">
      <c r="P593" s="81"/>
      <c r="Q593" s="81"/>
      <c r="R593" s="81"/>
      <c r="S593" s="81"/>
      <c r="T593" s="435"/>
      <c r="U593" s="435"/>
      <c r="V593" s="81"/>
      <c r="W593" s="81"/>
      <c r="X593" s="81"/>
      <c r="Y593" s="435"/>
      <c r="Z593" s="435"/>
      <c r="AA593" s="435"/>
      <c r="AB593" s="435"/>
      <c r="AC593" s="435" t="s">
        <v>965</v>
      </c>
      <c r="AD593" s="435"/>
      <c r="AE593" s="81"/>
      <c r="AF593" s="81"/>
      <c r="AG593" s="81"/>
      <c r="AH593" s="81"/>
      <c r="AI593" s="81"/>
    </row>
    <row r="594" spans="16:35">
      <c r="P594" s="81"/>
      <c r="Q594" s="81"/>
      <c r="R594" s="81"/>
      <c r="S594" s="81"/>
      <c r="T594" s="435"/>
      <c r="U594" s="435"/>
      <c r="V594" s="81"/>
      <c r="W594" s="81"/>
      <c r="X594" s="81"/>
      <c r="Y594" s="435"/>
      <c r="Z594" s="435"/>
      <c r="AA594" s="435"/>
      <c r="AB594" s="435"/>
      <c r="AC594" s="435" t="s">
        <v>965</v>
      </c>
      <c r="AD594" s="435"/>
      <c r="AE594" s="81"/>
      <c r="AF594" s="81"/>
      <c r="AG594" s="81"/>
      <c r="AH594" s="81"/>
      <c r="AI594" s="81"/>
    </row>
    <row r="595" spans="16:35">
      <c r="P595" s="81"/>
      <c r="Q595" s="81"/>
      <c r="R595" s="81"/>
      <c r="S595" s="81"/>
      <c r="T595" s="435"/>
      <c r="U595" s="435"/>
      <c r="V595" s="81"/>
      <c r="W595" s="81"/>
      <c r="X595" s="81"/>
      <c r="Y595" s="435"/>
      <c r="Z595" s="435"/>
      <c r="AA595" s="435"/>
      <c r="AB595" s="435"/>
      <c r="AC595" s="435" t="s">
        <v>965</v>
      </c>
      <c r="AD595" s="435"/>
      <c r="AE595" s="81"/>
      <c r="AF595" s="81"/>
      <c r="AG595" s="81"/>
      <c r="AH595" s="81"/>
      <c r="AI595" s="81"/>
    </row>
    <row r="596" spans="16:35">
      <c r="P596" s="81"/>
      <c r="Q596" s="81"/>
      <c r="R596" s="81"/>
      <c r="S596" s="81"/>
      <c r="T596" s="435"/>
      <c r="U596" s="435"/>
      <c r="V596" s="81"/>
      <c r="W596" s="81"/>
      <c r="X596" s="81"/>
      <c r="Y596" s="435"/>
      <c r="Z596" s="435"/>
      <c r="AA596" s="435"/>
      <c r="AB596" s="435"/>
      <c r="AC596" s="435" t="s">
        <v>965</v>
      </c>
      <c r="AD596" s="435"/>
      <c r="AE596" s="81"/>
      <c r="AF596" s="81"/>
      <c r="AG596" s="81"/>
      <c r="AH596" s="81"/>
      <c r="AI596" s="81"/>
    </row>
    <row r="597" spans="16:35">
      <c r="P597" s="81"/>
      <c r="Q597" s="81"/>
      <c r="R597" s="81"/>
      <c r="S597" s="81"/>
      <c r="T597" s="435"/>
      <c r="U597" s="435"/>
      <c r="V597" s="81"/>
      <c r="W597" s="81"/>
      <c r="X597" s="81"/>
      <c r="Y597" s="435"/>
      <c r="Z597" s="435"/>
      <c r="AA597" s="435"/>
      <c r="AB597" s="435"/>
      <c r="AC597" s="435" t="s">
        <v>965</v>
      </c>
      <c r="AD597" s="435"/>
      <c r="AE597" s="81"/>
      <c r="AF597" s="81"/>
      <c r="AG597" s="81"/>
      <c r="AH597" s="81"/>
      <c r="AI597" s="81"/>
    </row>
    <row r="598" spans="16:35">
      <c r="P598" s="81"/>
      <c r="Q598" s="81"/>
      <c r="R598" s="81"/>
      <c r="S598" s="81"/>
      <c r="T598" s="435"/>
      <c r="U598" s="435"/>
      <c r="V598" s="81"/>
      <c r="W598" s="81"/>
      <c r="X598" s="81"/>
      <c r="Y598" s="435"/>
      <c r="Z598" s="435"/>
      <c r="AA598" s="435"/>
      <c r="AB598" s="435"/>
      <c r="AC598" s="435" t="s">
        <v>965</v>
      </c>
      <c r="AD598" s="435"/>
      <c r="AE598" s="81"/>
      <c r="AF598" s="81"/>
      <c r="AG598" s="81"/>
      <c r="AH598" s="81"/>
      <c r="AI598" s="81"/>
    </row>
    <row r="599" spans="16:35">
      <c r="P599" s="81"/>
      <c r="Q599" s="81"/>
      <c r="R599" s="81"/>
      <c r="S599" s="81"/>
      <c r="T599" s="435"/>
      <c r="U599" s="435"/>
      <c r="V599" s="81"/>
      <c r="W599" s="81"/>
      <c r="X599" s="81"/>
      <c r="Y599" s="435"/>
      <c r="Z599" s="435"/>
      <c r="AA599" s="435"/>
      <c r="AB599" s="435"/>
      <c r="AC599" s="435" t="s">
        <v>965</v>
      </c>
      <c r="AD599" s="435"/>
      <c r="AE599" s="81"/>
      <c r="AF599" s="81"/>
      <c r="AG599" s="81"/>
      <c r="AH599" s="81"/>
      <c r="AI599" s="81"/>
    </row>
    <row r="600" spans="16:35">
      <c r="P600" s="81"/>
      <c r="Q600" s="81"/>
      <c r="R600" s="81"/>
      <c r="S600" s="81"/>
      <c r="T600" s="435"/>
      <c r="U600" s="435"/>
      <c r="V600" s="81"/>
      <c r="W600" s="81"/>
      <c r="X600" s="81"/>
      <c r="Y600" s="435"/>
      <c r="Z600" s="435"/>
      <c r="AA600" s="435"/>
      <c r="AB600" s="435"/>
      <c r="AC600" s="435" t="s">
        <v>965</v>
      </c>
      <c r="AD600" s="435"/>
      <c r="AE600" s="81"/>
      <c r="AF600" s="81"/>
      <c r="AG600" s="81"/>
      <c r="AH600" s="81"/>
      <c r="AI600" s="81"/>
    </row>
    <row r="601" spans="16:35">
      <c r="P601" s="81"/>
      <c r="Q601" s="81"/>
      <c r="R601" s="81"/>
      <c r="S601" s="81"/>
      <c r="T601" s="435"/>
      <c r="U601" s="435"/>
      <c r="V601" s="81"/>
      <c r="W601" s="81"/>
      <c r="X601" s="81"/>
      <c r="Y601" s="435"/>
      <c r="Z601" s="435"/>
      <c r="AA601" s="435"/>
      <c r="AB601" s="435"/>
      <c r="AC601" s="435" t="s">
        <v>965</v>
      </c>
      <c r="AD601" s="435"/>
      <c r="AE601" s="81"/>
      <c r="AF601" s="81"/>
      <c r="AG601" s="81"/>
      <c r="AH601" s="81"/>
      <c r="AI601" s="81"/>
    </row>
    <row r="602" spans="16:35">
      <c r="P602" s="81"/>
      <c r="Q602" s="81"/>
      <c r="R602" s="81"/>
      <c r="S602" s="81"/>
      <c r="T602" s="435"/>
      <c r="U602" s="435"/>
      <c r="V602" s="81"/>
      <c r="W602" s="81"/>
      <c r="X602" s="81"/>
      <c r="Y602" s="435"/>
      <c r="Z602" s="435"/>
      <c r="AA602" s="435"/>
      <c r="AB602" s="435"/>
      <c r="AC602" s="435" t="s">
        <v>965</v>
      </c>
      <c r="AD602" s="435"/>
      <c r="AE602" s="81"/>
      <c r="AF602" s="81"/>
      <c r="AG602" s="81"/>
      <c r="AH602" s="81"/>
      <c r="AI602" s="81"/>
    </row>
    <row r="603" spans="16:35">
      <c r="P603" s="81"/>
      <c r="Q603" s="81"/>
      <c r="R603" s="81"/>
      <c r="S603" s="81"/>
      <c r="T603" s="435"/>
      <c r="U603" s="435"/>
      <c r="V603" s="81"/>
      <c r="W603" s="81"/>
      <c r="X603" s="81"/>
      <c r="Y603" s="435"/>
      <c r="Z603" s="435"/>
      <c r="AA603" s="435"/>
      <c r="AB603" s="435"/>
      <c r="AC603" s="435" t="s">
        <v>965</v>
      </c>
      <c r="AD603" s="435"/>
      <c r="AE603" s="81"/>
      <c r="AF603" s="81"/>
      <c r="AG603" s="81"/>
      <c r="AH603" s="81"/>
      <c r="AI603" s="81"/>
    </row>
    <row r="604" spans="16:35">
      <c r="P604" s="81"/>
      <c r="Q604" s="81"/>
      <c r="R604" s="81"/>
      <c r="S604" s="81"/>
      <c r="T604" s="435"/>
      <c r="U604" s="435"/>
      <c r="V604" s="81"/>
      <c r="W604" s="81"/>
      <c r="X604" s="81"/>
      <c r="Y604" s="435"/>
      <c r="Z604" s="435"/>
      <c r="AA604" s="435"/>
      <c r="AB604" s="435"/>
      <c r="AC604" s="435" t="s">
        <v>965</v>
      </c>
      <c r="AD604" s="435"/>
      <c r="AE604" s="81"/>
      <c r="AF604" s="81"/>
      <c r="AG604" s="81"/>
      <c r="AH604" s="81"/>
      <c r="AI604" s="81"/>
    </row>
    <row r="605" spans="16:35">
      <c r="P605" s="81"/>
      <c r="Q605" s="81"/>
      <c r="R605" s="81"/>
      <c r="S605" s="81"/>
      <c r="T605" s="435"/>
      <c r="U605" s="435"/>
      <c r="V605" s="81"/>
      <c r="W605" s="81"/>
      <c r="X605" s="81"/>
      <c r="Y605" s="435"/>
      <c r="Z605" s="435"/>
      <c r="AA605" s="435"/>
      <c r="AB605" s="435"/>
      <c r="AC605" s="435" t="s">
        <v>965</v>
      </c>
      <c r="AD605" s="435"/>
      <c r="AE605" s="81"/>
      <c r="AF605" s="81"/>
      <c r="AG605" s="81"/>
      <c r="AH605" s="81"/>
      <c r="AI605" s="81"/>
    </row>
    <row r="606" spans="16:35">
      <c r="P606" s="81"/>
      <c r="Q606" s="81"/>
      <c r="R606" s="81"/>
      <c r="S606" s="81"/>
      <c r="T606" s="435"/>
      <c r="U606" s="435"/>
      <c r="V606" s="81"/>
      <c r="W606" s="81"/>
      <c r="X606" s="81"/>
      <c r="Y606" s="435"/>
      <c r="Z606" s="435"/>
      <c r="AA606" s="435"/>
      <c r="AB606" s="435"/>
      <c r="AC606" s="435" t="s">
        <v>965</v>
      </c>
      <c r="AD606" s="435"/>
      <c r="AE606" s="81"/>
      <c r="AF606" s="81"/>
      <c r="AG606" s="81"/>
      <c r="AH606" s="81"/>
      <c r="AI606" s="81"/>
    </row>
    <row r="607" spans="16:35">
      <c r="P607" s="81"/>
      <c r="Q607" s="81"/>
      <c r="R607" s="81"/>
      <c r="S607" s="81"/>
      <c r="T607" s="435"/>
      <c r="U607" s="435"/>
      <c r="V607" s="81"/>
      <c r="W607" s="81"/>
      <c r="X607" s="81"/>
      <c r="Y607" s="435"/>
      <c r="Z607" s="435"/>
      <c r="AA607" s="435"/>
      <c r="AB607" s="435"/>
      <c r="AC607" s="435" t="s">
        <v>965</v>
      </c>
      <c r="AD607" s="435"/>
      <c r="AE607" s="81"/>
      <c r="AF607" s="81"/>
      <c r="AG607" s="81"/>
      <c r="AH607" s="81"/>
      <c r="AI607" s="81"/>
    </row>
    <row r="608" spans="16:35">
      <c r="P608" s="81"/>
      <c r="Q608" s="81"/>
      <c r="R608" s="81"/>
      <c r="S608" s="81"/>
      <c r="T608" s="435"/>
      <c r="U608" s="435"/>
      <c r="V608" s="81"/>
      <c r="W608" s="81"/>
      <c r="X608" s="81"/>
      <c r="Y608" s="435"/>
      <c r="Z608" s="435"/>
      <c r="AA608" s="435"/>
      <c r="AB608" s="435"/>
      <c r="AC608" s="435" t="s">
        <v>965</v>
      </c>
      <c r="AD608" s="435"/>
      <c r="AE608" s="81"/>
      <c r="AF608" s="81"/>
      <c r="AG608" s="81"/>
      <c r="AH608" s="81"/>
      <c r="AI608" s="81"/>
    </row>
    <row r="609" spans="16:35">
      <c r="P609" s="81"/>
      <c r="Q609" s="81"/>
      <c r="R609" s="81"/>
      <c r="S609" s="81"/>
      <c r="T609" s="435"/>
      <c r="U609" s="435"/>
      <c r="V609" s="81"/>
      <c r="W609" s="81"/>
      <c r="X609" s="81"/>
      <c r="Y609" s="435"/>
      <c r="Z609" s="435"/>
      <c r="AA609" s="435"/>
      <c r="AB609" s="435"/>
      <c r="AC609" s="435" t="s">
        <v>965</v>
      </c>
      <c r="AD609" s="435"/>
      <c r="AE609" s="81"/>
      <c r="AF609" s="81"/>
      <c r="AG609" s="81"/>
      <c r="AH609" s="81"/>
      <c r="AI609" s="81"/>
    </row>
    <row r="610" spans="16:35">
      <c r="P610" s="81"/>
      <c r="Q610" s="81"/>
      <c r="R610" s="81"/>
      <c r="S610" s="81"/>
      <c r="T610" s="435"/>
      <c r="U610" s="435"/>
      <c r="V610" s="81"/>
      <c r="W610" s="81"/>
      <c r="X610" s="81"/>
      <c r="Y610" s="435"/>
      <c r="Z610" s="435"/>
      <c r="AA610" s="435"/>
      <c r="AB610" s="435"/>
      <c r="AC610" s="435" t="s">
        <v>965</v>
      </c>
      <c r="AD610" s="435"/>
      <c r="AE610" s="81"/>
      <c r="AF610" s="81"/>
      <c r="AG610" s="81"/>
      <c r="AH610" s="81"/>
      <c r="AI610" s="81"/>
    </row>
    <row r="611" spans="16:35">
      <c r="P611" s="81"/>
      <c r="Q611" s="81"/>
      <c r="R611" s="81"/>
      <c r="S611" s="81"/>
      <c r="T611" s="435"/>
      <c r="U611" s="435"/>
      <c r="V611" s="81"/>
      <c r="W611" s="81"/>
      <c r="X611" s="81"/>
      <c r="Y611" s="435"/>
      <c r="Z611" s="435"/>
      <c r="AA611" s="435"/>
      <c r="AB611" s="435"/>
      <c r="AC611" s="435" t="s">
        <v>965</v>
      </c>
      <c r="AD611" s="435"/>
      <c r="AE611" s="81"/>
      <c r="AF611" s="81"/>
      <c r="AG611" s="81"/>
      <c r="AH611" s="81"/>
      <c r="AI611" s="81"/>
    </row>
    <row r="612" spans="16:35">
      <c r="P612" s="81"/>
      <c r="Q612" s="81"/>
      <c r="R612" s="81"/>
      <c r="S612" s="81"/>
      <c r="T612" s="435"/>
      <c r="U612" s="435"/>
      <c r="V612" s="81"/>
      <c r="W612" s="81"/>
      <c r="X612" s="81"/>
      <c r="Y612" s="435"/>
      <c r="Z612" s="435"/>
      <c r="AA612" s="435"/>
      <c r="AB612" s="435"/>
      <c r="AC612" s="435" t="s">
        <v>965</v>
      </c>
      <c r="AD612" s="435"/>
      <c r="AE612" s="81"/>
      <c r="AF612" s="81"/>
      <c r="AG612" s="81"/>
      <c r="AH612" s="81"/>
      <c r="AI612" s="81"/>
    </row>
    <row r="613" spans="16:35">
      <c r="P613" s="81"/>
      <c r="Q613" s="81"/>
      <c r="R613" s="81"/>
      <c r="S613" s="81"/>
      <c r="T613" s="435"/>
      <c r="U613" s="435"/>
      <c r="V613" s="81"/>
      <c r="W613" s="81"/>
      <c r="X613" s="81"/>
      <c r="Y613" s="435"/>
      <c r="Z613" s="435"/>
      <c r="AA613" s="435"/>
      <c r="AB613" s="435"/>
      <c r="AC613" s="435" t="s">
        <v>965</v>
      </c>
      <c r="AD613" s="435"/>
      <c r="AE613" s="81"/>
      <c r="AF613" s="81"/>
      <c r="AG613" s="81"/>
      <c r="AH613" s="81"/>
      <c r="AI613" s="81"/>
    </row>
    <row r="614" spans="16:35">
      <c r="P614" s="81"/>
      <c r="Q614" s="81"/>
      <c r="R614" s="81"/>
      <c r="S614" s="81"/>
      <c r="T614" s="435"/>
      <c r="U614" s="435"/>
      <c r="V614" s="81"/>
      <c r="W614" s="81"/>
      <c r="X614" s="81"/>
      <c r="Y614" s="435"/>
      <c r="Z614" s="435"/>
      <c r="AA614" s="435"/>
      <c r="AB614" s="435"/>
      <c r="AC614" s="435" t="s">
        <v>965</v>
      </c>
      <c r="AD614" s="435"/>
      <c r="AE614" s="81"/>
      <c r="AF614" s="81"/>
      <c r="AG614" s="81"/>
      <c r="AH614" s="81"/>
      <c r="AI614" s="81"/>
    </row>
    <row r="615" spans="16:35">
      <c r="P615" s="81"/>
      <c r="Q615" s="81"/>
      <c r="R615" s="81"/>
      <c r="S615" s="81"/>
      <c r="T615" s="435"/>
      <c r="U615" s="435"/>
      <c r="V615" s="81"/>
      <c r="W615" s="81"/>
      <c r="X615" s="81"/>
      <c r="Y615" s="435"/>
      <c r="Z615" s="435"/>
      <c r="AA615" s="435"/>
      <c r="AB615" s="435"/>
      <c r="AC615" s="435" t="s">
        <v>965</v>
      </c>
      <c r="AD615" s="435"/>
      <c r="AE615" s="81"/>
      <c r="AF615" s="81"/>
      <c r="AG615" s="81"/>
      <c r="AH615" s="81"/>
      <c r="AI615" s="81"/>
    </row>
    <row r="616" spans="16:35">
      <c r="P616" s="81"/>
      <c r="Q616" s="81"/>
      <c r="R616" s="81"/>
      <c r="S616" s="81"/>
      <c r="T616" s="435"/>
      <c r="U616" s="435"/>
      <c r="V616" s="81"/>
      <c r="W616" s="81"/>
      <c r="X616" s="81"/>
      <c r="Y616" s="435"/>
      <c r="Z616" s="435"/>
      <c r="AA616" s="435"/>
      <c r="AB616" s="435"/>
      <c r="AC616" s="435" t="s">
        <v>965</v>
      </c>
      <c r="AD616" s="435"/>
      <c r="AE616" s="81"/>
      <c r="AF616" s="81"/>
      <c r="AG616" s="81"/>
      <c r="AH616" s="81"/>
      <c r="AI616" s="81"/>
    </row>
    <row r="617" spans="16:35">
      <c r="P617" s="81"/>
      <c r="Q617" s="81"/>
      <c r="R617" s="81"/>
      <c r="S617" s="81"/>
      <c r="T617" s="435"/>
      <c r="U617" s="435"/>
      <c r="V617" s="81"/>
      <c r="W617" s="81"/>
      <c r="X617" s="81"/>
      <c r="Y617" s="435"/>
      <c r="Z617" s="435"/>
      <c r="AA617" s="435"/>
      <c r="AB617" s="435"/>
      <c r="AC617" s="435" t="s">
        <v>965</v>
      </c>
      <c r="AD617" s="435"/>
      <c r="AE617" s="81"/>
      <c r="AF617" s="81"/>
      <c r="AG617" s="81"/>
      <c r="AH617" s="81"/>
      <c r="AI617" s="81"/>
    </row>
    <row r="618" spans="16:35">
      <c r="P618" s="81"/>
      <c r="Q618" s="81"/>
      <c r="R618" s="81"/>
      <c r="S618" s="81"/>
      <c r="T618" s="435"/>
      <c r="U618" s="435"/>
      <c r="V618" s="81"/>
      <c r="W618" s="81"/>
      <c r="X618" s="81"/>
      <c r="Y618" s="435"/>
      <c r="Z618" s="435"/>
      <c r="AA618" s="435"/>
      <c r="AB618" s="435"/>
      <c r="AC618" s="435" t="s">
        <v>965</v>
      </c>
      <c r="AD618" s="435"/>
      <c r="AE618" s="81"/>
      <c r="AF618" s="81"/>
      <c r="AG618" s="81"/>
      <c r="AH618" s="81"/>
      <c r="AI618" s="81"/>
    </row>
    <row r="619" spans="16:35">
      <c r="P619" s="81"/>
      <c r="Q619" s="81"/>
      <c r="R619" s="81"/>
      <c r="S619" s="81"/>
      <c r="T619" s="435"/>
      <c r="U619" s="435"/>
      <c r="V619" s="81"/>
      <c r="W619" s="81"/>
      <c r="X619" s="81"/>
      <c r="Y619" s="435"/>
      <c r="Z619" s="435"/>
      <c r="AA619" s="435"/>
      <c r="AB619" s="435"/>
      <c r="AC619" s="435" t="s">
        <v>965</v>
      </c>
      <c r="AD619" s="435"/>
      <c r="AE619" s="81"/>
      <c r="AF619" s="81"/>
      <c r="AG619" s="81"/>
      <c r="AH619" s="81"/>
      <c r="AI619" s="81"/>
    </row>
    <row r="620" spans="16:35">
      <c r="P620" s="81"/>
      <c r="Q620" s="81"/>
      <c r="R620" s="81"/>
      <c r="S620" s="81"/>
      <c r="T620" s="435"/>
      <c r="U620" s="435"/>
      <c r="V620" s="81"/>
      <c r="W620" s="81"/>
      <c r="X620" s="81"/>
      <c r="Y620" s="435"/>
      <c r="Z620" s="435"/>
      <c r="AA620" s="435"/>
      <c r="AB620" s="435"/>
      <c r="AC620" s="435" t="s">
        <v>965</v>
      </c>
      <c r="AD620" s="435"/>
      <c r="AE620" s="81"/>
      <c r="AF620" s="81"/>
      <c r="AG620" s="81"/>
      <c r="AH620" s="81"/>
      <c r="AI620" s="81"/>
    </row>
    <row r="621" spans="16:35">
      <c r="P621" s="81"/>
      <c r="Q621" s="81"/>
      <c r="R621" s="81"/>
      <c r="S621" s="81"/>
      <c r="T621" s="435"/>
      <c r="U621" s="435"/>
      <c r="V621" s="81"/>
      <c r="W621" s="81"/>
      <c r="X621" s="81"/>
      <c r="Y621" s="435"/>
      <c r="Z621" s="435"/>
      <c r="AA621" s="435"/>
      <c r="AB621" s="435"/>
      <c r="AC621" s="435" t="s">
        <v>965</v>
      </c>
      <c r="AD621" s="435"/>
      <c r="AE621" s="81"/>
      <c r="AF621" s="81"/>
      <c r="AG621" s="81"/>
      <c r="AH621" s="81"/>
      <c r="AI621" s="81"/>
    </row>
    <row r="622" spans="16:35">
      <c r="P622" s="81"/>
      <c r="Q622" s="81"/>
      <c r="R622" s="81"/>
      <c r="S622" s="81"/>
      <c r="T622" s="435"/>
      <c r="U622" s="435"/>
      <c r="V622" s="81"/>
      <c r="W622" s="81"/>
      <c r="X622" s="81"/>
      <c r="Y622" s="435"/>
      <c r="Z622" s="435"/>
      <c r="AA622" s="435"/>
      <c r="AB622" s="435"/>
      <c r="AC622" s="435" t="s">
        <v>965</v>
      </c>
      <c r="AD622" s="435"/>
      <c r="AE622" s="81"/>
      <c r="AF622" s="81"/>
      <c r="AG622" s="81"/>
      <c r="AH622" s="81"/>
      <c r="AI622" s="81"/>
    </row>
    <row r="623" spans="16:35">
      <c r="P623" s="81"/>
      <c r="Q623" s="81"/>
      <c r="R623" s="81"/>
      <c r="S623" s="81"/>
      <c r="T623" s="435"/>
      <c r="U623" s="435"/>
      <c r="V623" s="81"/>
      <c r="W623" s="81"/>
      <c r="X623" s="81"/>
      <c r="Y623" s="435"/>
      <c r="Z623" s="435"/>
      <c r="AA623" s="435"/>
      <c r="AB623" s="435"/>
      <c r="AC623" s="435" t="s">
        <v>965</v>
      </c>
      <c r="AD623" s="435"/>
      <c r="AE623" s="81"/>
      <c r="AF623" s="81"/>
      <c r="AG623" s="81"/>
      <c r="AH623" s="81"/>
      <c r="AI623" s="81"/>
    </row>
    <row r="624" spans="16:35">
      <c r="P624" s="81"/>
      <c r="Q624" s="81"/>
      <c r="R624" s="81"/>
      <c r="S624" s="81"/>
      <c r="T624" s="435"/>
      <c r="U624" s="435"/>
      <c r="V624" s="81"/>
      <c r="W624" s="81"/>
      <c r="X624" s="81"/>
      <c r="Y624" s="435"/>
      <c r="Z624" s="435"/>
      <c r="AA624" s="435"/>
      <c r="AB624" s="435"/>
      <c r="AC624" s="435" t="s">
        <v>965</v>
      </c>
      <c r="AD624" s="435"/>
      <c r="AE624" s="81"/>
      <c r="AF624" s="81"/>
      <c r="AG624" s="81"/>
      <c r="AH624" s="81"/>
      <c r="AI624" s="81"/>
    </row>
    <row r="625" spans="16:35">
      <c r="P625" s="81"/>
      <c r="Q625" s="81"/>
      <c r="R625" s="81"/>
      <c r="S625" s="81"/>
      <c r="T625" s="435"/>
      <c r="U625" s="435"/>
      <c r="V625" s="81"/>
      <c r="W625" s="81"/>
      <c r="X625" s="81"/>
      <c r="Y625" s="435"/>
      <c r="Z625" s="435"/>
      <c r="AA625" s="435"/>
      <c r="AB625" s="435"/>
      <c r="AC625" s="435" t="s">
        <v>965</v>
      </c>
      <c r="AD625" s="435"/>
      <c r="AE625" s="81"/>
      <c r="AF625" s="81"/>
      <c r="AG625" s="81"/>
      <c r="AH625" s="81"/>
      <c r="AI625" s="81"/>
    </row>
    <row r="626" spans="16:35">
      <c r="P626" s="81"/>
      <c r="Q626" s="81"/>
      <c r="R626" s="81"/>
      <c r="S626" s="81"/>
      <c r="T626" s="435"/>
      <c r="U626" s="435"/>
      <c r="V626" s="81"/>
      <c r="W626" s="81"/>
      <c r="X626" s="81"/>
      <c r="Y626" s="435"/>
      <c r="Z626" s="435"/>
      <c r="AA626" s="435"/>
      <c r="AB626" s="435"/>
      <c r="AC626" s="435" t="s">
        <v>965</v>
      </c>
      <c r="AD626" s="435"/>
      <c r="AE626" s="81"/>
      <c r="AF626" s="81"/>
      <c r="AG626" s="81"/>
      <c r="AH626" s="81"/>
      <c r="AI626" s="81"/>
    </row>
    <row r="627" spans="16:35">
      <c r="P627" s="81"/>
      <c r="Q627" s="81"/>
      <c r="R627" s="81"/>
      <c r="S627" s="81"/>
      <c r="T627" s="435"/>
      <c r="U627" s="435"/>
      <c r="V627" s="81"/>
      <c r="W627" s="81"/>
      <c r="X627" s="81"/>
      <c r="Y627" s="435"/>
      <c r="Z627" s="435"/>
      <c r="AA627" s="435"/>
      <c r="AB627" s="435"/>
      <c r="AC627" s="435" t="s">
        <v>965</v>
      </c>
      <c r="AD627" s="435"/>
      <c r="AE627" s="81"/>
      <c r="AF627" s="81"/>
      <c r="AG627" s="81"/>
      <c r="AH627" s="81"/>
      <c r="AI627" s="81"/>
    </row>
    <row r="628" spans="16:35">
      <c r="P628" s="81"/>
      <c r="Q628" s="81"/>
      <c r="R628" s="81"/>
      <c r="S628" s="81"/>
      <c r="T628" s="435"/>
      <c r="U628" s="435"/>
      <c r="V628" s="81"/>
      <c r="W628" s="81"/>
      <c r="X628" s="81"/>
      <c r="Y628" s="435"/>
      <c r="Z628" s="435"/>
      <c r="AA628" s="435"/>
      <c r="AB628" s="435"/>
      <c r="AC628" s="435" t="s">
        <v>965</v>
      </c>
      <c r="AD628" s="435"/>
      <c r="AE628" s="81"/>
      <c r="AF628" s="81"/>
      <c r="AG628" s="81"/>
      <c r="AH628" s="81"/>
      <c r="AI628" s="81"/>
    </row>
    <row r="629" spans="16:35">
      <c r="P629" s="81"/>
      <c r="Q629" s="81"/>
      <c r="R629" s="81"/>
      <c r="S629" s="81"/>
      <c r="T629" s="435"/>
      <c r="U629" s="435"/>
      <c r="V629" s="81"/>
      <c r="W629" s="81"/>
      <c r="X629" s="81"/>
      <c r="Y629" s="435"/>
      <c r="Z629" s="435"/>
      <c r="AA629" s="435"/>
      <c r="AB629" s="435"/>
      <c r="AC629" s="435" t="s">
        <v>965</v>
      </c>
      <c r="AD629" s="435"/>
      <c r="AE629" s="81"/>
      <c r="AF629" s="81"/>
      <c r="AG629" s="81"/>
      <c r="AH629" s="81"/>
      <c r="AI629" s="81"/>
    </row>
    <row r="630" spans="16:35">
      <c r="P630" s="81"/>
      <c r="Q630" s="81"/>
      <c r="R630" s="81"/>
      <c r="S630" s="81"/>
      <c r="T630" s="435"/>
      <c r="U630" s="435"/>
      <c r="V630" s="81"/>
      <c r="W630" s="81"/>
      <c r="X630" s="81"/>
      <c r="Y630" s="435"/>
      <c r="Z630" s="435"/>
      <c r="AA630" s="435"/>
      <c r="AB630" s="435"/>
      <c r="AC630" s="435" t="s">
        <v>965</v>
      </c>
      <c r="AD630" s="435"/>
      <c r="AE630" s="81"/>
      <c r="AF630" s="81"/>
      <c r="AG630" s="81"/>
      <c r="AH630" s="81"/>
      <c r="AI630" s="81"/>
    </row>
    <row r="631" spans="16:35">
      <c r="P631" s="81"/>
      <c r="Q631" s="81"/>
      <c r="R631" s="81"/>
      <c r="S631" s="81"/>
      <c r="T631" s="435"/>
      <c r="U631" s="435"/>
      <c r="V631" s="81"/>
      <c r="W631" s="81"/>
      <c r="X631" s="81"/>
      <c r="Y631" s="435"/>
      <c r="Z631" s="435"/>
      <c r="AA631" s="435"/>
      <c r="AB631" s="435"/>
      <c r="AC631" s="435" t="s">
        <v>965</v>
      </c>
      <c r="AD631" s="435"/>
      <c r="AE631" s="81"/>
      <c r="AF631" s="81"/>
      <c r="AG631" s="81"/>
      <c r="AH631" s="81"/>
      <c r="AI631" s="81"/>
    </row>
    <row r="632" spans="16:35">
      <c r="P632" s="81"/>
      <c r="Q632" s="81"/>
      <c r="R632" s="81"/>
      <c r="S632" s="81"/>
      <c r="T632" s="435"/>
      <c r="U632" s="435"/>
      <c r="V632" s="81"/>
      <c r="W632" s="81"/>
      <c r="X632" s="81"/>
      <c r="Y632" s="435"/>
      <c r="Z632" s="435"/>
      <c r="AA632" s="435"/>
      <c r="AB632" s="435"/>
      <c r="AC632" s="435" t="s">
        <v>965</v>
      </c>
      <c r="AD632" s="435"/>
      <c r="AE632" s="81"/>
      <c r="AF632" s="81"/>
      <c r="AG632" s="81"/>
      <c r="AH632" s="81"/>
      <c r="AI632" s="81"/>
    </row>
    <row r="633" spans="16:35">
      <c r="P633" s="81"/>
      <c r="Q633" s="81"/>
      <c r="R633" s="81"/>
      <c r="S633" s="81"/>
      <c r="T633" s="435"/>
      <c r="U633" s="435"/>
      <c r="V633" s="81"/>
      <c r="W633" s="81"/>
      <c r="X633" s="81"/>
      <c r="Y633" s="435"/>
      <c r="Z633" s="435"/>
      <c r="AA633" s="435"/>
      <c r="AB633" s="435"/>
      <c r="AC633" s="435" t="s">
        <v>965</v>
      </c>
      <c r="AD633" s="435"/>
      <c r="AE633" s="81"/>
      <c r="AF633" s="81"/>
      <c r="AG633" s="81"/>
      <c r="AH633" s="81"/>
      <c r="AI633" s="81"/>
    </row>
    <row r="634" spans="16:35">
      <c r="P634" s="81"/>
      <c r="Q634" s="81"/>
      <c r="R634" s="81"/>
      <c r="S634" s="81"/>
      <c r="T634" s="435"/>
      <c r="U634" s="435"/>
      <c r="V634" s="81"/>
      <c r="W634" s="81"/>
      <c r="X634" s="81"/>
      <c r="Y634" s="435"/>
      <c r="Z634" s="435"/>
      <c r="AA634" s="435"/>
      <c r="AB634" s="435"/>
      <c r="AC634" s="435" t="s">
        <v>965</v>
      </c>
      <c r="AD634" s="435"/>
      <c r="AE634" s="81"/>
      <c r="AF634" s="81"/>
      <c r="AG634" s="81"/>
      <c r="AH634" s="81"/>
      <c r="AI634" s="81"/>
    </row>
    <row r="635" spans="16:35">
      <c r="P635" s="81"/>
      <c r="Q635" s="81"/>
      <c r="R635" s="81"/>
      <c r="S635" s="81"/>
      <c r="T635" s="435"/>
      <c r="U635" s="435"/>
      <c r="V635" s="81"/>
      <c r="W635" s="81"/>
      <c r="X635" s="81"/>
      <c r="Y635" s="435"/>
      <c r="Z635" s="435"/>
      <c r="AA635" s="435"/>
      <c r="AB635" s="435"/>
      <c r="AC635" s="435" t="s">
        <v>965</v>
      </c>
      <c r="AD635" s="435"/>
      <c r="AE635" s="81"/>
      <c r="AF635" s="81"/>
      <c r="AG635" s="81"/>
      <c r="AH635" s="81"/>
      <c r="AI635" s="81"/>
    </row>
    <row r="636" spans="16:35">
      <c r="P636" s="81"/>
      <c r="Q636" s="81"/>
      <c r="R636" s="81"/>
      <c r="S636" s="81"/>
      <c r="T636" s="435"/>
      <c r="U636" s="435"/>
      <c r="V636" s="81"/>
      <c r="W636" s="81"/>
      <c r="X636" s="81"/>
      <c r="Y636" s="435"/>
      <c r="Z636" s="435"/>
      <c r="AA636" s="435"/>
      <c r="AB636" s="435"/>
      <c r="AC636" s="435" t="s">
        <v>965</v>
      </c>
      <c r="AD636" s="435"/>
      <c r="AE636" s="81"/>
      <c r="AF636" s="81"/>
      <c r="AG636" s="81"/>
      <c r="AH636" s="81"/>
      <c r="AI636" s="81"/>
    </row>
    <row r="637" spans="16:35">
      <c r="P637" s="81"/>
      <c r="Q637" s="81"/>
      <c r="R637" s="81"/>
      <c r="S637" s="81"/>
      <c r="T637" s="435"/>
      <c r="U637" s="435"/>
      <c r="V637" s="81"/>
      <c r="W637" s="81"/>
      <c r="X637" s="81"/>
      <c r="Y637" s="435"/>
      <c r="Z637" s="435"/>
      <c r="AA637" s="435"/>
      <c r="AB637" s="435"/>
      <c r="AC637" s="435" t="s">
        <v>965</v>
      </c>
      <c r="AD637" s="435"/>
      <c r="AE637" s="81"/>
      <c r="AF637" s="81"/>
      <c r="AG637" s="81"/>
      <c r="AH637" s="81"/>
      <c r="AI637" s="81"/>
    </row>
    <row r="638" spans="16:35">
      <c r="P638" s="81"/>
      <c r="Q638" s="81"/>
      <c r="R638" s="81"/>
      <c r="S638" s="81"/>
      <c r="T638" s="435"/>
      <c r="U638" s="435"/>
      <c r="V638" s="81"/>
      <c r="W638" s="81"/>
      <c r="X638" s="81"/>
      <c r="Y638" s="435"/>
      <c r="Z638" s="435"/>
      <c r="AA638" s="435"/>
      <c r="AB638" s="435"/>
      <c r="AC638" s="435" t="s">
        <v>965</v>
      </c>
      <c r="AD638" s="435"/>
      <c r="AE638" s="81"/>
      <c r="AF638" s="81"/>
      <c r="AG638" s="81"/>
      <c r="AH638" s="81"/>
      <c r="AI638" s="81"/>
    </row>
    <row r="639" spans="16:35">
      <c r="P639" s="81"/>
      <c r="Q639" s="81"/>
      <c r="R639" s="81"/>
      <c r="S639" s="81"/>
      <c r="T639" s="435"/>
      <c r="U639" s="435"/>
      <c r="V639" s="81"/>
      <c r="W639" s="81"/>
      <c r="X639" s="81"/>
      <c r="Y639" s="435"/>
      <c r="Z639" s="435"/>
      <c r="AA639" s="435"/>
      <c r="AB639" s="435"/>
      <c r="AC639" s="435" t="s">
        <v>965</v>
      </c>
      <c r="AD639" s="435"/>
      <c r="AE639" s="81"/>
      <c r="AF639" s="81"/>
      <c r="AG639" s="81"/>
      <c r="AH639" s="81"/>
      <c r="AI639" s="81"/>
    </row>
    <row r="640" spans="16:35">
      <c r="P640" s="81"/>
      <c r="Q640" s="81"/>
      <c r="R640" s="81"/>
      <c r="S640" s="81"/>
      <c r="T640" s="435"/>
      <c r="U640" s="435"/>
      <c r="V640" s="81"/>
      <c r="W640" s="81"/>
      <c r="X640" s="81"/>
      <c r="Y640" s="435"/>
      <c r="Z640" s="435"/>
      <c r="AA640" s="435"/>
      <c r="AB640" s="435"/>
      <c r="AC640" s="435" t="s">
        <v>965</v>
      </c>
      <c r="AD640" s="435"/>
      <c r="AE640" s="81"/>
      <c r="AF640" s="81"/>
      <c r="AG640" s="81"/>
      <c r="AH640" s="81"/>
      <c r="AI640" s="81"/>
    </row>
    <row r="641" spans="16:35">
      <c r="P641" s="81"/>
      <c r="Q641" s="81"/>
      <c r="R641" s="81"/>
      <c r="S641" s="81"/>
      <c r="T641" s="435"/>
      <c r="U641" s="435"/>
      <c r="V641" s="81"/>
      <c r="W641" s="81"/>
      <c r="X641" s="81"/>
      <c r="Y641" s="435"/>
      <c r="Z641" s="435"/>
      <c r="AA641" s="435"/>
      <c r="AB641" s="435"/>
      <c r="AC641" s="435" t="s">
        <v>965</v>
      </c>
      <c r="AD641" s="435"/>
      <c r="AE641" s="81"/>
      <c r="AF641" s="81"/>
      <c r="AG641" s="81"/>
      <c r="AH641" s="81"/>
      <c r="AI641" s="81"/>
    </row>
    <row r="642" spans="16:35">
      <c r="P642" s="81"/>
      <c r="Q642" s="81"/>
      <c r="R642" s="81"/>
      <c r="S642" s="81"/>
      <c r="T642" s="435"/>
      <c r="U642" s="435"/>
      <c r="V642" s="81"/>
      <c r="W642" s="81"/>
      <c r="X642" s="81"/>
      <c r="Y642" s="435"/>
      <c r="Z642" s="435"/>
      <c r="AA642" s="435"/>
      <c r="AB642" s="435"/>
      <c r="AC642" s="435" t="s">
        <v>965</v>
      </c>
      <c r="AD642" s="435"/>
      <c r="AE642" s="81"/>
      <c r="AF642" s="81"/>
      <c r="AG642" s="81"/>
      <c r="AH642" s="81"/>
      <c r="AI642" s="81"/>
    </row>
    <row r="643" spans="16:35">
      <c r="P643" s="81"/>
      <c r="Q643" s="81"/>
      <c r="R643" s="81"/>
      <c r="S643" s="81"/>
      <c r="T643" s="435"/>
      <c r="U643" s="435"/>
      <c r="V643" s="81"/>
      <c r="W643" s="81"/>
      <c r="X643" s="81"/>
      <c r="Y643" s="435"/>
      <c r="Z643" s="435"/>
      <c r="AA643" s="435"/>
      <c r="AB643" s="435"/>
      <c r="AC643" s="435" t="s">
        <v>965</v>
      </c>
      <c r="AD643" s="435"/>
      <c r="AE643" s="81"/>
      <c r="AF643" s="81"/>
      <c r="AG643" s="81"/>
      <c r="AH643" s="81"/>
      <c r="AI643" s="81"/>
    </row>
    <row r="644" spans="16:35">
      <c r="P644" s="81"/>
      <c r="Q644" s="81"/>
      <c r="R644" s="81"/>
      <c r="S644" s="81"/>
      <c r="T644" s="435"/>
      <c r="U644" s="435"/>
      <c r="V644" s="81"/>
      <c r="W644" s="81"/>
      <c r="X644" s="81"/>
      <c r="Y644" s="435"/>
      <c r="Z644" s="435"/>
      <c r="AA644" s="435"/>
      <c r="AB644" s="435"/>
      <c r="AC644" s="435" t="s">
        <v>965</v>
      </c>
      <c r="AD644" s="435"/>
      <c r="AE644" s="81"/>
      <c r="AF644" s="81"/>
      <c r="AG644" s="81"/>
      <c r="AH644" s="81"/>
      <c r="AI644" s="81"/>
    </row>
    <row r="645" spans="16:35">
      <c r="P645" s="81"/>
      <c r="Q645" s="81"/>
      <c r="R645" s="81"/>
      <c r="S645" s="81"/>
      <c r="T645" s="435"/>
      <c r="U645" s="435"/>
      <c r="V645" s="81"/>
      <c r="W645" s="81"/>
      <c r="X645" s="81"/>
      <c r="Y645" s="435"/>
      <c r="Z645" s="435"/>
      <c r="AA645" s="435"/>
      <c r="AB645" s="435"/>
      <c r="AC645" s="435" t="s">
        <v>965</v>
      </c>
      <c r="AD645" s="435"/>
      <c r="AE645" s="81"/>
      <c r="AF645" s="81"/>
      <c r="AG645" s="81"/>
      <c r="AH645" s="81"/>
      <c r="AI645" s="81"/>
    </row>
    <row r="646" spans="16:35">
      <c r="P646" s="81"/>
      <c r="Q646" s="81"/>
      <c r="R646" s="81"/>
      <c r="S646" s="81"/>
      <c r="T646" s="435"/>
      <c r="U646" s="435"/>
      <c r="V646" s="81"/>
      <c r="W646" s="81"/>
      <c r="X646" s="81"/>
      <c r="Y646" s="435"/>
      <c r="Z646" s="435"/>
      <c r="AA646" s="435"/>
      <c r="AB646" s="435"/>
      <c r="AC646" s="435" t="s">
        <v>965</v>
      </c>
      <c r="AD646" s="435"/>
      <c r="AE646" s="81"/>
      <c r="AF646" s="81"/>
      <c r="AG646" s="81"/>
      <c r="AH646" s="81"/>
      <c r="AI646" s="81"/>
    </row>
    <row r="647" spans="16:35">
      <c r="P647" s="81"/>
      <c r="Q647" s="81"/>
      <c r="R647" s="81"/>
      <c r="S647" s="81"/>
      <c r="T647" s="435"/>
      <c r="U647" s="435"/>
      <c r="V647" s="81"/>
      <c r="W647" s="81"/>
      <c r="X647" s="81"/>
      <c r="Y647" s="435"/>
      <c r="Z647" s="435"/>
      <c r="AA647" s="435"/>
      <c r="AB647" s="435"/>
      <c r="AC647" s="435" t="s">
        <v>965</v>
      </c>
      <c r="AD647" s="435"/>
      <c r="AE647" s="81"/>
      <c r="AF647" s="81"/>
      <c r="AG647" s="81"/>
      <c r="AH647" s="81"/>
      <c r="AI647" s="81"/>
    </row>
    <row r="648" spans="16:35">
      <c r="P648" s="81"/>
      <c r="Q648" s="81"/>
      <c r="R648" s="81"/>
      <c r="S648" s="81"/>
      <c r="T648" s="435"/>
      <c r="U648" s="435"/>
      <c r="V648" s="81"/>
      <c r="W648" s="81"/>
      <c r="X648" s="81"/>
      <c r="Y648" s="435"/>
      <c r="Z648" s="435"/>
      <c r="AA648" s="435"/>
      <c r="AB648" s="435"/>
      <c r="AC648" s="435" t="s">
        <v>965</v>
      </c>
      <c r="AD648" s="435"/>
      <c r="AE648" s="81"/>
      <c r="AF648" s="81"/>
      <c r="AG648" s="81"/>
      <c r="AH648" s="81"/>
      <c r="AI648" s="81"/>
    </row>
    <row r="649" spans="16:35">
      <c r="P649" s="81"/>
      <c r="Q649" s="81"/>
      <c r="R649" s="81"/>
      <c r="S649" s="81"/>
      <c r="T649" s="435"/>
      <c r="U649" s="435"/>
      <c r="V649" s="81"/>
      <c r="W649" s="81"/>
      <c r="X649" s="81"/>
      <c r="Y649" s="435"/>
      <c r="Z649" s="435"/>
      <c r="AA649" s="435"/>
      <c r="AB649" s="435"/>
      <c r="AC649" s="435" t="s">
        <v>965</v>
      </c>
      <c r="AD649" s="435"/>
      <c r="AE649" s="81"/>
      <c r="AF649" s="81"/>
      <c r="AG649" s="81"/>
      <c r="AH649" s="81"/>
      <c r="AI649" s="81"/>
    </row>
    <row r="650" spans="16:35">
      <c r="P650" s="81"/>
      <c r="Q650" s="81"/>
      <c r="R650" s="81"/>
      <c r="S650" s="81"/>
      <c r="T650" s="435"/>
      <c r="U650" s="435"/>
      <c r="V650" s="81"/>
      <c r="W650" s="81"/>
      <c r="X650" s="81"/>
      <c r="Y650" s="435"/>
      <c r="Z650" s="435"/>
      <c r="AA650" s="435"/>
      <c r="AB650" s="435"/>
      <c r="AC650" s="435" t="s">
        <v>965</v>
      </c>
      <c r="AD650" s="435"/>
      <c r="AE650" s="81"/>
      <c r="AF650" s="81"/>
      <c r="AG650" s="81"/>
      <c r="AH650" s="81"/>
      <c r="AI650" s="81"/>
    </row>
    <row r="651" spans="16:35">
      <c r="P651" s="81"/>
      <c r="Q651" s="81"/>
      <c r="R651" s="81"/>
      <c r="S651" s="81"/>
      <c r="T651" s="435"/>
      <c r="U651" s="435"/>
      <c r="V651" s="81"/>
      <c r="W651" s="81"/>
      <c r="X651" s="81"/>
      <c r="Y651" s="435"/>
      <c r="Z651" s="435"/>
      <c r="AA651" s="435"/>
      <c r="AB651" s="435"/>
      <c r="AC651" s="435" t="s">
        <v>965</v>
      </c>
      <c r="AD651" s="435"/>
      <c r="AE651" s="81"/>
      <c r="AF651" s="81"/>
      <c r="AG651" s="81"/>
      <c r="AH651" s="81"/>
      <c r="AI651" s="81"/>
    </row>
    <row r="652" spans="16:35">
      <c r="P652" s="81"/>
      <c r="Q652" s="81"/>
      <c r="R652" s="81"/>
      <c r="S652" s="81"/>
      <c r="T652" s="435"/>
      <c r="U652" s="435"/>
      <c r="V652" s="81"/>
      <c r="W652" s="81"/>
      <c r="X652" s="81"/>
      <c r="Y652" s="435"/>
      <c r="Z652" s="435"/>
      <c r="AA652" s="435"/>
      <c r="AB652" s="435"/>
      <c r="AC652" s="435" t="s">
        <v>965</v>
      </c>
      <c r="AD652" s="435"/>
      <c r="AE652" s="81"/>
      <c r="AF652" s="81"/>
      <c r="AG652" s="81"/>
      <c r="AH652" s="81"/>
      <c r="AI652" s="81"/>
    </row>
    <row r="653" spans="16:35">
      <c r="P653" s="81"/>
      <c r="Q653" s="81"/>
      <c r="R653" s="81"/>
      <c r="S653" s="81"/>
      <c r="T653" s="435"/>
      <c r="U653" s="435"/>
      <c r="V653" s="81"/>
      <c r="W653" s="81"/>
      <c r="X653" s="81"/>
      <c r="Y653" s="435"/>
      <c r="Z653" s="435"/>
      <c r="AA653" s="435"/>
      <c r="AB653" s="435"/>
      <c r="AC653" s="435" t="s">
        <v>965</v>
      </c>
      <c r="AD653" s="435"/>
      <c r="AE653" s="81"/>
      <c r="AF653" s="81"/>
      <c r="AG653" s="81"/>
      <c r="AH653" s="81"/>
      <c r="AI653" s="81"/>
    </row>
    <row r="654" spans="16:35">
      <c r="P654" s="81"/>
      <c r="Q654" s="81"/>
      <c r="R654" s="81"/>
      <c r="S654" s="81"/>
      <c r="T654" s="435"/>
      <c r="U654" s="435"/>
      <c r="V654" s="81"/>
      <c r="W654" s="81"/>
      <c r="X654" s="81"/>
      <c r="Y654" s="435"/>
      <c r="Z654" s="435"/>
      <c r="AA654" s="435"/>
      <c r="AB654" s="435"/>
      <c r="AC654" s="435" t="s">
        <v>965</v>
      </c>
      <c r="AD654" s="435"/>
      <c r="AE654" s="81"/>
      <c r="AF654" s="81"/>
      <c r="AG654" s="81"/>
      <c r="AH654" s="81"/>
      <c r="AI654" s="81"/>
    </row>
    <row r="655" spans="16:35">
      <c r="P655" s="81"/>
      <c r="Q655" s="81"/>
      <c r="R655" s="81"/>
      <c r="S655" s="81"/>
      <c r="T655" s="435"/>
      <c r="U655" s="435"/>
      <c r="V655" s="81"/>
      <c r="W655" s="81"/>
      <c r="X655" s="81"/>
      <c r="Y655" s="435"/>
      <c r="Z655" s="435"/>
      <c r="AA655" s="435"/>
      <c r="AB655" s="435"/>
      <c r="AC655" s="435" t="s">
        <v>965</v>
      </c>
      <c r="AD655" s="435"/>
      <c r="AE655" s="81"/>
      <c r="AF655" s="81"/>
      <c r="AG655" s="81"/>
      <c r="AH655" s="81"/>
      <c r="AI655" s="81"/>
    </row>
    <row r="656" spans="16:35">
      <c r="P656" s="81"/>
      <c r="Q656" s="81"/>
      <c r="R656" s="81"/>
      <c r="S656" s="81"/>
      <c r="T656" s="435"/>
      <c r="U656" s="435"/>
      <c r="V656" s="81"/>
      <c r="W656" s="81"/>
      <c r="X656" s="81"/>
      <c r="Y656" s="435"/>
      <c r="Z656" s="435"/>
      <c r="AA656" s="435"/>
      <c r="AB656" s="435"/>
      <c r="AC656" s="435" t="s">
        <v>965</v>
      </c>
      <c r="AD656" s="435"/>
      <c r="AE656" s="81"/>
      <c r="AF656" s="81"/>
      <c r="AG656" s="81"/>
      <c r="AH656" s="81"/>
      <c r="AI656" s="81"/>
    </row>
    <row r="657" spans="16:35">
      <c r="P657" s="81"/>
      <c r="Q657" s="81"/>
      <c r="R657" s="81"/>
      <c r="S657" s="81"/>
      <c r="T657" s="435"/>
      <c r="U657" s="435"/>
      <c r="V657" s="81"/>
      <c r="W657" s="81"/>
      <c r="X657" s="81"/>
      <c r="Y657" s="435"/>
      <c r="Z657" s="435"/>
      <c r="AA657" s="435"/>
      <c r="AB657" s="435"/>
      <c r="AC657" s="435" t="s">
        <v>965</v>
      </c>
      <c r="AD657" s="435"/>
      <c r="AE657" s="81"/>
      <c r="AF657" s="81"/>
      <c r="AG657" s="81"/>
      <c r="AH657" s="81"/>
      <c r="AI657" s="81"/>
    </row>
    <row r="658" spans="16:35">
      <c r="P658" s="81"/>
      <c r="Q658" s="81"/>
      <c r="R658" s="81"/>
      <c r="S658" s="81"/>
      <c r="T658" s="435"/>
      <c r="U658" s="435"/>
      <c r="V658" s="81"/>
      <c r="W658" s="81"/>
      <c r="X658" s="81"/>
      <c r="Y658" s="435"/>
      <c r="Z658" s="435"/>
      <c r="AA658" s="435"/>
      <c r="AB658" s="435"/>
      <c r="AC658" s="435" t="s">
        <v>965</v>
      </c>
      <c r="AD658" s="435"/>
      <c r="AE658" s="81"/>
      <c r="AF658" s="81"/>
      <c r="AG658" s="81"/>
      <c r="AH658" s="81"/>
      <c r="AI658" s="81"/>
    </row>
    <row r="659" spans="16:35">
      <c r="P659" s="81"/>
      <c r="Q659" s="81"/>
      <c r="R659" s="81"/>
      <c r="S659" s="81"/>
      <c r="T659" s="435"/>
      <c r="U659" s="435"/>
      <c r="V659" s="81"/>
      <c r="W659" s="81"/>
      <c r="X659" s="81"/>
      <c r="Y659" s="435"/>
      <c r="Z659" s="435"/>
      <c r="AA659" s="435"/>
      <c r="AB659" s="435"/>
      <c r="AC659" s="435" t="s">
        <v>965</v>
      </c>
      <c r="AD659" s="435"/>
      <c r="AE659" s="81"/>
      <c r="AF659" s="81"/>
      <c r="AG659" s="81"/>
      <c r="AH659" s="81"/>
      <c r="AI659" s="81"/>
    </row>
    <row r="660" spans="16:35">
      <c r="P660" s="81"/>
      <c r="Q660" s="81"/>
      <c r="R660" s="81"/>
      <c r="S660" s="81"/>
      <c r="T660" s="435"/>
      <c r="U660" s="435"/>
      <c r="V660" s="81"/>
      <c r="W660" s="81"/>
      <c r="X660" s="81"/>
      <c r="Y660" s="435"/>
      <c r="Z660" s="435"/>
      <c r="AA660" s="435"/>
      <c r="AB660" s="435"/>
      <c r="AC660" s="435" t="s">
        <v>965</v>
      </c>
      <c r="AD660" s="435"/>
      <c r="AE660" s="81"/>
      <c r="AF660" s="81"/>
      <c r="AG660" s="81"/>
      <c r="AH660" s="81"/>
      <c r="AI660" s="81"/>
    </row>
    <row r="661" spans="16:35">
      <c r="P661" s="81"/>
      <c r="Q661" s="81"/>
      <c r="R661" s="81"/>
      <c r="S661" s="81"/>
      <c r="T661" s="435"/>
      <c r="U661" s="435"/>
      <c r="V661" s="81"/>
      <c r="W661" s="81"/>
      <c r="X661" s="81"/>
      <c r="Y661" s="435"/>
      <c r="Z661" s="435"/>
      <c r="AA661" s="435"/>
      <c r="AB661" s="435"/>
      <c r="AC661" s="435" t="s">
        <v>965</v>
      </c>
      <c r="AD661" s="435"/>
      <c r="AE661" s="81"/>
      <c r="AF661" s="81"/>
      <c r="AG661" s="81"/>
      <c r="AH661" s="81"/>
      <c r="AI661" s="81"/>
    </row>
    <row r="662" spans="16:35">
      <c r="P662" s="81"/>
      <c r="Q662" s="81"/>
      <c r="R662" s="81"/>
      <c r="S662" s="81"/>
      <c r="T662" s="435"/>
      <c r="U662" s="435"/>
      <c r="V662" s="81"/>
      <c r="W662" s="81"/>
      <c r="X662" s="81"/>
      <c r="Y662" s="435"/>
      <c r="Z662" s="435"/>
      <c r="AA662" s="435"/>
      <c r="AB662" s="435"/>
      <c r="AC662" s="435" t="s">
        <v>965</v>
      </c>
      <c r="AD662" s="435"/>
      <c r="AE662" s="81"/>
      <c r="AF662" s="81"/>
      <c r="AG662" s="81"/>
      <c r="AH662" s="81"/>
      <c r="AI662" s="81"/>
    </row>
    <row r="663" spans="16:35">
      <c r="P663" s="81"/>
      <c r="Q663" s="81"/>
      <c r="R663" s="81"/>
      <c r="S663" s="81"/>
      <c r="T663" s="435"/>
      <c r="U663" s="435"/>
      <c r="V663" s="81"/>
      <c r="W663" s="81"/>
      <c r="X663" s="81"/>
      <c r="Y663" s="435"/>
      <c r="Z663" s="435"/>
      <c r="AA663" s="435"/>
      <c r="AB663" s="435"/>
      <c r="AC663" s="435" t="s">
        <v>965</v>
      </c>
      <c r="AD663" s="435"/>
      <c r="AE663" s="81"/>
      <c r="AF663" s="81"/>
      <c r="AG663" s="81"/>
      <c r="AH663" s="81"/>
      <c r="AI663" s="81"/>
    </row>
    <row r="664" spans="16:35">
      <c r="P664" s="81"/>
      <c r="Q664" s="81"/>
      <c r="R664" s="81"/>
      <c r="S664" s="81"/>
      <c r="T664" s="435"/>
      <c r="U664" s="435"/>
      <c r="V664" s="81"/>
      <c r="W664" s="81"/>
      <c r="X664" s="81"/>
      <c r="Y664" s="435"/>
      <c r="Z664" s="435"/>
      <c r="AA664" s="435"/>
      <c r="AB664" s="435"/>
      <c r="AC664" s="435" t="s">
        <v>965</v>
      </c>
      <c r="AD664" s="435"/>
      <c r="AE664" s="81"/>
      <c r="AF664" s="81"/>
      <c r="AG664" s="81"/>
      <c r="AH664" s="81"/>
      <c r="AI664" s="81"/>
    </row>
    <row r="665" spans="16:35">
      <c r="P665" s="81"/>
      <c r="Q665" s="81"/>
      <c r="R665" s="81"/>
      <c r="S665" s="81"/>
      <c r="T665" s="435"/>
      <c r="U665" s="435"/>
      <c r="V665" s="81"/>
      <c r="W665" s="81"/>
      <c r="X665" s="81"/>
      <c r="Y665" s="435"/>
      <c r="Z665" s="435"/>
      <c r="AA665" s="435"/>
      <c r="AB665" s="435"/>
      <c r="AC665" s="435" t="s">
        <v>965</v>
      </c>
      <c r="AD665" s="435"/>
      <c r="AE665" s="81"/>
      <c r="AF665" s="81"/>
      <c r="AG665" s="81"/>
      <c r="AH665" s="81"/>
      <c r="AI665" s="81"/>
    </row>
    <row r="666" spans="16:35">
      <c r="P666" s="81"/>
      <c r="Q666" s="81"/>
      <c r="R666" s="81"/>
      <c r="S666" s="81"/>
      <c r="T666" s="435"/>
      <c r="U666" s="435"/>
      <c r="V666" s="81"/>
      <c r="W666" s="81"/>
      <c r="X666" s="81"/>
      <c r="Y666" s="435"/>
      <c r="Z666" s="435"/>
      <c r="AA666" s="435"/>
      <c r="AB666" s="435"/>
      <c r="AC666" s="435" t="s">
        <v>965</v>
      </c>
      <c r="AD666" s="435"/>
      <c r="AE666" s="81"/>
      <c r="AF666" s="81"/>
      <c r="AG666" s="81"/>
      <c r="AH666" s="81"/>
      <c r="AI666" s="81"/>
    </row>
    <row r="667" spans="16:35">
      <c r="P667" s="81"/>
      <c r="Q667" s="81"/>
      <c r="R667" s="81"/>
      <c r="S667" s="81"/>
      <c r="T667" s="435"/>
      <c r="U667" s="435"/>
      <c r="V667" s="81"/>
      <c r="W667" s="81"/>
      <c r="X667" s="81"/>
      <c r="Y667" s="435"/>
      <c r="Z667" s="435"/>
      <c r="AA667" s="435"/>
      <c r="AB667" s="435"/>
      <c r="AC667" s="435" t="s">
        <v>965</v>
      </c>
      <c r="AD667" s="435"/>
      <c r="AE667" s="81"/>
      <c r="AF667" s="81"/>
      <c r="AG667" s="81"/>
      <c r="AH667" s="81"/>
      <c r="AI667" s="81"/>
    </row>
    <row r="668" spans="16:35">
      <c r="P668" s="81"/>
      <c r="Q668" s="81"/>
      <c r="R668" s="81"/>
      <c r="S668" s="81"/>
      <c r="T668" s="435"/>
      <c r="U668" s="435"/>
      <c r="V668" s="81"/>
      <c r="W668" s="81"/>
      <c r="X668" s="81"/>
      <c r="Y668" s="435"/>
      <c r="Z668" s="435"/>
      <c r="AA668" s="435"/>
      <c r="AB668" s="435"/>
      <c r="AC668" s="435" t="s">
        <v>965</v>
      </c>
      <c r="AD668" s="435"/>
      <c r="AE668" s="81"/>
      <c r="AF668" s="81"/>
      <c r="AG668" s="81"/>
      <c r="AH668" s="81"/>
      <c r="AI668" s="81"/>
    </row>
    <row r="669" spans="16:35">
      <c r="P669" s="81"/>
      <c r="Q669" s="81"/>
      <c r="R669" s="81"/>
      <c r="S669" s="81"/>
      <c r="T669" s="435"/>
      <c r="U669" s="435"/>
      <c r="V669" s="81"/>
      <c r="W669" s="81"/>
      <c r="X669" s="81"/>
      <c r="Y669" s="435"/>
      <c r="Z669" s="435"/>
      <c r="AA669" s="435"/>
      <c r="AB669" s="435"/>
      <c r="AC669" s="435" t="s">
        <v>965</v>
      </c>
      <c r="AD669" s="435"/>
      <c r="AE669" s="81"/>
      <c r="AF669" s="81"/>
      <c r="AG669" s="81"/>
      <c r="AH669" s="81"/>
      <c r="AI669" s="81"/>
    </row>
    <row r="670" spans="16:35">
      <c r="P670" s="81"/>
      <c r="Q670" s="81"/>
      <c r="R670" s="81"/>
      <c r="S670" s="81"/>
      <c r="T670" s="435"/>
      <c r="U670" s="435"/>
      <c r="V670" s="81"/>
      <c r="W670" s="81"/>
      <c r="X670" s="81"/>
      <c r="Y670" s="435"/>
      <c r="Z670" s="435"/>
      <c r="AA670" s="435"/>
      <c r="AB670" s="435"/>
      <c r="AC670" s="435" t="s">
        <v>965</v>
      </c>
      <c r="AD670" s="435"/>
      <c r="AE670" s="81"/>
      <c r="AF670" s="81"/>
      <c r="AG670" s="81"/>
      <c r="AH670" s="81"/>
      <c r="AI670" s="81"/>
    </row>
    <row r="671" spans="16:35">
      <c r="P671" s="81"/>
      <c r="Q671" s="81"/>
      <c r="R671" s="81"/>
      <c r="S671" s="81"/>
      <c r="T671" s="435"/>
      <c r="U671" s="435"/>
      <c r="V671" s="81"/>
      <c r="W671" s="81"/>
      <c r="X671" s="81"/>
      <c r="Y671" s="435"/>
      <c r="Z671" s="435"/>
      <c r="AA671" s="435"/>
      <c r="AB671" s="435"/>
      <c r="AC671" s="435" t="s">
        <v>965</v>
      </c>
      <c r="AD671" s="435"/>
      <c r="AE671" s="81"/>
      <c r="AF671" s="81"/>
      <c r="AG671" s="81"/>
      <c r="AH671" s="81"/>
      <c r="AI671" s="81"/>
    </row>
    <row r="672" spans="16:35">
      <c r="P672" s="81"/>
      <c r="Q672" s="81"/>
      <c r="R672" s="81"/>
      <c r="S672" s="81"/>
      <c r="T672" s="435"/>
      <c r="U672" s="435"/>
      <c r="V672" s="81"/>
      <c r="W672" s="81"/>
      <c r="X672" s="81"/>
      <c r="Y672" s="435"/>
      <c r="Z672" s="435"/>
      <c r="AA672" s="435"/>
      <c r="AB672" s="435"/>
      <c r="AC672" s="435" t="s">
        <v>965</v>
      </c>
      <c r="AD672" s="435"/>
      <c r="AE672" s="81"/>
      <c r="AF672" s="81"/>
      <c r="AG672" s="81"/>
      <c r="AH672" s="81"/>
      <c r="AI672" s="81"/>
    </row>
    <row r="673" spans="16:35">
      <c r="P673" s="81"/>
      <c r="Q673" s="81"/>
      <c r="R673" s="81"/>
      <c r="S673" s="81"/>
      <c r="T673" s="435"/>
      <c r="U673" s="435"/>
      <c r="V673" s="81"/>
      <c r="W673" s="81"/>
      <c r="X673" s="81"/>
      <c r="Y673" s="435"/>
      <c r="Z673" s="435"/>
      <c r="AA673" s="435"/>
      <c r="AB673" s="435"/>
      <c r="AC673" s="435" t="s">
        <v>965</v>
      </c>
      <c r="AD673" s="435"/>
      <c r="AE673" s="81"/>
      <c r="AF673" s="81"/>
      <c r="AG673" s="81"/>
      <c r="AH673" s="81"/>
      <c r="AI673" s="81"/>
    </row>
    <row r="674" spans="16:35">
      <c r="P674" s="81"/>
      <c r="Q674" s="81"/>
      <c r="R674" s="81"/>
      <c r="S674" s="81"/>
      <c r="T674" s="435"/>
      <c r="U674" s="435"/>
      <c r="V674" s="81"/>
      <c r="W674" s="81"/>
      <c r="X674" s="81"/>
      <c r="Y674" s="435"/>
      <c r="Z674" s="435"/>
      <c r="AA674" s="435"/>
      <c r="AB674" s="435"/>
      <c r="AC674" s="435" t="s">
        <v>965</v>
      </c>
      <c r="AD674" s="435"/>
      <c r="AE674" s="81"/>
      <c r="AF674" s="81"/>
      <c r="AG674" s="81"/>
      <c r="AH674" s="81"/>
      <c r="AI674" s="81"/>
    </row>
    <row r="675" spans="16:35">
      <c r="P675" s="81"/>
      <c r="Q675" s="81"/>
      <c r="R675" s="81"/>
      <c r="S675" s="81"/>
      <c r="T675" s="435"/>
      <c r="U675" s="435"/>
      <c r="V675" s="81"/>
      <c r="W675" s="81"/>
      <c r="X675" s="81"/>
      <c r="Y675" s="435"/>
      <c r="Z675" s="435"/>
      <c r="AA675" s="435"/>
      <c r="AB675" s="435"/>
      <c r="AC675" s="435" t="s">
        <v>965</v>
      </c>
      <c r="AD675" s="435"/>
      <c r="AE675" s="81"/>
      <c r="AF675" s="81"/>
      <c r="AG675" s="81"/>
      <c r="AH675" s="81"/>
      <c r="AI675" s="81"/>
    </row>
    <row r="676" spans="16:35">
      <c r="P676" s="81"/>
      <c r="Q676" s="81"/>
      <c r="R676" s="81"/>
      <c r="S676" s="81"/>
      <c r="T676" s="435"/>
      <c r="U676" s="435"/>
      <c r="V676" s="81"/>
      <c r="W676" s="81"/>
      <c r="X676" s="81"/>
      <c r="Y676" s="435"/>
      <c r="Z676" s="435"/>
      <c r="AA676" s="435"/>
      <c r="AB676" s="435"/>
      <c r="AC676" s="435" t="s">
        <v>965</v>
      </c>
      <c r="AD676" s="435"/>
      <c r="AE676" s="81"/>
      <c r="AF676" s="81"/>
      <c r="AG676" s="81"/>
      <c r="AH676" s="81"/>
      <c r="AI676" s="81"/>
    </row>
    <row r="677" spans="16:35">
      <c r="P677" s="81"/>
      <c r="Q677" s="81"/>
      <c r="R677" s="81"/>
      <c r="S677" s="81"/>
      <c r="T677" s="435"/>
      <c r="U677" s="435"/>
      <c r="V677" s="81"/>
      <c r="W677" s="81"/>
      <c r="X677" s="81"/>
      <c r="Y677" s="435"/>
      <c r="Z677" s="435"/>
      <c r="AA677" s="435"/>
      <c r="AB677" s="435"/>
      <c r="AC677" s="435" t="s">
        <v>965</v>
      </c>
      <c r="AD677" s="435"/>
      <c r="AE677" s="81"/>
      <c r="AF677" s="81"/>
      <c r="AG677" s="81"/>
      <c r="AH677" s="81"/>
      <c r="AI677" s="81"/>
    </row>
    <row r="678" spans="16:35">
      <c r="P678" s="81"/>
      <c r="Q678" s="81"/>
      <c r="R678" s="81"/>
      <c r="S678" s="81"/>
      <c r="T678" s="435"/>
      <c r="U678" s="435"/>
      <c r="V678" s="81"/>
      <c r="W678" s="81"/>
      <c r="X678" s="81"/>
      <c r="Y678" s="435"/>
      <c r="Z678" s="435"/>
      <c r="AA678" s="435"/>
      <c r="AB678" s="435"/>
      <c r="AC678" s="435" t="s">
        <v>965</v>
      </c>
      <c r="AD678" s="435"/>
      <c r="AE678" s="81"/>
      <c r="AF678" s="81"/>
      <c r="AG678" s="81"/>
      <c r="AH678" s="81"/>
      <c r="AI678" s="81"/>
    </row>
    <row r="679" spans="16:35">
      <c r="P679" s="81"/>
      <c r="Q679" s="81"/>
      <c r="R679" s="81"/>
      <c r="S679" s="81"/>
      <c r="T679" s="435"/>
      <c r="U679" s="435"/>
      <c r="V679" s="81"/>
      <c r="W679" s="81"/>
      <c r="X679" s="81"/>
      <c r="Y679" s="435"/>
      <c r="Z679" s="435"/>
      <c r="AA679" s="435"/>
      <c r="AB679" s="435"/>
      <c r="AC679" s="435" t="s">
        <v>965</v>
      </c>
      <c r="AD679" s="435"/>
      <c r="AE679" s="81"/>
      <c r="AF679" s="81"/>
      <c r="AG679" s="81"/>
      <c r="AH679" s="81"/>
      <c r="AI679" s="81"/>
    </row>
    <row r="680" spans="16:35">
      <c r="P680" s="81"/>
      <c r="Q680" s="81"/>
      <c r="R680" s="81"/>
      <c r="S680" s="81"/>
      <c r="T680" s="435"/>
      <c r="U680" s="435"/>
      <c r="V680" s="81"/>
      <c r="W680" s="81"/>
      <c r="X680" s="81"/>
      <c r="Y680" s="435"/>
      <c r="Z680" s="435"/>
      <c r="AA680" s="435"/>
      <c r="AB680" s="435"/>
      <c r="AC680" s="435" t="s">
        <v>965</v>
      </c>
      <c r="AD680" s="435"/>
      <c r="AE680" s="81"/>
      <c r="AF680" s="81"/>
      <c r="AG680" s="81"/>
      <c r="AH680" s="81"/>
      <c r="AI680" s="81"/>
    </row>
    <row r="681" spans="16:35">
      <c r="P681" s="81"/>
      <c r="Q681" s="81"/>
      <c r="R681" s="81"/>
      <c r="S681" s="81"/>
      <c r="T681" s="435"/>
      <c r="U681" s="435"/>
      <c r="V681" s="81"/>
      <c r="W681" s="81"/>
      <c r="X681" s="81"/>
      <c r="Y681" s="435"/>
      <c r="Z681" s="435"/>
      <c r="AA681" s="435"/>
      <c r="AB681" s="435"/>
      <c r="AC681" s="435" t="s">
        <v>965</v>
      </c>
      <c r="AD681" s="435"/>
      <c r="AE681" s="81"/>
      <c r="AF681" s="81"/>
      <c r="AG681" s="81"/>
      <c r="AH681" s="81"/>
      <c r="AI681" s="81"/>
    </row>
    <row r="682" spans="16:35">
      <c r="P682" s="81"/>
      <c r="Q682" s="81"/>
      <c r="R682" s="81"/>
      <c r="S682" s="81"/>
      <c r="T682" s="435"/>
      <c r="U682" s="435"/>
      <c r="V682" s="81"/>
      <c r="W682" s="81"/>
      <c r="X682" s="81"/>
      <c r="Y682" s="435"/>
      <c r="Z682" s="435"/>
      <c r="AA682" s="435"/>
      <c r="AB682" s="435"/>
      <c r="AC682" s="435" t="s">
        <v>965</v>
      </c>
      <c r="AD682" s="435"/>
      <c r="AE682" s="81"/>
      <c r="AF682" s="81"/>
      <c r="AG682" s="81"/>
      <c r="AH682" s="81"/>
      <c r="AI682" s="81"/>
    </row>
    <row r="683" spans="16:35">
      <c r="P683" s="81"/>
      <c r="Q683" s="81"/>
      <c r="R683" s="81"/>
      <c r="S683" s="81"/>
      <c r="T683" s="435"/>
      <c r="U683" s="435"/>
      <c r="V683" s="81"/>
      <c r="W683" s="81"/>
      <c r="X683" s="81"/>
      <c r="Y683" s="435"/>
      <c r="Z683" s="435"/>
      <c r="AA683" s="435"/>
      <c r="AB683" s="435"/>
      <c r="AC683" s="435" t="s">
        <v>965</v>
      </c>
      <c r="AD683" s="435"/>
      <c r="AE683" s="81"/>
      <c r="AF683" s="81"/>
      <c r="AG683" s="81"/>
      <c r="AH683" s="81"/>
      <c r="AI683" s="81"/>
    </row>
    <row r="684" spans="16:35">
      <c r="P684" s="81"/>
      <c r="Q684" s="81"/>
      <c r="R684" s="81"/>
      <c r="S684" s="81"/>
      <c r="T684" s="435"/>
      <c r="U684" s="435"/>
      <c r="V684" s="81"/>
      <c r="W684" s="81"/>
      <c r="X684" s="81"/>
      <c r="Y684" s="435"/>
      <c r="Z684" s="435"/>
      <c r="AA684" s="435"/>
      <c r="AB684" s="435"/>
      <c r="AC684" s="435" t="s">
        <v>965</v>
      </c>
      <c r="AD684" s="435"/>
      <c r="AE684" s="81"/>
      <c r="AF684" s="81"/>
      <c r="AG684" s="81"/>
      <c r="AH684" s="81"/>
      <c r="AI684" s="81"/>
    </row>
    <row r="685" spans="16:35">
      <c r="P685" s="81"/>
      <c r="Q685" s="81"/>
      <c r="R685" s="81"/>
      <c r="S685" s="81"/>
      <c r="T685" s="435"/>
      <c r="U685" s="435"/>
      <c r="V685" s="81"/>
      <c r="W685" s="81"/>
      <c r="X685" s="81"/>
      <c r="Y685" s="435"/>
      <c r="Z685" s="435"/>
      <c r="AA685" s="435"/>
      <c r="AB685" s="435"/>
      <c r="AC685" s="435" t="s">
        <v>965</v>
      </c>
      <c r="AD685" s="435"/>
      <c r="AE685" s="81"/>
      <c r="AF685" s="81"/>
      <c r="AG685" s="81"/>
      <c r="AH685" s="81"/>
      <c r="AI685" s="81"/>
    </row>
    <row r="686" spans="16:35">
      <c r="P686" s="81"/>
      <c r="Q686" s="81"/>
      <c r="R686" s="81"/>
      <c r="S686" s="81"/>
      <c r="T686" s="435"/>
      <c r="U686" s="435"/>
      <c r="V686" s="81"/>
      <c r="W686" s="81"/>
      <c r="X686" s="81"/>
      <c r="Y686" s="435"/>
      <c r="Z686" s="435"/>
      <c r="AA686" s="435"/>
      <c r="AB686" s="435"/>
      <c r="AC686" s="435" t="s">
        <v>965</v>
      </c>
      <c r="AD686" s="435"/>
      <c r="AE686" s="81"/>
      <c r="AF686" s="81"/>
      <c r="AG686" s="81"/>
      <c r="AH686" s="81"/>
      <c r="AI686" s="81"/>
    </row>
    <row r="687" spans="16:35">
      <c r="P687" s="81"/>
      <c r="Q687" s="81"/>
      <c r="R687" s="81"/>
      <c r="S687" s="81"/>
      <c r="T687" s="435"/>
      <c r="U687" s="435"/>
      <c r="V687" s="81"/>
      <c r="W687" s="81"/>
      <c r="X687" s="81"/>
      <c r="Y687" s="435"/>
      <c r="Z687" s="435"/>
      <c r="AA687" s="435"/>
      <c r="AB687" s="435"/>
      <c r="AC687" s="435" t="s">
        <v>965</v>
      </c>
      <c r="AD687" s="435"/>
      <c r="AE687" s="81"/>
      <c r="AF687" s="81"/>
      <c r="AG687" s="81"/>
      <c r="AH687" s="81"/>
      <c r="AI687" s="81"/>
    </row>
    <row r="688" spans="16:35">
      <c r="P688" s="81"/>
      <c r="Q688" s="81"/>
      <c r="R688" s="81"/>
      <c r="S688" s="81"/>
      <c r="T688" s="435"/>
      <c r="U688" s="435"/>
      <c r="V688" s="81"/>
      <c r="W688" s="81"/>
      <c r="X688" s="81"/>
      <c r="Y688" s="435"/>
      <c r="Z688" s="435"/>
      <c r="AA688" s="435"/>
      <c r="AB688" s="435"/>
      <c r="AC688" s="435" t="s">
        <v>965</v>
      </c>
      <c r="AD688" s="435"/>
      <c r="AE688" s="81"/>
      <c r="AF688" s="81"/>
      <c r="AG688" s="81"/>
      <c r="AH688" s="81"/>
      <c r="AI688" s="81"/>
    </row>
    <row r="689" spans="16:35">
      <c r="P689" s="81"/>
      <c r="Q689" s="81"/>
      <c r="R689" s="81"/>
      <c r="S689" s="81"/>
      <c r="T689" s="435"/>
      <c r="U689" s="435"/>
      <c r="V689" s="81"/>
      <c r="W689" s="81"/>
      <c r="X689" s="81"/>
      <c r="Y689" s="435"/>
      <c r="Z689" s="435"/>
      <c r="AA689" s="435"/>
      <c r="AB689" s="435"/>
      <c r="AC689" s="435" t="s">
        <v>965</v>
      </c>
      <c r="AD689" s="435"/>
      <c r="AE689" s="81"/>
      <c r="AF689" s="81"/>
      <c r="AG689" s="81"/>
      <c r="AH689" s="81"/>
      <c r="AI689" s="81"/>
    </row>
    <row r="690" spans="16:35">
      <c r="P690" s="81"/>
      <c r="Q690" s="81"/>
      <c r="R690" s="81"/>
      <c r="S690" s="81"/>
      <c r="T690" s="435"/>
      <c r="U690" s="435"/>
      <c r="V690" s="81"/>
      <c r="W690" s="81"/>
      <c r="X690" s="81"/>
      <c r="Y690" s="435"/>
      <c r="Z690" s="435"/>
      <c r="AA690" s="435"/>
      <c r="AB690" s="435"/>
      <c r="AC690" s="435" t="s">
        <v>965</v>
      </c>
      <c r="AD690" s="435"/>
      <c r="AE690" s="81"/>
      <c r="AF690" s="81"/>
      <c r="AG690" s="81"/>
      <c r="AH690" s="81"/>
      <c r="AI690" s="81"/>
    </row>
    <row r="691" spans="16:35">
      <c r="P691" s="81"/>
      <c r="Q691" s="81"/>
      <c r="R691" s="81"/>
      <c r="S691" s="81"/>
      <c r="T691" s="435"/>
      <c r="U691" s="435"/>
      <c r="V691" s="81"/>
      <c r="W691" s="81"/>
      <c r="X691" s="81"/>
      <c r="Y691" s="435"/>
      <c r="Z691" s="435"/>
      <c r="AA691" s="435"/>
      <c r="AB691" s="435"/>
      <c r="AC691" s="435" t="s">
        <v>965</v>
      </c>
      <c r="AD691" s="435"/>
      <c r="AE691" s="81"/>
      <c r="AF691" s="81"/>
      <c r="AG691" s="81"/>
      <c r="AH691" s="81"/>
      <c r="AI691" s="81"/>
    </row>
    <row r="692" spans="16:35">
      <c r="P692" s="81"/>
      <c r="Q692" s="81"/>
      <c r="R692" s="81"/>
      <c r="S692" s="81"/>
      <c r="T692" s="435"/>
      <c r="U692" s="435"/>
      <c r="V692" s="81"/>
      <c r="W692" s="81"/>
      <c r="X692" s="81"/>
      <c r="Y692" s="435"/>
      <c r="Z692" s="435"/>
      <c r="AA692" s="435"/>
      <c r="AB692" s="435"/>
      <c r="AC692" s="435" t="s">
        <v>965</v>
      </c>
      <c r="AD692" s="435"/>
      <c r="AE692" s="81"/>
      <c r="AF692" s="81"/>
      <c r="AG692" s="81"/>
      <c r="AH692" s="81"/>
      <c r="AI692" s="81"/>
    </row>
    <row r="693" spans="16:35">
      <c r="P693" s="81"/>
      <c r="Q693" s="81"/>
      <c r="R693" s="81"/>
      <c r="S693" s="81"/>
      <c r="T693" s="435"/>
      <c r="U693" s="435"/>
      <c r="V693" s="81"/>
      <c r="W693" s="81"/>
      <c r="X693" s="81"/>
      <c r="Y693" s="435"/>
      <c r="Z693" s="435"/>
      <c r="AA693" s="435"/>
      <c r="AB693" s="435"/>
      <c r="AC693" s="435" t="s">
        <v>965</v>
      </c>
      <c r="AD693" s="435"/>
      <c r="AE693" s="81"/>
      <c r="AF693" s="81"/>
      <c r="AG693" s="81"/>
      <c r="AH693" s="81"/>
      <c r="AI693" s="81"/>
    </row>
    <row r="694" spans="16:35">
      <c r="P694" s="81"/>
      <c r="Q694" s="81"/>
      <c r="R694" s="81"/>
      <c r="S694" s="81"/>
      <c r="T694" s="435"/>
      <c r="U694" s="435"/>
      <c r="V694" s="81"/>
      <c r="W694" s="81"/>
      <c r="X694" s="81"/>
      <c r="Y694" s="435"/>
      <c r="Z694" s="435"/>
      <c r="AA694" s="435"/>
      <c r="AB694" s="435"/>
      <c r="AC694" s="435" t="s">
        <v>965</v>
      </c>
      <c r="AD694" s="435"/>
      <c r="AE694" s="81"/>
      <c r="AF694" s="81"/>
      <c r="AG694" s="81"/>
      <c r="AH694" s="81"/>
      <c r="AI694" s="81"/>
    </row>
    <row r="695" spans="16:35">
      <c r="P695" s="81"/>
      <c r="Q695" s="81"/>
      <c r="R695" s="81"/>
      <c r="S695" s="81"/>
      <c r="T695" s="435"/>
      <c r="U695" s="435"/>
      <c r="V695" s="81"/>
      <c r="W695" s="81"/>
      <c r="X695" s="81"/>
      <c r="Y695" s="435"/>
      <c r="Z695" s="435"/>
      <c r="AA695" s="435"/>
      <c r="AB695" s="435"/>
      <c r="AC695" s="435" t="s">
        <v>965</v>
      </c>
      <c r="AD695" s="435"/>
      <c r="AE695" s="81"/>
      <c r="AF695" s="81"/>
      <c r="AG695" s="81"/>
      <c r="AH695" s="81"/>
      <c r="AI695" s="81"/>
    </row>
    <row r="696" spans="16:35">
      <c r="P696" s="81"/>
      <c r="Q696" s="81"/>
      <c r="R696" s="81"/>
      <c r="S696" s="81"/>
      <c r="T696" s="435"/>
      <c r="U696" s="435"/>
      <c r="V696" s="81"/>
      <c r="W696" s="81"/>
      <c r="X696" s="81"/>
      <c r="Y696" s="435"/>
      <c r="Z696" s="435"/>
      <c r="AA696" s="435"/>
      <c r="AB696" s="435"/>
      <c r="AC696" s="435" t="s">
        <v>965</v>
      </c>
      <c r="AD696" s="435"/>
      <c r="AE696" s="81"/>
      <c r="AF696" s="81"/>
      <c r="AG696" s="81"/>
      <c r="AH696" s="81"/>
      <c r="AI696" s="81"/>
    </row>
    <row r="697" spans="16:35">
      <c r="P697" s="81"/>
      <c r="Q697" s="81"/>
      <c r="R697" s="81"/>
      <c r="S697" s="81"/>
      <c r="T697" s="435"/>
      <c r="U697" s="435"/>
      <c r="V697" s="81"/>
      <c r="W697" s="81"/>
      <c r="X697" s="81"/>
      <c r="Y697" s="435"/>
      <c r="Z697" s="435"/>
      <c r="AA697" s="435"/>
      <c r="AB697" s="435"/>
      <c r="AC697" s="435" t="s">
        <v>965</v>
      </c>
      <c r="AD697" s="435"/>
      <c r="AE697" s="81"/>
      <c r="AF697" s="81"/>
      <c r="AG697" s="81"/>
      <c r="AH697" s="81"/>
      <c r="AI697" s="81"/>
    </row>
    <row r="698" spans="16:35">
      <c r="P698" s="81"/>
      <c r="Q698" s="81"/>
      <c r="R698" s="81"/>
      <c r="S698" s="81"/>
      <c r="T698" s="435"/>
      <c r="U698" s="435"/>
      <c r="V698" s="81"/>
      <c r="W698" s="81"/>
      <c r="X698" s="81"/>
      <c r="Y698" s="435"/>
      <c r="Z698" s="435"/>
      <c r="AA698" s="435"/>
      <c r="AB698" s="435"/>
      <c r="AC698" s="435" t="s">
        <v>965</v>
      </c>
      <c r="AD698" s="435"/>
      <c r="AE698" s="81"/>
      <c r="AF698" s="81"/>
      <c r="AG698" s="81"/>
      <c r="AH698" s="81"/>
      <c r="AI698" s="81"/>
    </row>
    <row r="699" spans="16:35">
      <c r="P699" s="81"/>
      <c r="Q699" s="81"/>
      <c r="R699" s="81"/>
      <c r="S699" s="81"/>
      <c r="T699" s="435"/>
      <c r="U699" s="435"/>
      <c r="V699" s="81"/>
      <c r="W699" s="81"/>
      <c r="X699" s="81"/>
      <c r="Y699" s="435"/>
      <c r="Z699" s="435"/>
      <c r="AA699" s="435"/>
      <c r="AB699" s="435"/>
      <c r="AC699" s="435" t="s">
        <v>965</v>
      </c>
      <c r="AD699" s="435"/>
      <c r="AE699" s="81"/>
      <c r="AF699" s="81"/>
      <c r="AG699" s="81"/>
      <c r="AH699" s="81"/>
      <c r="AI699" s="81"/>
    </row>
    <row r="700" spans="16:35">
      <c r="P700" s="81"/>
      <c r="Q700" s="81"/>
      <c r="R700" s="81"/>
      <c r="S700" s="81"/>
      <c r="T700" s="435"/>
      <c r="U700" s="435"/>
      <c r="V700" s="81"/>
      <c r="W700" s="81"/>
      <c r="X700" s="81"/>
      <c r="Y700" s="435"/>
      <c r="Z700" s="435"/>
      <c r="AA700" s="435"/>
      <c r="AB700" s="435"/>
      <c r="AC700" s="435" t="s">
        <v>965</v>
      </c>
      <c r="AD700" s="435"/>
      <c r="AE700" s="81"/>
      <c r="AF700" s="81"/>
      <c r="AG700" s="81"/>
      <c r="AH700" s="81"/>
      <c r="AI700" s="81"/>
    </row>
    <row r="701" spans="16:35">
      <c r="P701" s="81"/>
      <c r="Q701" s="81"/>
      <c r="R701" s="81"/>
      <c r="S701" s="81"/>
      <c r="T701" s="435"/>
      <c r="U701" s="435"/>
      <c r="V701" s="81"/>
      <c r="W701" s="81"/>
      <c r="X701" s="81"/>
      <c r="Y701" s="435"/>
      <c r="Z701" s="435"/>
      <c r="AA701" s="435"/>
      <c r="AB701" s="435"/>
      <c r="AC701" s="435" t="s">
        <v>965</v>
      </c>
      <c r="AD701" s="435"/>
      <c r="AE701" s="81"/>
      <c r="AF701" s="81"/>
      <c r="AG701" s="81"/>
      <c r="AH701" s="81"/>
      <c r="AI701" s="81"/>
    </row>
    <row r="702" spans="16:35">
      <c r="P702" s="81"/>
      <c r="Q702" s="81"/>
      <c r="R702" s="81"/>
      <c r="S702" s="81"/>
      <c r="T702" s="435"/>
      <c r="U702" s="435"/>
      <c r="V702" s="81"/>
      <c r="W702" s="81"/>
      <c r="X702" s="81"/>
      <c r="Y702" s="435"/>
      <c r="Z702" s="435"/>
      <c r="AA702" s="435"/>
      <c r="AB702" s="435"/>
      <c r="AC702" s="435" t="s">
        <v>965</v>
      </c>
      <c r="AD702" s="435"/>
      <c r="AE702" s="81"/>
      <c r="AF702" s="81"/>
      <c r="AG702" s="81"/>
      <c r="AH702" s="81"/>
      <c r="AI702" s="81"/>
    </row>
    <row r="703" spans="16:35">
      <c r="P703" s="81"/>
      <c r="Q703" s="81"/>
      <c r="R703" s="81"/>
      <c r="S703" s="81"/>
      <c r="T703" s="435"/>
      <c r="U703" s="435"/>
      <c r="V703" s="81"/>
      <c r="W703" s="81"/>
      <c r="X703" s="81"/>
      <c r="Y703" s="435"/>
      <c r="Z703" s="435"/>
      <c r="AA703" s="435"/>
      <c r="AB703" s="435"/>
      <c r="AC703" s="435" t="s">
        <v>965</v>
      </c>
      <c r="AD703" s="435"/>
      <c r="AE703" s="81"/>
      <c r="AF703" s="81"/>
      <c r="AG703" s="81"/>
      <c r="AH703" s="81"/>
      <c r="AI703" s="81"/>
    </row>
    <row r="704" spans="16:35">
      <c r="P704" s="81"/>
      <c r="Q704" s="81"/>
      <c r="R704" s="81"/>
      <c r="S704" s="81"/>
      <c r="T704" s="435"/>
      <c r="U704" s="435"/>
      <c r="V704" s="81"/>
      <c r="W704" s="81"/>
      <c r="X704" s="81"/>
      <c r="Y704" s="435"/>
      <c r="Z704" s="435"/>
      <c r="AA704" s="435"/>
      <c r="AB704" s="435"/>
      <c r="AC704" s="435" t="s">
        <v>965</v>
      </c>
      <c r="AD704" s="435"/>
      <c r="AE704" s="81"/>
      <c r="AF704" s="81"/>
      <c r="AG704" s="81"/>
      <c r="AH704" s="81"/>
      <c r="AI704" s="81"/>
    </row>
    <row r="705" spans="16:35">
      <c r="P705" s="81"/>
      <c r="Q705" s="81"/>
      <c r="R705" s="81"/>
      <c r="S705" s="81"/>
      <c r="T705" s="435"/>
      <c r="U705" s="435"/>
      <c r="V705" s="81"/>
      <c r="W705" s="81"/>
      <c r="X705" s="81"/>
      <c r="Y705" s="435"/>
      <c r="Z705" s="435"/>
      <c r="AA705" s="435"/>
      <c r="AB705" s="435"/>
      <c r="AC705" s="435" t="s">
        <v>965</v>
      </c>
      <c r="AD705" s="435"/>
      <c r="AE705" s="81"/>
      <c r="AF705" s="81"/>
      <c r="AG705" s="81"/>
      <c r="AH705" s="81"/>
      <c r="AI705" s="81"/>
    </row>
    <row r="706" spans="16:35">
      <c r="P706" s="81"/>
      <c r="Q706" s="81"/>
      <c r="R706" s="81"/>
      <c r="S706" s="81"/>
      <c r="T706" s="435"/>
      <c r="U706" s="435"/>
      <c r="V706" s="81"/>
      <c r="W706" s="81"/>
      <c r="X706" s="81"/>
      <c r="Y706" s="435"/>
      <c r="Z706" s="435"/>
      <c r="AA706" s="435"/>
      <c r="AB706" s="435"/>
      <c r="AC706" s="435" t="s">
        <v>965</v>
      </c>
      <c r="AD706" s="435"/>
      <c r="AE706" s="81"/>
      <c r="AF706" s="81"/>
      <c r="AG706" s="81"/>
      <c r="AH706" s="81"/>
      <c r="AI706" s="81"/>
    </row>
    <row r="707" spans="16:35">
      <c r="P707" s="81"/>
      <c r="Q707" s="81"/>
      <c r="R707" s="81"/>
      <c r="S707" s="81"/>
      <c r="T707" s="435"/>
      <c r="U707" s="435"/>
      <c r="V707" s="81"/>
      <c r="W707" s="81"/>
      <c r="X707" s="81"/>
      <c r="Y707" s="435"/>
      <c r="Z707" s="435"/>
      <c r="AA707" s="435"/>
      <c r="AB707" s="435"/>
      <c r="AC707" s="435" t="s">
        <v>965</v>
      </c>
      <c r="AD707" s="435"/>
      <c r="AE707" s="81"/>
      <c r="AF707" s="81"/>
      <c r="AG707" s="81"/>
      <c r="AH707" s="81"/>
      <c r="AI707" s="81"/>
    </row>
    <row r="708" spans="16:35">
      <c r="P708" s="81"/>
      <c r="Q708" s="81"/>
      <c r="R708" s="81"/>
      <c r="S708" s="81"/>
      <c r="T708" s="435"/>
      <c r="U708" s="435"/>
      <c r="V708" s="81"/>
      <c r="W708" s="81"/>
      <c r="X708" s="81"/>
      <c r="Y708" s="435"/>
      <c r="Z708" s="435"/>
      <c r="AA708" s="435"/>
      <c r="AB708" s="435"/>
      <c r="AC708" s="435" t="s">
        <v>965</v>
      </c>
      <c r="AD708" s="435"/>
      <c r="AE708" s="81"/>
      <c r="AF708" s="81"/>
      <c r="AG708" s="81"/>
      <c r="AH708" s="81"/>
      <c r="AI708" s="81"/>
    </row>
    <row r="709" spans="16:35">
      <c r="P709" s="81"/>
      <c r="Q709" s="81"/>
      <c r="R709" s="81"/>
      <c r="S709" s="81"/>
      <c r="T709" s="435"/>
      <c r="U709" s="435"/>
      <c r="V709" s="81"/>
      <c r="W709" s="81"/>
      <c r="X709" s="81"/>
      <c r="Y709" s="435"/>
      <c r="Z709" s="435"/>
      <c r="AA709" s="435"/>
      <c r="AB709" s="435"/>
      <c r="AC709" s="435" t="s">
        <v>965</v>
      </c>
      <c r="AD709" s="435"/>
      <c r="AE709" s="81"/>
      <c r="AF709" s="81"/>
      <c r="AG709" s="81"/>
      <c r="AH709" s="81"/>
      <c r="AI709" s="81"/>
    </row>
    <row r="710" spans="16:35">
      <c r="P710" s="81"/>
      <c r="Q710" s="81"/>
      <c r="R710" s="81"/>
      <c r="S710" s="81"/>
      <c r="T710" s="435"/>
      <c r="U710" s="435"/>
      <c r="V710" s="81"/>
      <c r="W710" s="81"/>
      <c r="X710" s="81"/>
      <c r="Y710" s="435"/>
      <c r="Z710" s="435"/>
      <c r="AA710" s="435"/>
      <c r="AB710" s="435"/>
      <c r="AC710" s="435" t="s">
        <v>965</v>
      </c>
      <c r="AD710" s="435"/>
      <c r="AE710" s="81"/>
      <c r="AF710" s="81"/>
      <c r="AG710" s="81"/>
      <c r="AH710" s="81"/>
      <c r="AI710" s="81"/>
    </row>
    <row r="711" spans="16:35">
      <c r="P711" s="81"/>
      <c r="Q711" s="81"/>
      <c r="R711" s="81"/>
      <c r="S711" s="81"/>
      <c r="T711" s="435"/>
      <c r="U711" s="435"/>
      <c r="V711" s="81"/>
      <c r="W711" s="81"/>
      <c r="X711" s="81"/>
      <c r="Y711" s="435"/>
      <c r="Z711" s="435"/>
      <c r="AA711" s="435"/>
      <c r="AB711" s="435"/>
      <c r="AC711" s="435" t="s">
        <v>965</v>
      </c>
      <c r="AD711" s="435"/>
      <c r="AE711" s="81"/>
      <c r="AF711" s="81"/>
      <c r="AG711" s="81"/>
      <c r="AH711" s="81"/>
      <c r="AI711" s="81"/>
    </row>
    <row r="712" spans="16:35">
      <c r="P712" s="81"/>
      <c r="Q712" s="81"/>
      <c r="R712" s="81"/>
      <c r="S712" s="81"/>
      <c r="T712" s="435"/>
      <c r="U712" s="435"/>
      <c r="V712" s="81"/>
      <c r="W712" s="81"/>
      <c r="X712" s="81"/>
      <c r="Y712" s="435"/>
      <c r="Z712" s="435"/>
      <c r="AA712" s="435"/>
      <c r="AB712" s="435"/>
      <c r="AC712" s="435" t="s">
        <v>965</v>
      </c>
      <c r="AD712" s="435"/>
      <c r="AE712" s="81"/>
      <c r="AF712" s="81"/>
      <c r="AG712" s="81"/>
      <c r="AH712" s="81"/>
      <c r="AI712" s="81"/>
    </row>
    <row r="713" spans="16:35">
      <c r="P713" s="81"/>
      <c r="Q713" s="81"/>
      <c r="R713" s="81"/>
      <c r="S713" s="81"/>
      <c r="T713" s="435"/>
      <c r="U713" s="435"/>
      <c r="V713" s="81"/>
      <c r="W713" s="81"/>
      <c r="X713" s="81"/>
      <c r="Y713" s="435"/>
      <c r="Z713" s="435"/>
      <c r="AA713" s="435"/>
      <c r="AB713" s="435"/>
      <c r="AC713" s="435" t="s">
        <v>965</v>
      </c>
      <c r="AD713" s="435"/>
      <c r="AE713" s="81"/>
      <c r="AF713" s="81"/>
      <c r="AG713" s="81"/>
      <c r="AH713" s="81"/>
      <c r="AI713" s="81"/>
    </row>
    <row r="714" spans="16:35">
      <c r="P714" s="81"/>
      <c r="Q714" s="81"/>
      <c r="R714" s="81"/>
      <c r="S714" s="81"/>
      <c r="T714" s="435"/>
      <c r="U714" s="435"/>
      <c r="V714" s="81"/>
      <c r="W714" s="81"/>
      <c r="X714" s="81"/>
      <c r="Y714" s="435"/>
      <c r="Z714" s="435"/>
      <c r="AA714" s="435"/>
      <c r="AB714" s="435"/>
      <c r="AC714" s="435" t="s">
        <v>965</v>
      </c>
      <c r="AD714" s="435"/>
      <c r="AE714" s="81"/>
      <c r="AF714" s="81"/>
      <c r="AG714" s="81"/>
      <c r="AH714" s="81"/>
      <c r="AI714" s="81"/>
    </row>
    <row r="715" spans="16:35">
      <c r="P715" s="81"/>
      <c r="Q715" s="81"/>
      <c r="R715" s="81"/>
      <c r="S715" s="81"/>
      <c r="T715" s="435"/>
      <c r="U715" s="435"/>
      <c r="V715" s="81"/>
      <c r="W715" s="81"/>
      <c r="X715" s="81"/>
      <c r="Y715" s="435"/>
      <c r="Z715" s="435"/>
      <c r="AA715" s="435"/>
      <c r="AB715" s="435"/>
      <c r="AC715" s="435" t="s">
        <v>965</v>
      </c>
      <c r="AD715" s="435"/>
      <c r="AE715" s="81"/>
      <c r="AF715" s="81"/>
      <c r="AG715" s="81"/>
      <c r="AH715" s="81"/>
      <c r="AI715" s="81"/>
    </row>
    <row r="716" spans="16:35">
      <c r="P716" s="81"/>
      <c r="Q716" s="81"/>
      <c r="R716" s="81"/>
      <c r="S716" s="81"/>
      <c r="T716" s="435"/>
      <c r="U716" s="435"/>
      <c r="V716" s="81"/>
      <c r="W716" s="81"/>
      <c r="X716" s="81"/>
      <c r="Y716" s="435"/>
      <c r="Z716" s="435"/>
      <c r="AA716" s="435"/>
      <c r="AB716" s="435"/>
      <c r="AC716" s="435" t="s">
        <v>965</v>
      </c>
      <c r="AD716" s="435"/>
      <c r="AE716" s="81"/>
      <c r="AF716" s="81"/>
      <c r="AG716" s="81"/>
      <c r="AH716" s="81"/>
      <c r="AI716" s="81"/>
    </row>
    <row r="717" spans="16:35">
      <c r="P717" s="81"/>
      <c r="Q717" s="81"/>
      <c r="R717" s="81"/>
      <c r="S717" s="81"/>
      <c r="T717" s="435"/>
      <c r="U717" s="435"/>
      <c r="V717" s="81"/>
      <c r="W717" s="81"/>
      <c r="X717" s="81"/>
      <c r="Y717" s="435"/>
      <c r="Z717" s="435"/>
      <c r="AA717" s="435"/>
      <c r="AB717" s="435"/>
      <c r="AC717" s="435" t="s">
        <v>965</v>
      </c>
      <c r="AD717" s="435"/>
      <c r="AE717" s="81"/>
      <c r="AF717" s="81"/>
      <c r="AG717" s="81"/>
      <c r="AH717" s="81"/>
      <c r="AI717" s="81"/>
    </row>
    <row r="718" spans="16:35">
      <c r="P718" s="81"/>
      <c r="Q718" s="81"/>
      <c r="R718" s="81"/>
      <c r="S718" s="81"/>
      <c r="T718" s="435"/>
      <c r="U718" s="435"/>
      <c r="V718" s="81"/>
      <c r="W718" s="81"/>
      <c r="X718" s="81"/>
      <c r="Y718" s="435"/>
      <c r="Z718" s="435"/>
      <c r="AA718" s="435"/>
      <c r="AB718" s="435"/>
      <c r="AC718" s="435" t="s">
        <v>965</v>
      </c>
      <c r="AD718" s="435"/>
      <c r="AE718" s="81"/>
      <c r="AF718" s="81"/>
      <c r="AG718" s="81"/>
      <c r="AH718" s="81"/>
      <c r="AI718" s="81"/>
    </row>
    <row r="719" spans="16:35">
      <c r="P719" s="81"/>
      <c r="Q719" s="81"/>
      <c r="R719" s="81"/>
      <c r="S719" s="81"/>
      <c r="T719" s="435"/>
      <c r="U719" s="435"/>
      <c r="V719" s="81"/>
      <c r="W719" s="81"/>
      <c r="X719" s="81"/>
      <c r="Y719" s="435"/>
      <c r="Z719" s="435"/>
      <c r="AA719" s="435"/>
      <c r="AB719" s="435"/>
      <c r="AC719" s="435" t="s">
        <v>965</v>
      </c>
      <c r="AD719" s="435"/>
      <c r="AE719" s="81"/>
      <c r="AF719" s="81"/>
      <c r="AG719" s="81"/>
      <c r="AH719" s="81"/>
      <c r="AI719" s="81"/>
    </row>
    <row r="720" spans="16:35">
      <c r="P720" s="81"/>
      <c r="Q720" s="81"/>
      <c r="R720" s="81"/>
      <c r="S720" s="81"/>
      <c r="T720" s="435"/>
      <c r="U720" s="435"/>
      <c r="V720" s="81"/>
      <c r="W720" s="81"/>
      <c r="X720" s="81"/>
      <c r="Y720" s="435"/>
      <c r="Z720" s="435"/>
      <c r="AA720" s="435"/>
      <c r="AB720" s="435"/>
      <c r="AC720" s="435" t="s">
        <v>965</v>
      </c>
      <c r="AD720" s="435"/>
      <c r="AE720" s="81"/>
      <c r="AF720" s="81"/>
      <c r="AG720" s="81"/>
      <c r="AH720" s="81"/>
      <c r="AI720" s="81"/>
    </row>
    <row r="721" spans="16:35">
      <c r="P721" s="81"/>
      <c r="Q721" s="81"/>
      <c r="R721" s="81"/>
      <c r="S721" s="81"/>
      <c r="T721" s="435"/>
      <c r="U721" s="435"/>
      <c r="V721" s="81"/>
      <c r="W721" s="81"/>
      <c r="X721" s="81"/>
      <c r="Y721" s="435"/>
      <c r="Z721" s="435"/>
      <c r="AA721" s="435"/>
      <c r="AB721" s="435"/>
      <c r="AC721" s="435" t="s">
        <v>965</v>
      </c>
      <c r="AD721" s="435"/>
      <c r="AE721" s="81"/>
      <c r="AF721" s="81"/>
      <c r="AG721" s="81"/>
      <c r="AH721" s="81"/>
      <c r="AI721" s="81"/>
    </row>
    <row r="722" spans="16:35">
      <c r="P722" s="81"/>
      <c r="Q722" s="81"/>
      <c r="R722" s="81"/>
      <c r="S722" s="81"/>
      <c r="T722" s="435"/>
      <c r="U722" s="435"/>
      <c r="V722" s="81"/>
      <c r="W722" s="81"/>
      <c r="X722" s="81"/>
      <c r="Y722" s="435"/>
      <c r="Z722" s="435"/>
      <c r="AA722" s="435"/>
      <c r="AB722" s="435"/>
      <c r="AC722" s="435" t="s">
        <v>965</v>
      </c>
      <c r="AD722" s="435"/>
      <c r="AE722" s="81"/>
      <c r="AF722" s="81"/>
      <c r="AG722" s="81"/>
      <c r="AH722" s="81"/>
      <c r="AI722" s="81"/>
    </row>
    <row r="723" spans="16:35">
      <c r="P723" s="81"/>
      <c r="Q723" s="81"/>
      <c r="R723" s="81"/>
      <c r="S723" s="81"/>
      <c r="T723" s="435"/>
      <c r="U723" s="435"/>
      <c r="V723" s="81"/>
      <c r="W723" s="81"/>
      <c r="X723" s="81"/>
      <c r="Y723" s="435"/>
      <c r="Z723" s="435"/>
      <c r="AA723" s="435"/>
      <c r="AB723" s="435"/>
      <c r="AC723" s="435" t="s">
        <v>965</v>
      </c>
      <c r="AD723" s="435"/>
      <c r="AE723" s="81"/>
      <c r="AF723" s="81"/>
      <c r="AG723" s="81"/>
      <c r="AH723" s="81"/>
      <c r="AI723" s="81"/>
    </row>
    <row r="724" spans="16:35">
      <c r="P724" s="81"/>
      <c r="Q724" s="81"/>
      <c r="R724" s="81"/>
      <c r="S724" s="81"/>
      <c r="T724" s="435"/>
      <c r="U724" s="435"/>
      <c r="V724" s="81"/>
      <c r="W724" s="81"/>
      <c r="X724" s="81"/>
      <c r="Y724" s="435"/>
      <c r="Z724" s="435"/>
      <c r="AA724" s="435"/>
      <c r="AB724" s="435"/>
      <c r="AC724" s="435" t="s">
        <v>965</v>
      </c>
      <c r="AD724" s="435"/>
      <c r="AE724" s="81"/>
      <c r="AF724" s="81"/>
      <c r="AG724" s="81"/>
      <c r="AH724" s="81"/>
      <c r="AI724" s="81"/>
    </row>
    <row r="725" spans="16:35">
      <c r="P725" s="81"/>
      <c r="Q725" s="81"/>
      <c r="R725" s="81"/>
      <c r="S725" s="81"/>
      <c r="T725" s="435"/>
      <c r="U725" s="435"/>
      <c r="V725" s="81"/>
      <c r="W725" s="81"/>
      <c r="X725" s="81"/>
      <c r="Y725" s="435"/>
      <c r="Z725" s="435"/>
      <c r="AA725" s="435"/>
      <c r="AB725" s="435"/>
      <c r="AC725" s="435" t="s">
        <v>965</v>
      </c>
      <c r="AD725" s="435"/>
      <c r="AE725" s="81"/>
      <c r="AF725" s="81"/>
      <c r="AG725" s="81"/>
      <c r="AH725" s="81"/>
      <c r="AI725" s="81"/>
    </row>
    <row r="726" spans="16:35">
      <c r="P726" s="81"/>
      <c r="Q726" s="81"/>
      <c r="R726" s="81"/>
      <c r="S726" s="81"/>
      <c r="T726" s="435"/>
      <c r="U726" s="435"/>
      <c r="V726" s="81"/>
      <c r="W726" s="81"/>
      <c r="X726" s="81"/>
      <c r="Y726" s="435"/>
      <c r="Z726" s="435"/>
      <c r="AA726" s="435"/>
      <c r="AB726" s="435"/>
      <c r="AC726" s="435" t="s">
        <v>965</v>
      </c>
      <c r="AD726" s="435"/>
      <c r="AE726" s="81"/>
      <c r="AF726" s="81"/>
      <c r="AG726" s="81"/>
      <c r="AH726" s="81"/>
      <c r="AI726" s="81"/>
    </row>
    <row r="727" spans="16:35">
      <c r="P727" s="81"/>
      <c r="Q727" s="81"/>
      <c r="R727" s="81"/>
      <c r="S727" s="81"/>
      <c r="T727" s="435"/>
      <c r="U727" s="435"/>
      <c r="V727" s="81"/>
      <c r="W727" s="81"/>
      <c r="X727" s="81"/>
      <c r="Y727" s="435"/>
      <c r="Z727" s="435"/>
      <c r="AA727" s="435"/>
      <c r="AB727" s="435"/>
      <c r="AC727" s="435" t="s">
        <v>965</v>
      </c>
      <c r="AD727" s="435"/>
      <c r="AE727" s="81"/>
      <c r="AF727" s="81"/>
      <c r="AG727" s="81"/>
      <c r="AH727" s="81"/>
      <c r="AI727" s="81"/>
    </row>
    <row r="728" spans="16:35">
      <c r="P728" s="81"/>
      <c r="Q728" s="81"/>
      <c r="R728" s="81"/>
      <c r="S728" s="81"/>
      <c r="T728" s="435"/>
      <c r="U728" s="435"/>
      <c r="V728" s="81"/>
      <c r="W728" s="81"/>
      <c r="X728" s="81"/>
      <c r="Y728" s="435"/>
      <c r="Z728" s="435"/>
      <c r="AA728" s="435"/>
      <c r="AB728" s="435"/>
      <c r="AC728" s="435" t="s">
        <v>965</v>
      </c>
      <c r="AD728" s="435"/>
      <c r="AE728" s="81"/>
      <c r="AF728" s="81"/>
      <c r="AG728" s="81"/>
      <c r="AH728" s="81"/>
      <c r="AI728" s="81"/>
    </row>
    <row r="729" spans="16:35">
      <c r="P729" s="81"/>
      <c r="Q729" s="81"/>
      <c r="R729" s="81"/>
      <c r="S729" s="81"/>
      <c r="T729" s="435"/>
      <c r="U729" s="435"/>
      <c r="V729" s="81"/>
      <c r="W729" s="81"/>
      <c r="X729" s="81"/>
      <c r="Y729" s="435"/>
      <c r="Z729" s="435"/>
      <c r="AA729" s="435"/>
      <c r="AB729" s="435"/>
      <c r="AC729" s="435" t="s">
        <v>965</v>
      </c>
      <c r="AD729" s="435"/>
      <c r="AE729" s="81"/>
      <c r="AF729" s="81"/>
      <c r="AG729" s="81"/>
      <c r="AH729" s="81"/>
      <c r="AI729" s="81"/>
    </row>
    <row r="730" spans="16:35">
      <c r="P730" s="81"/>
      <c r="Q730" s="81"/>
      <c r="R730" s="81"/>
      <c r="S730" s="81"/>
      <c r="T730" s="435"/>
      <c r="U730" s="435"/>
      <c r="V730" s="81"/>
      <c r="W730" s="81"/>
      <c r="X730" s="81"/>
      <c r="Y730" s="435"/>
      <c r="Z730" s="435"/>
      <c r="AA730" s="435"/>
      <c r="AB730" s="435"/>
      <c r="AC730" s="435" t="s">
        <v>965</v>
      </c>
      <c r="AD730" s="435"/>
      <c r="AE730" s="81"/>
      <c r="AF730" s="81"/>
      <c r="AG730" s="81"/>
      <c r="AH730" s="81"/>
      <c r="AI730" s="81"/>
    </row>
    <row r="731" spans="16:35">
      <c r="P731" s="81"/>
      <c r="Q731" s="81"/>
      <c r="R731" s="81"/>
      <c r="S731" s="81"/>
      <c r="T731" s="435"/>
      <c r="U731" s="435"/>
      <c r="V731" s="81"/>
      <c r="W731" s="81"/>
      <c r="X731" s="81"/>
      <c r="Y731" s="435"/>
      <c r="Z731" s="435"/>
      <c r="AA731" s="435"/>
      <c r="AB731" s="435"/>
      <c r="AC731" s="435" t="s">
        <v>965</v>
      </c>
      <c r="AD731" s="435"/>
      <c r="AE731" s="81"/>
      <c r="AF731" s="81"/>
      <c r="AG731" s="81"/>
      <c r="AH731" s="81"/>
      <c r="AI731" s="81"/>
    </row>
    <row r="732" spans="16:35">
      <c r="P732" s="81"/>
      <c r="Q732" s="81"/>
      <c r="R732" s="81"/>
      <c r="S732" s="81"/>
      <c r="T732" s="435"/>
      <c r="U732" s="435"/>
      <c r="V732" s="81"/>
      <c r="W732" s="81"/>
      <c r="X732" s="81"/>
      <c r="Y732" s="435"/>
      <c r="Z732" s="435"/>
      <c r="AA732" s="435"/>
      <c r="AB732" s="435"/>
      <c r="AC732" s="435" t="s">
        <v>965</v>
      </c>
      <c r="AD732" s="435"/>
      <c r="AE732" s="81"/>
      <c r="AF732" s="81"/>
      <c r="AG732" s="81"/>
      <c r="AH732" s="81"/>
      <c r="AI732" s="81"/>
    </row>
    <row r="733" spans="16:35">
      <c r="P733" s="81"/>
      <c r="Q733" s="81"/>
      <c r="R733" s="81"/>
      <c r="S733" s="81"/>
      <c r="T733" s="435"/>
      <c r="U733" s="435"/>
      <c r="V733" s="81"/>
      <c r="W733" s="81"/>
      <c r="X733" s="81"/>
      <c r="Y733" s="435"/>
      <c r="Z733" s="435"/>
      <c r="AA733" s="435"/>
      <c r="AB733" s="435"/>
      <c r="AC733" s="435" t="s">
        <v>965</v>
      </c>
      <c r="AD733" s="435"/>
      <c r="AE733" s="81"/>
      <c r="AF733" s="81"/>
      <c r="AG733" s="81"/>
      <c r="AH733" s="81"/>
      <c r="AI733" s="81"/>
    </row>
    <row r="734" spans="16:35">
      <c r="P734" s="81"/>
      <c r="Q734" s="81"/>
      <c r="R734" s="81"/>
      <c r="S734" s="81"/>
      <c r="T734" s="435"/>
      <c r="U734" s="435"/>
      <c r="V734" s="81"/>
      <c r="W734" s="81"/>
      <c r="X734" s="81"/>
      <c r="Y734" s="435"/>
      <c r="Z734" s="435"/>
      <c r="AA734" s="435"/>
      <c r="AB734" s="435"/>
      <c r="AC734" s="435" t="s">
        <v>965</v>
      </c>
      <c r="AD734" s="435"/>
      <c r="AE734" s="81"/>
      <c r="AF734" s="81"/>
      <c r="AG734" s="81"/>
      <c r="AH734" s="81"/>
      <c r="AI734" s="81"/>
    </row>
    <row r="735" spans="16:35">
      <c r="P735" s="81"/>
      <c r="Q735" s="81"/>
      <c r="R735" s="81"/>
      <c r="S735" s="81"/>
      <c r="T735" s="435"/>
      <c r="U735" s="435"/>
      <c r="V735" s="81"/>
      <c r="W735" s="81"/>
      <c r="X735" s="81"/>
      <c r="Y735" s="435"/>
      <c r="Z735" s="435"/>
      <c r="AA735" s="435"/>
      <c r="AB735" s="435"/>
      <c r="AC735" s="435" t="s">
        <v>965</v>
      </c>
      <c r="AD735" s="435"/>
      <c r="AE735" s="81"/>
      <c r="AF735" s="81"/>
      <c r="AG735" s="81"/>
      <c r="AH735" s="81"/>
      <c r="AI735" s="81"/>
    </row>
    <row r="736" spans="16:35">
      <c r="P736" s="81"/>
      <c r="Q736" s="81"/>
      <c r="R736" s="81"/>
      <c r="S736" s="81"/>
      <c r="T736" s="435"/>
      <c r="U736" s="435"/>
      <c r="V736" s="81"/>
      <c r="W736" s="81"/>
      <c r="X736" s="81"/>
      <c r="Y736" s="435"/>
      <c r="Z736" s="435"/>
      <c r="AA736" s="435"/>
      <c r="AB736" s="435"/>
      <c r="AC736" s="435" t="s">
        <v>965</v>
      </c>
      <c r="AD736" s="435"/>
      <c r="AE736" s="81"/>
      <c r="AF736" s="81"/>
      <c r="AG736" s="81"/>
      <c r="AH736" s="81"/>
      <c r="AI736" s="81"/>
    </row>
    <row r="737" spans="1:35">
      <c r="P737" s="81"/>
      <c r="Q737" s="81"/>
      <c r="R737" s="81"/>
      <c r="S737" s="81"/>
      <c r="T737" s="435"/>
      <c r="U737" s="435"/>
      <c r="V737" s="81"/>
      <c r="W737" s="81"/>
      <c r="X737" s="81"/>
      <c r="Y737" s="435"/>
      <c r="Z737" s="435"/>
      <c r="AA737" s="435"/>
      <c r="AB737" s="435"/>
      <c r="AC737" s="435" t="s">
        <v>965</v>
      </c>
      <c r="AD737" s="435"/>
      <c r="AE737" s="81"/>
      <c r="AF737" s="81"/>
      <c r="AG737" s="81"/>
      <c r="AH737" s="81"/>
      <c r="AI737" s="81"/>
    </row>
    <row r="739" spans="1:35" s="1" customFormat="1">
      <c r="A739" s="66"/>
      <c r="B739" s="78" t="s">
        <v>316</v>
      </c>
      <c r="P739" s="115"/>
      <c r="Q739" s="115"/>
    </row>
    <row r="741" spans="1:35">
      <c r="P741" s="81"/>
      <c r="Q741" s="81"/>
      <c r="R741" s="81"/>
      <c r="S741" s="81"/>
      <c r="T741" s="435"/>
      <c r="U741" s="435"/>
      <c r="V741" s="81"/>
      <c r="W741" s="81"/>
      <c r="X741" s="81"/>
      <c r="Y741" s="435"/>
      <c r="Z741" s="435"/>
      <c r="AA741" s="435"/>
      <c r="AB741" s="435"/>
      <c r="AC741" s="435" t="s">
        <v>965</v>
      </c>
      <c r="AD741" s="435"/>
      <c r="AE741" s="81"/>
      <c r="AF741" s="81"/>
      <c r="AG741" s="81"/>
      <c r="AH741" s="81"/>
      <c r="AI741" s="81"/>
    </row>
    <row r="742" spans="1:35">
      <c r="P742" s="81"/>
      <c r="Q742" s="81"/>
      <c r="R742" s="81"/>
      <c r="S742" s="81"/>
      <c r="T742" s="435"/>
      <c r="U742" s="435"/>
      <c r="V742" s="81"/>
      <c r="W742" s="81"/>
      <c r="X742" s="81"/>
      <c r="Y742" s="435"/>
      <c r="Z742" s="435"/>
      <c r="AA742" s="435"/>
      <c r="AB742" s="435"/>
      <c r="AC742" s="435" t="s">
        <v>965</v>
      </c>
      <c r="AD742" s="435"/>
      <c r="AE742" s="81"/>
      <c r="AF742" s="81"/>
      <c r="AG742" s="81"/>
      <c r="AH742" s="81"/>
      <c r="AI742" s="81"/>
    </row>
    <row r="743" spans="1:35">
      <c r="P743" s="81"/>
      <c r="Q743" s="81"/>
      <c r="R743" s="81"/>
      <c r="S743" s="81"/>
      <c r="T743" s="435"/>
      <c r="U743" s="435"/>
      <c r="V743" s="81"/>
      <c r="W743" s="81"/>
      <c r="X743" s="81"/>
      <c r="Y743" s="435"/>
      <c r="Z743" s="435"/>
      <c r="AA743" s="435"/>
      <c r="AB743" s="435"/>
      <c r="AC743" s="435" t="s">
        <v>965</v>
      </c>
      <c r="AD743" s="435"/>
      <c r="AE743" s="81"/>
      <c r="AF743" s="81"/>
      <c r="AG743" s="81"/>
      <c r="AH743" s="81"/>
      <c r="AI743" s="81"/>
    </row>
    <row r="744" spans="1:35">
      <c r="P744" s="81"/>
      <c r="Q744" s="81"/>
      <c r="R744" s="81"/>
      <c r="S744" s="81"/>
      <c r="T744" s="435"/>
      <c r="U744" s="435"/>
      <c r="V744" s="81"/>
      <c r="W744" s="81"/>
      <c r="X744" s="81"/>
      <c r="Y744" s="435"/>
      <c r="Z744" s="435"/>
      <c r="AA744" s="435"/>
      <c r="AB744" s="435"/>
      <c r="AC744" s="435" t="s">
        <v>965</v>
      </c>
      <c r="AD744" s="435"/>
      <c r="AE744" s="81"/>
      <c r="AF744" s="81"/>
      <c r="AG744" s="81"/>
      <c r="AH744" s="81"/>
      <c r="AI744" s="81"/>
    </row>
    <row r="745" spans="1:35">
      <c r="P745" s="81"/>
      <c r="Q745" s="81"/>
      <c r="R745" s="81"/>
      <c r="S745" s="81"/>
      <c r="T745" s="435"/>
      <c r="U745" s="435"/>
      <c r="V745" s="81"/>
      <c r="W745" s="81"/>
      <c r="X745" s="81"/>
      <c r="Y745" s="435"/>
      <c r="Z745" s="435"/>
      <c r="AA745" s="435"/>
      <c r="AB745" s="435"/>
      <c r="AC745" s="435" t="s">
        <v>965</v>
      </c>
      <c r="AD745" s="435"/>
      <c r="AE745" s="81"/>
      <c r="AF745" s="81"/>
      <c r="AG745" s="81"/>
      <c r="AH745" s="81"/>
      <c r="AI745" s="81"/>
    </row>
    <row r="746" spans="1:35">
      <c r="P746" s="81"/>
      <c r="Q746" s="81"/>
      <c r="R746" s="81"/>
      <c r="S746" s="81"/>
      <c r="T746" s="435"/>
      <c r="U746" s="435"/>
      <c r="V746" s="81"/>
      <c r="W746" s="81"/>
      <c r="X746" s="81"/>
      <c r="Y746" s="435"/>
      <c r="Z746" s="435"/>
      <c r="AA746" s="435"/>
      <c r="AB746" s="435"/>
      <c r="AC746" s="435" t="s">
        <v>965</v>
      </c>
      <c r="AD746" s="435"/>
      <c r="AE746" s="81"/>
      <c r="AF746" s="81"/>
      <c r="AG746" s="81"/>
      <c r="AH746" s="81"/>
      <c r="AI746" s="81"/>
    </row>
    <row r="747" spans="1:35">
      <c r="P747" s="81"/>
      <c r="Q747" s="81"/>
      <c r="R747" s="81"/>
      <c r="S747" s="81"/>
      <c r="T747" s="435"/>
      <c r="U747" s="435"/>
      <c r="V747" s="81"/>
      <c r="W747" s="81"/>
      <c r="X747" s="81"/>
      <c r="Y747" s="435"/>
      <c r="Z747" s="435"/>
      <c r="AA747" s="435"/>
      <c r="AB747" s="435"/>
      <c r="AC747" s="435" t="s">
        <v>965</v>
      </c>
      <c r="AD747" s="435"/>
      <c r="AE747" s="81"/>
      <c r="AF747" s="81"/>
      <c r="AG747" s="81"/>
      <c r="AH747" s="81"/>
      <c r="AI747" s="81"/>
    </row>
    <row r="748" spans="1:35">
      <c r="P748" s="81"/>
      <c r="Q748" s="81"/>
      <c r="R748" s="81"/>
      <c r="S748" s="81"/>
      <c r="T748" s="435"/>
      <c r="U748" s="435"/>
      <c r="V748" s="81"/>
      <c r="W748" s="81"/>
      <c r="X748" s="81"/>
      <c r="Y748" s="435"/>
      <c r="Z748" s="435"/>
      <c r="AA748" s="435"/>
      <c r="AB748" s="435"/>
      <c r="AC748" s="435" t="s">
        <v>965</v>
      </c>
      <c r="AD748" s="435"/>
      <c r="AE748" s="81"/>
      <c r="AF748" s="81"/>
      <c r="AG748" s="81"/>
      <c r="AH748" s="81"/>
      <c r="AI748" s="81"/>
    </row>
    <row r="749" spans="1:35">
      <c r="P749" s="81"/>
      <c r="Q749" s="81"/>
      <c r="R749" s="81"/>
      <c r="S749" s="81"/>
      <c r="T749" s="435"/>
      <c r="U749" s="435"/>
      <c r="V749" s="81"/>
      <c r="W749" s="81"/>
      <c r="X749" s="81"/>
      <c r="Y749" s="435"/>
      <c r="Z749" s="435"/>
      <c r="AA749" s="435"/>
      <c r="AB749" s="435"/>
      <c r="AC749" s="435" t="s">
        <v>965</v>
      </c>
      <c r="AD749" s="435"/>
      <c r="AE749" s="81"/>
      <c r="AF749" s="81"/>
      <c r="AG749" s="81"/>
      <c r="AH749" s="81"/>
      <c r="AI749" s="81"/>
    </row>
    <row r="750" spans="1:35">
      <c r="P750" s="81"/>
      <c r="Q750" s="81"/>
      <c r="R750" s="81"/>
      <c r="S750" s="81"/>
      <c r="T750" s="435"/>
      <c r="U750" s="435"/>
      <c r="V750" s="81"/>
      <c r="W750" s="81"/>
      <c r="X750" s="81"/>
      <c r="Y750" s="435"/>
      <c r="Z750" s="435"/>
      <c r="AA750" s="435"/>
      <c r="AB750" s="435"/>
      <c r="AC750" s="435" t="s">
        <v>965</v>
      </c>
      <c r="AD750" s="435"/>
      <c r="AE750" s="81"/>
      <c r="AF750" s="81"/>
      <c r="AG750" s="81"/>
      <c r="AH750" s="81"/>
      <c r="AI750" s="81"/>
    </row>
    <row r="751" spans="1:35">
      <c r="P751" s="81"/>
      <c r="Q751" s="81"/>
      <c r="R751" s="81"/>
      <c r="S751" s="81"/>
      <c r="T751" s="435"/>
      <c r="U751" s="435"/>
      <c r="V751" s="81"/>
      <c r="W751" s="81"/>
      <c r="X751" s="81"/>
      <c r="Y751" s="435"/>
      <c r="Z751" s="435"/>
      <c r="AA751" s="435"/>
      <c r="AB751" s="435"/>
      <c r="AC751" s="435" t="s">
        <v>965</v>
      </c>
      <c r="AD751" s="435"/>
      <c r="AE751" s="81"/>
      <c r="AF751" s="81"/>
      <c r="AG751" s="81"/>
      <c r="AH751" s="81"/>
      <c r="AI751" s="81"/>
    </row>
    <row r="752" spans="1:35">
      <c r="P752" s="81"/>
      <c r="Q752" s="81"/>
      <c r="R752" s="81"/>
      <c r="S752" s="81"/>
      <c r="T752" s="435"/>
      <c r="U752" s="435"/>
      <c r="V752" s="81"/>
      <c r="W752" s="81"/>
      <c r="X752" s="81"/>
      <c r="Y752" s="435"/>
      <c r="Z752" s="435"/>
      <c r="AA752" s="435"/>
      <c r="AB752" s="435"/>
      <c r="AC752" s="435" t="s">
        <v>965</v>
      </c>
      <c r="AD752" s="435"/>
      <c r="AE752" s="81"/>
      <c r="AF752" s="81"/>
      <c r="AG752" s="81"/>
      <c r="AH752" s="81"/>
      <c r="AI752" s="81"/>
    </row>
    <row r="753" spans="1:35">
      <c r="P753" s="81"/>
      <c r="Q753" s="81"/>
      <c r="R753" s="81"/>
      <c r="S753" s="81"/>
      <c r="T753" s="435"/>
      <c r="U753" s="435"/>
      <c r="V753" s="81"/>
      <c r="W753" s="81"/>
      <c r="X753" s="81"/>
      <c r="Y753" s="435"/>
      <c r="Z753" s="435"/>
      <c r="AA753" s="435"/>
      <c r="AB753" s="435"/>
      <c r="AC753" s="435" t="s">
        <v>965</v>
      </c>
      <c r="AD753" s="435"/>
      <c r="AE753" s="81"/>
      <c r="AF753" s="81"/>
      <c r="AG753" s="81"/>
      <c r="AH753" s="81"/>
      <c r="AI753" s="81"/>
    </row>
    <row r="754" spans="1:35">
      <c r="P754" s="81"/>
      <c r="Q754" s="81"/>
      <c r="R754" s="81"/>
      <c r="S754" s="81"/>
      <c r="T754" s="435"/>
      <c r="U754" s="435"/>
      <c r="V754" s="81"/>
      <c r="W754" s="81"/>
      <c r="X754" s="81"/>
      <c r="Y754" s="435"/>
      <c r="Z754" s="435"/>
      <c r="AA754" s="435"/>
      <c r="AB754" s="435"/>
      <c r="AC754" s="435" t="s">
        <v>965</v>
      </c>
      <c r="AD754" s="435"/>
      <c r="AE754" s="81"/>
      <c r="AF754" s="81"/>
      <c r="AG754" s="81"/>
      <c r="AH754" s="81"/>
      <c r="AI754" s="81"/>
    </row>
    <row r="755" spans="1:35">
      <c r="P755" s="81"/>
      <c r="Q755" s="81"/>
      <c r="R755" s="81"/>
      <c r="S755" s="81"/>
      <c r="T755" s="435"/>
      <c r="U755" s="435"/>
      <c r="V755" s="81"/>
      <c r="W755" s="81"/>
      <c r="X755" s="81"/>
      <c r="Y755" s="435"/>
      <c r="Z755" s="435"/>
      <c r="AA755" s="435"/>
      <c r="AB755" s="435"/>
      <c r="AC755" s="435" t="s">
        <v>965</v>
      </c>
      <c r="AD755" s="435"/>
      <c r="AE755" s="81"/>
      <c r="AF755" s="81"/>
      <c r="AG755" s="81"/>
      <c r="AH755" s="81"/>
      <c r="AI755" s="81"/>
    </row>
    <row r="756" spans="1:35">
      <c r="P756" s="81"/>
      <c r="Q756" s="81"/>
      <c r="R756" s="81"/>
      <c r="S756" s="81"/>
      <c r="T756" s="435"/>
      <c r="U756" s="435"/>
      <c r="V756" s="81"/>
      <c r="W756" s="81"/>
      <c r="X756" s="81"/>
      <c r="Y756" s="435"/>
      <c r="Z756" s="435"/>
      <c r="AA756" s="435"/>
      <c r="AB756" s="435"/>
      <c r="AC756" s="435" t="s">
        <v>965</v>
      </c>
      <c r="AD756" s="435"/>
      <c r="AE756" s="81"/>
      <c r="AF756" s="81"/>
      <c r="AG756" s="81"/>
      <c r="AH756" s="81"/>
      <c r="AI756" s="81"/>
    </row>
    <row r="757" spans="1:35">
      <c r="P757" s="81"/>
      <c r="Q757" s="81"/>
      <c r="R757" s="81"/>
      <c r="S757" s="81"/>
      <c r="T757" s="435"/>
      <c r="U757" s="435"/>
      <c r="V757" s="81"/>
      <c r="W757" s="81"/>
      <c r="X757" s="81"/>
      <c r="Y757" s="435"/>
      <c r="Z757" s="435"/>
      <c r="AA757" s="435"/>
      <c r="AB757" s="435"/>
      <c r="AC757" s="435" t="s">
        <v>965</v>
      </c>
      <c r="AD757" s="435"/>
      <c r="AE757" s="81"/>
      <c r="AF757" s="81"/>
      <c r="AG757" s="81"/>
      <c r="AH757" s="81"/>
      <c r="AI757" s="81"/>
    </row>
    <row r="758" spans="1:35">
      <c r="P758" s="81"/>
      <c r="Q758" s="81"/>
      <c r="R758" s="81"/>
      <c r="S758" s="81"/>
      <c r="T758" s="435"/>
      <c r="U758" s="435"/>
      <c r="V758" s="81"/>
      <c r="W758" s="81"/>
      <c r="X758" s="81"/>
      <c r="Y758" s="435"/>
      <c r="Z758" s="435"/>
      <c r="AA758" s="435"/>
      <c r="AB758" s="435"/>
      <c r="AC758" s="435" t="s">
        <v>965</v>
      </c>
      <c r="AD758" s="435"/>
      <c r="AE758" s="81"/>
      <c r="AF758" s="81"/>
      <c r="AG758" s="81"/>
      <c r="AH758" s="81"/>
      <c r="AI758" s="81"/>
    </row>
    <row r="759" spans="1:35">
      <c r="P759" s="81"/>
      <c r="Q759" s="81"/>
      <c r="R759" s="81"/>
      <c r="S759" s="81"/>
      <c r="T759" s="435"/>
      <c r="U759" s="435"/>
      <c r="V759" s="81"/>
      <c r="W759" s="81"/>
      <c r="X759" s="81"/>
      <c r="Y759" s="435"/>
      <c r="Z759" s="435"/>
      <c r="AA759" s="435"/>
      <c r="AB759" s="435"/>
      <c r="AC759" s="435" t="s">
        <v>965</v>
      </c>
      <c r="AD759" s="435"/>
      <c r="AE759" s="81"/>
      <c r="AF759" s="81"/>
      <c r="AG759" s="81"/>
      <c r="AH759" s="81"/>
      <c r="AI759" s="81"/>
    </row>
    <row r="760" spans="1:35">
      <c r="P760" s="81"/>
      <c r="Q760" s="81"/>
      <c r="R760" s="81"/>
      <c r="S760" s="81"/>
      <c r="T760" s="435"/>
      <c r="U760" s="435"/>
      <c r="V760" s="81"/>
      <c r="W760" s="81"/>
      <c r="X760" s="81"/>
      <c r="Y760" s="435"/>
      <c r="Z760" s="435"/>
      <c r="AA760" s="435"/>
      <c r="AB760" s="435"/>
      <c r="AC760" s="435" t="s">
        <v>965</v>
      </c>
      <c r="AD760" s="435"/>
      <c r="AE760" s="81"/>
      <c r="AF760" s="81"/>
      <c r="AG760" s="81"/>
      <c r="AH760" s="81"/>
      <c r="AI760" s="81"/>
    </row>
    <row r="761" spans="1:35">
      <c r="P761" s="81"/>
      <c r="Q761" s="81"/>
      <c r="R761" s="81"/>
      <c r="S761" s="81"/>
      <c r="T761" s="435"/>
      <c r="U761" s="435"/>
      <c r="V761" s="81"/>
      <c r="W761" s="81"/>
      <c r="X761" s="81"/>
      <c r="Y761" s="435"/>
      <c r="Z761" s="435"/>
      <c r="AA761" s="435"/>
      <c r="AB761" s="435"/>
      <c r="AC761" s="435" t="s">
        <v>965</v>
      </c>
      <c r="AD761" s="435"/>
      <c r="AE761" s="81"/>
      <c r="AF761" s="81"/>
      <c r="AG761" s="81"/>
      <c r="AH761" s="81"/>
      <c r="AI761" s="81"/>
    </row>
    <row r="762" spans="1:35">
      <c r="P762" s="81"/>
      <c r="Q762" s="81"/>
      <c r="R762" s="81"/>
      <c r="S762" s="81"/>
      <c r="T762" s="435"/>
      <c r="U762" s="435"/>
      <c r="V762" s="81"/>
      <c r="W762" s="81"/>
      <c r="X762" s="81"/>
      <c r="Y762" s="435"/>
      <c r="Z762" s="435"/>
      <c r="AA762" s="435"/>
      <c r="AB762" s="435"/>
      <c r="AC762" s="435" t="s">
        <v>965</v>
      </c>
      <c r="AD762" s="435"/>
      <c r="AE762" s="81"/>
      <c r="AF762" s="81"/>
      <c r="AG762" s="81"/>
      <c r="AH762" s="81"/>
      <c r="AI762" s="81"/>
    </row>
    <row r="764" spans="1:35" s="73" customFormat="1" ht="18">
      <c r="A764" s="74" t="s">
        <v>76</v>
      </c>
      <c r="P764" s="113"/>
      <c r="Q764" s="113"/>
    </row>
  </sheetData>
  <mergeCells count="1">
    <mergeCell ref="AE6:AI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rgb="FFFF9900"/>
  </sheetPr>
  <dimension ref="A1:AP159"/>
  <sheetViews>
    <sheetView zoomScale="80" zoomScaleNormal="80" workbookViewId="0">
      <pane ySplit="8" topLeftCell="A9" activePane="bottomLeft" state="frozen"/>
      <selection pane="bottomLeft"/>
    </sheetView>
  </sheetViews>
  <sheetFormatPr defaultRowHeight="14.25"/>
  <cols>
    <col min="1" max="14" width="1.73046875" customWidth="1"/>
    <col min="15" max="15" width="15.1328125" customWidth="1"/>
    <col min="16" max="16" width="26.59765625" bestFit="1" customWidth="1"/>
    <col min="17" max="28" width="1.73046875" hidden="1" customWidth="1"/>
    <col min="29" max="29" width="9.1328125" customWidth="1"/>
    <col min="30" max="30" width="7.73046875" customWidth="1"/>
  </cols>
  <sheetData>
    <row r="1" spans="1:42" s="73" customFormat="1" ht="23.25">
      <c r="A1" s="89" t="str">
        <f>'1.1 Cover'!A2</f>
        <v>Regulatory Reporting Pack</v>
      </c>
    </row>
    <row r="2" spans="1:42" s="73" customFormat="1" ht="23.25">
      <c r="A2" s="89" t="str">
        <f>'1.1 Cover'!A3</f>
        <v>Price base - 2018/19</v>
      </c>
    </row>
    <row r="3" spans="1:42" s="73" customFormat="1" ht="23.25">
      <c r="A3" s="89" t="str">
        <f>'1.1 Cover'!A4</f>
        <v>Regulatory Year: April 2021 - March 2022</v>
      </c>
    </row>
    <row r="4" spans="1:42" s="73" customFormat="1" ht="23.25">
      <c r="A4" s="89" t="s">
        <v>934</v>
      </c>
    </row>
    <row r="6" spans="1:42">
      <c r="AD6" s="435"/>
      <c r="AE6" s="1347" t="s">
        <v>112</v>
      </c>
      <c r="AF6" s="1348"/>
      <c r="AG6" s="1348"/>
      <c r="AH6" s="1348"/>
      <c r="AI6" s="1349"/>
      <c r="AJ6" s="1347" t="s">
        <v>939</v>
      </c>
      <c r="AK6" s="1348"/>
      <c r="AL6" s="1348"/>
      <c r="AM6" s="1348"/>
      <c r="AN6" s="1348"/>
      <c r="AO6" s="1348"/>
      <c r="AP6" s="1349"/>
    </row>
    <row r="7" spans="1:42" s="67" customFormat="1">
      <c r="D7" s="87"/>
      <c r="E7" s="87"/>
      <c r="F7" s="87"/>
      <c r="G7" s="87"/>
      <c r="H7" s="87"/>
      <c r="I7" s="87"/>
      <c r="J7" s="87"/>
      <c r="K7" s="87"/>
      <c r="L7" s="87"/>
      <c r="M7" s="87"/>
      <c r="N7" s="87"/>
      <c r="O7" s="67" t="s">
        <v>940</v>
      </c>
      <c r="P7" s="67" t="s">
        <v>941</v>
      </c>
      <c r="Q7" s="86" t="s">
        <v>100</v>
      </c>
      <c r="R7" s="86" t="s">
        <v>99</v>
      </c>
      <c r="S7" s="86" t="s">
        <v>98</v>
      </c>
      <c r="T7" s="86" t="s">
        <v>97</v>
      </c>
      <c r="U7" s="86" t="s">
        <v>96</v>
      </c>
      <c r="V7" s="86" t="s">
        <v>95</v>
      </c>
      <c r="W7" s="86" t="s">
        <v>94</v>
      </c>
      <c r="X7" s="86" t="s">
        <v>93</v>
      </c>
      <c r="Y7" s="86" t="s">
        <v>92</v>
      </c>
      <c r="Z7" s="86" t="s">
        <v>91</v>
      </c>
      <c r="AA7" s="86" t="s">
        <v>90</v>
      </c>
      <c r="AB7" s="86" t="s">
        <v>89</v>
      </c>
      <c r="AC7" s="67" t="s">
        <v>5</v>
      </c>
      <c r="AD7" s="435"/>
      <c r="AE7" s="84">
        <v>2022</v>
      </c>
      <c r="AF7" s="83">
        <v>2023</v>
      </c>
      <c r="AG7" s="83">
        <v>2024</v>
      </c>
      <c r="AH7" s="83">
        <v>2025</v>
      </c>
      <c r="AI7" s="82">
        <v>2026</v>
      </c>
      <c r="AJ7" s="83">
        <v>2027</v>
      </c>
      <c r="AK7" s="83">
        <v>2028</v>
      </c>
      <c r="AL7" s="83">
        <v>2029</v>
      </c>
      <c r="AM7" s="83">
        <v>2030</v>
      </c>
      <c r="AN7" s="83">
        <v>2031</v>
      </c>
      <c r="AO7" s="83">
        <v>2032</v>
      </c>
      <c r="AP7" s="82">
        <v>2033</v>
      </c>
    </row>
    <row r="8" spans="1:42">
      <c r="O8" s="67"/>
      <c r="P8" s="67"/>
      <c r="Q8" s="67"/>
      <c r="R8" s="67"/>
      <c r="S8" s="67"/>
      <c r="T8" s="67"/>
      <c r="U8" s="67"/>
      <c r="V8" s="67"/>
    </row>
    <row r="9" spans="1:42" s="1" customFormat="1" ht="17.649999999999999">
      <c r="B9" s="2"/>
    </row>
    <row r="11" spans="1:42" s="1" customFormat="1" ht="13.9">
      <c r="A11" s="66"/>
      <c r="B11" s="78" t="s">
        <v>935</v>
      </c>
    </row>
    <row r="13" spans="1:42">
      <c r="O13" s="111"/>
      <c r="P13" t="s">
        <v>883</v>
      </c>
      <c r="AC13" t="s">
        <v>869</v>
      </c>
      <c r="AE13" s="106"/>
      <c r="AF13" s="106"/>
      <c r="AG13" s="106"/>
      <c r="AH13" s="106"/>
      <c r="AI13" s="106"/>
      <c r="AJ13" s="106"/>
      <c r="AK13" s="106"/>
      <c r="AL13" s="106"/>
      <c r="AM13" s="106"/>
      <c r="AN13" s="106"/>
      <c r="AO13" s="106"/>
      <c r="AP13" s="106"/>
    </row>
    <row r="14" spans="1:42">
      <c r="O14" s="112" t="str">
        <f>IF(O13="","",O13)</f>
        <v/>
      </c>
      <c r="P14" t="s">
        <v>884</v>
      </c>
      <c r="V14" s="99"/>
      <c r="AC14" t="s">
        <v>869</v>
      </c>
      <c r="AE14" s="106"/>
      <c r="AF14" s="106"/>
      <c r="AG14" s="106"/>
      <c r="AH14" s="106"/>
      <c r="AI14" s="106"/>
      <c r="AJ14" s="106"/>
      <c r="AK14" s="106"/>
      <c r="AL14" s="106"/>
      <c r="AM14" s="106"/>
      <c r="AN14" s="106"/>
      <c r="AO14" s="106"/>
      <c r="AP14" s="106"/>
    </row>
    <row r="15" spans="1:42">
      <c r="O15" s="112" t="str">
        <f t="shared" ref="O15:O46" si="0">IF(O14="","",O14)</f>
        <v/>
      </c>
      <c r="P15" t="s">
        <v>885</v>
      </c>
      <c r="V15" s="99"/>
      <c r="AC15" t="s">
        <v>869</v>
      </c>
      <c r="AE15" s="106"/>
      <c r="AF15" s="106"/>
      <c r="AG15" s="106"/>
      <c r="AH15" s="106"/>
      <c r="AI15" s="106"/>
      <c r="AJ15" s="106"/>
      <c r="AK15" s="106"/>
      <c r="AL15" s="106"/>
      <c r="AM15" s="106"/>
      <c r="AN15" s="106"/>
      <c r="AO15" s="106"/>
      <c r="AP15" s="106"/>
    </row>
    <row r="16" spans="1:42">
      <c r="O16" s="112" t="str">
        <f t="shared" si="0"/>
        <v/>
      </c>
      <c r="P16" t="s">
        <v>886</v>
      </c>
      <c r="V16" s="99"/>
      <c r="AC16" t="s">
        <v>869</v>
      </c>
      <c r="AE16" s="106"/>
      <c r="AF16" s="106"/>
      <c r="AG16" s="106"/>
      <c r="AH16" s="106"/>
      <c r="AI16" s="106"/>
      <c r="AJ16" s="106"/>
      <c r="AK16" s="106"/>
      <c r="AL16" s="106"/>
      <c r="AM16" s="106"/>
      <c r="AN16" s="106"/>
      <c r="AO16" s="106"/>
      <c r="AP16" s="106"/>
    </row>
    <row r="17" spans="15:42">
      <c r="O17" s="112" t="str">
        <f t="shared" si="0"/>
        <v/>
      </c>
      <c r="P17" t="s">
        <v>887</v>
      </c>
      <c r="V17" s="99"/>
      <c r="AC17" t="s">
        <v>869</v>
      </c>
      <c r="AE17" s="106"/>
      <c r="AF17" s="106"/>
      <c r="AG17" s="106"/>
      <c r="AH17" s="106"/>
      <c r="AI17" s="106"/>
      <c r="AJ17" s="106"/>
      <c r="AK17" s="106"/>
      <c r="AL17" s="106"/>
      <c r="AM17" s="106"/>
      <c r="AN17" s="106"/>
      <c r="AO17" s="106"/>
      <c r="AP17" s="106"/>
    </row>
    <row r="18" spans="15:42">
      <c r="O18" s="112" t="str">
        <f t="shared" si="0"/>
        <v/>
      </c>
      <c r="P18" t="s">
        <v>298</v>
      </c>
      <c r="V18" s="99"/>
      <c r="AC18" t="s">
        <v>869</v>
      </c>
      <c r="AE18" s="106"/>
      <c r="AF18" s="106"/>
      <c r="AG18" s="106"/>
      <c r="AH18" s="106"/>
      <c r="AI18" s="106"/>
      <c r="AJ18" s="106"/>
      <c r="AK18" s="106"/>
      <c r="AL18" s="106"/>
      <c r="AM18" s="106"/>
      <c r="AN18" s="106"/>
      <c r="AO18" s="106"/>
      <c r="AP18" s="106"/>
    </row>
    <row r="19" spans="15:42">
      <c r="O19" s="112" t="str">
        <f t="shared" si="0"/>
        <v/>
      </c>
      <c r="P19" t="s">
        <v>888</v>
      </c>
      <c r="V19" s="99"/>
      <c r="AC19" t="s">
        <v>869</v>
      </c>
      <c r="AE19" s="106"/>
      <c r="AF19" s="106"/>
      <c r="AG19" s="106"/>
      <c r="AH19" s="106"/>
      <c r="AI19" s="106"/>
      <c r="AJ19" s="106"/>
      <c r="AK19" s="106"/>
      <c r="AL19" s="106"/>
      <c r="AM19" s="106"/>
      <c r="AN19" s="106"/>
      <c r="AO19" s="106"/>
      <c r="AP19" s="106"/>
    </row>
    <row r="20" spans="15:42">
      <c r="O20" s="112" t="str">
        <f t="shared" si="0"/>
        <v/>
      </c>
      <c r="P20" t="s">
        <v>889</v>
      </c>
      <c r="V20" s="99"/>
      <c r="AC20" t="s">
        <v>869</v>
      </c>
      <c r="AE20" s="106"/>
      <c r="AF20" s="106"/>
      <c r="AG20" s="106"/>
      <c r="AH20" s="106"/>
      <c r="AI20" s="106"/>
      <c r="AJ20" s="106"/>
      <c r="AK20" s="106"/>
      <c r="AL20" s="106"/>
      <c r="AM20" s="106"/>
      <c r="AN20" s="106"/>
      <c r="AO20" s="106"/>
      <c r="AP20" s="106"/>
    </row>
    <row r="21" spans="15:42">
      <c r="O21" s="112" t="str">
        <f t="shared" si="0"/>
        <v/>
      </c>
      <c r="P21" t="s">
        <v>890</v>
      </c>
      <c r="V21" s="99"/>
      <c r="AC21" t="s">
        <v>869</v>
      </c>
      <c r="AE21" s="106"/>
      <c r="AF21" s="106"/>
      <c r="AG21" s="106"/>
      <c r="AH21" s="106"/>
      <c r="AI21" s="106"/>
      <c r="AJ21" s="106"/>
      <c r="AK21" s="106"/>
      <c r="AL21" s="106"/>
      <c r="AM21" s="106"/>
      <c r="AN21" s="106"/>
      <c r="AO21" s="106"/>
      <c r="AP21" s="106"/>
    </row>
    <row r="22" spans="15:42">
      <c r="O22" s="112" t="str">
        <f t="shared" si="0"/>
        <v/>
      </c>
      <c r="P22" t="s">
        <v>891</v>
      </c>
      <c r="V22" s="99"/>
      <c r="AC22" t="s">
        <v>869</v>
      </c>
      <c r="AE22" s="106"/>
      <c r="AF22" s="106"/>
      <c r="AG22" s="106"/>
      <c r="AH22" s="106"/>
      <c r="AI22" s="106"/>
      <c r="AJ22" s="106"/>
      <c r="AK22" s="106"/>
      <c r="AL22" s="106"/>
      <c r="AM22" s="106"/>
      <c r="AN22" s="106"/>
      <c r="AO22" s="106"/>
      <c r="AP22" s="106"/>
    </row>
    <row r="23" spans="15:42">
      <c r="O23" s="112" t="str">
        <f t="shared" si="0"/>
        <v/>
      </c>
      <c r="P23" t="s">
        <v>892</v>
      </c>
      <c r="V23" s="99"/>
      <c r="AC23" t="s">
        <v>869</v>
      </c>
      <c r="AE23" s="106"/>
      <c r="AF23" s="106"/>
      <c r="AG23" s="106"/>
      <c r="AH23" s="106"/>
      <c r="AI23" s="106"/>
      <c r="AJ23" s="106"/>
      <c r="AK23" s="106"/>
      <c r="AL23" s="106"/>
      <c r="AM23" s="106"/>
      <c r="AN23" s="106"/>
      <c r="AO23" s="106"/>
      <c r="AP23" s="106"/>
    </row>
    <row r="24" spans="15:42">
      <c r="O24" s="112" t="str">
        <f t="shared" si="0"/>
        <v/>
      </c>
      <c r="P24" t="s">
        <v>893</v>
      </c>
      <c r="V24" s="99"/>
      <c r="AC24" t="s">
        <v>869</v>
      </c>
      <c r="AE24" s="106"/>
      <c r="AF24" s="106"/>
      <c r="AG24" s="106"/>
      <c r="AH24" s="106"/>
      <c r="AI24" s="106"/>
      <c r="AJ24" s="106"/>
      <c r="AK24" s="106"/>
      <c r="AL24" s="106"/>
      <c r="AM24" s="106"/>
      <c r="AN24" s="106"/>
      <c r="AO24" s="106"/>
      <c r="AP24" s="106"/>
    </row>
    <row r="25" spans="15:42">
      <c r="O25" s="112" t="str">
        <f t="shared" si="0"/>
        <v/>
      </c>
      <c r="P25" t="s">
        <v>894</v>
      </c>
      <c r="V25" s="99"/>
      <c r="AC25" t="s">
        <v>869</v>
      </c>
      <c r="AE25" s="106"/>
      <c r="AF25" s="106"/>
      <c r="AG25" s="106"/>
      <c r="AH25" s="106"/>
      <c r="AI25" s="106"/>
      <c r="AJ25" s="106"/>
      <c r="AK25" s="106"/>
      <c r="AL25" s="106"/>
      <c r="AM25" s="106"/>
      <c r="AN25" s="106"/>
      <c r="AO25" s="106"/>
      <c r="AP25" s="106"/>
    </row>
    <row r="26" spans="15:42">
      <c r="O26" s="112" t="str">
        <f t="shared" si="0"/>
        <v/>
      </c>
      <c r="P26" t="s">
        <v>895</v>
      </c>
      <c r="V26" s="99"/>
      <c r="AC26" t="s">
        <v>869</v>
      </c>
      <c r="AE26" s="106"/>
      <c r="AF26" s="106"/>
      <c r="AG26" s="106"/>
      <c r="AH26" s="106"/>
      <c r="AI26" s="106"/>
      <c r="AJ26" s="106"/>
      <c r="AK26" s="106"/>
      <c r="AL26" s="106"/>
      <c r="AM26" s="106"/>
      <c r="AN26" s="106"/>
      <c r="AO26" s="106"/>
      <c r="AP26" s="106"/>
    </row>
    <row r="27" spans="15:42">
      <c r="O27" s="112" t="str">
        <f t="shared" si="0"/>
        <v/>
      </c>
      <c r="P27" t="s">
        <v>896</v>
      </c>
      <c r="V27" s="99"/>
      <c r="AC27" t="s">
        <v>869</v>
      </c>
      <c r="AE27" s="106"/>
      <c r="AF27" s="106"/>
      <c r="AG27" s="106"/>
      <c r="AH27" s="106"/>
      <c r="AI27" s="106"/>
      <c r="AJ27" s="106"/>
      <c r="AK27" s="106"/>
      <c r="AL27" s="106"/>
      <c r="AM27" s="106"/>
      <c r="AN27" s="106"/>
      <c r="AO27" s="106"/>
      <c r="AP27" s="106"/>
    </row>
    <row r="28" spans="15:42">
      <c r="O28" s="112" t="str">
        <f t="shared" si="0"/>
        <v/>
      </c>
      <c r="P28" t="s">
        <v>897</v>
      </c>
      <c r="V28" s="99"/>
      <c r="AC28" t="s">
        <v>869</v>
      </c>
      <c r="AE28" s="106"/>
      <c r="AF28" s="106"/>
      <c r="AG28" s="106"/>
      <c r="AH28" s="106"/>
      <c r="AI28" s="106"/>
      <c r="AJ28" s="106"/>
      <c r="AK28" s="106"/>
      <c r="AL28" s="106"/>
      <c r="AM28" s="106"/>
      <c r="AN28" s="106"/>
      <c r="AO28" s="106"/>
      <c r="AP28" s="106"/>
    </row>
    <row r="29" spans="15:42">
      <c r="O29" s="112" t="str">
        <f t="shared" si="0"/>
        <v/>
      </c>
      <c r="P29" t="s">
        <v>898</v>
      </c>
      <c r="V29" s="99"/>
      <c r="AC29" t="s">
        <v>869</v>
      </c>
      <c r="AE29" s="106"/>
      <c r="AF29" s="106"/>
      <c r="AG29" s="106"/>
      <c r="AH29" s="106"/>
      <c r="AI29" s="106"/>
      <c r="AJ29" s="106"/>
      <c r="AK29" s="106"/>
      <c r="AL29" s="106"/>
      <c r="AM29" s="106"/>
      <c r="AN29" s="106"/>
      <c r="AO29" s="106"/>
      <c r="AP29" s="106"/>
    </row>
    <row r="30" spans="15:42">
      <c r="O30" s="112" t="str">
        <f t="shared" si="0"/>
        <v/>
      </c>
      <c r="P30" t="s">
        <v>899</v>
      </c>
      <c r="V30" s="99"/>
      <c r="AC30" t="s">
        <v>869</v>
      </c>
      <c r="AE30" s="106"/>
      <c r="AF30" s="106"/>
      <c r="AG30" s="106"/>
      <c r="AH30" s="106"/>
      <c r="AI30" s="106"/>
      <c r="AJ30" s="106"/>
      <c r="AK30" s="106"/>
      <c r="AL30" s="106"/>
      <c r="AM30" s="106"/>
      <c r="AN30" s="106"/>
      <c r="AO30" s="106"/>
      <c r="AP30" s="106"/>
    </row>
    <row r="31" spans="15:42">
      <c r="O31" s="112" t="str">
        <f t="shared" si="0"/>
        <v/>
      </c>
      <c r="P31" t="s">
        <v>900</v>
      </c>
      <c r="V31" s="99"/>
      <c r="AC31" t="s">
        <v>869</v>
      </c>
      <c r="AE31" s="106"/>
      <c r="AF31" s="106"/>
      <c r="AG31" s="106"/>
      <c r="AH31" s="106"/>
      <c r="AI31" s="106"/>
      <c r="AJ31" s="106"/>
      <c r="AK31" s="106"/>
      <c r="AL31" s="106"/>
      <c r="AM31" s="106"/>
      <c r="AN31" s="106"/>
      <c r="AO31" s="106"/>
      <c r="AP31" s="106"/>
    </row>
    <row r="32" spans="15:42">
      <c r="O32" s="112" t="str">
        <f t="shared" si="0"/>
        <v/>
      </c>
      <c r="P32" t="s">
        <v>901</v>
      </c>
      <c r="V32" s="99"/>
      <c r="AC32" t="s">
        <v>869</v>
      </c>
      <c r="AE32" s="106"/>
      <c r="AF32" s="106"/>
      <c r="AG32" s="106"/>
      <c r="AH32" s="106"/>
      <c r="AI32" s="106"/>
      <c r="AJ32" s="106"/>
      <c r="AK32" s="106"/>
      <c r="AL32" s="106"/>
      <c r="AM32" s="106"/>
      <c r="AN32" s="106"/>
      <c r="AO32" s="106"/>
      <c r="AP32" s="106"/>
    </row>
    <row r="33" spans="1:42">
      <c r="O33" s="112" t="str">
        <f t="shared" si="0"/>
        <v/>
      </c>
      <c r="P33" t="s">
        <v>902</v>
      </c>
      <c r="V33" s="99"/>
      <c r="AC33" t="s">
        <v>869</v>
      </c>
      <c r="AE33" s="106"/>
      <c r="AF33" s="106"/>
      <c r="AG33" s="106"/>
      <c r="AH33" s="106"/>
      <c r="AI33" s="106"/>
      <c r="AJ33" s="106"/>
      <c r="AK33" s="106"/>
      <c r="AL33" s="106"/>
      <c r="AM33" s="106"/>
      <c r="AN33" s="106"/>
      <c r="AO33" s="106"/>
      <c r="AP33" s="106"/>
    </row>
    <row r="34" spans="1:42">
      <c r="O34" s="112" t="str">
        <f t="shared" si="0"/>
        <v/>
      </c>
      <c r="P34" t="s">
        <v>903</v>
      </c>
      <c r="V34" s="99"/>
      <c r="AC34" t="s">
        <v>869</v>
      </c>
      <c r="AE34" s="106"/>
      <c r="AF34" s="106"/>
      <c r="AG34" s="106"/>
      <c r="AH34" s="106"/>
      <c r="AI34" s="106"/>
      <c r="AJ34" s="106"/>
      <c r="AK34" s="106"/>
      <c r="AL34" s="106"/>
      <c r="AM34" s="106"/>
      <c r="AN34" s="106"/>
      <c r="AO34" s="106"/>
      <c r="AP34" s="106"/>
    </row>
    <row r="35" spans="1:42">
      <c r="O35" s="112" t="str">
        <f t="shared" si="0"/>
        <v/>
      </c>
      <c r="P35" t="s">
        <v>904</v>
      </c>
      <c r="V35" s="99"/>
      <c r="AC35" t="s">
        <v>869</v>
      </c>
      <c r="AE35" s="106"/>
      <c r="AF35" s="106"/>
      <c r="AG35" s="106"/>
      <c r="AH35" s="106"/>
      <c r="AI35" s="106"/>
      <c r="AJ35" s="106"/>
      <c r="AK35" s="106"/>
      <c r="AL35" s="106"/>
      <c r="AM35" s="106"/>
      <c r="AN35" s="106"/>
      <c r="AO35" s="106"/>
      <c r="AP35" s="106"/>
    </row>
    <row r="36" spans="1:42">
      <c r="O36" s="112" t="str">
        <f t="shared" si="0"/>
        <v/>
      </c>
      <c r="P36" t="s">
        <v>905</v>
      </c>
      <c r="V36" s="99"/>
      <c r="AC36" t="s">
        <v>869</v>
      </c>
      <c r="AE36" s="106"/>
      <c r="AF36" s="106"/>
      <c r="AG36" s="106"/>
      <c r="AH36" s="106"/>
      <c r="AI36" s="106"/>
      <c r="AJ36" s="106"/>
      <c r="AK36" s="106"/>
      <c r="AL36" s="106"/>
      <c r="AM36" s="106"/>
      <c r="AN36" s="106"/>
      <c r="AO36" s="106"/>
      <c r="AP36" s="106"/>
    </row>
    <row r="37" spans="1:42">
      <c r="O37" s="112" t="str">
        <f t="shared" si="0"/>
        <v/>
      </c>
      <c r="P37" t="s">
        <v>906</v>
      </c>
      <c r="V37" s="99"/>
      <c r="AC37" t="s">
        <v>869</v>
      </c>
      <c r="AE37" s="106"/>
      <c r="AF37" s="106"/>
      <c r="AG37" s="106"/>
      <c r="AH37" s="106"/>
      <c r="AI37" s="106"/>
      <c r="AJ37" s="106"/>
      <c r="AK37" s="106"/>
      <c r="AL37" s="106"/>
      <c r="AM37" s="106"/>
      <c r="AN37" s="106"/>
      <c r="AO37" s="106"/>
      <c r="AP37" s="106"/>
    </row>
    <row r="38" spans="1:42">
      <c r="O38" s="112" t="str">
        <f t="shared" si="0"/>
        <v/>
      </c>
      <c r="P38" t="s">
        <v>907</v>
      </c>
      <c r="V38" s="99"/>
      <c r="AC38" t="s">
        <v>869</v>
      </c>
      <c r="AE38" s="106"/>
      <c r="AF38" s="106"/>
      <c r="AG38" s="106"/>
      <c r="AH38" s="106"/>
      <c r="AI38" s="106"/>
      <c r="AJ38" s="106"/>
      <c r="AK38" s="106"/>
      <c r="AL38" s="106"/>
      <c r="AM38" s="106"/>
      <c r="AN38" s="106"/>
      <c r="AO38" s="106"/>
      <c r="AP38" s="106"/>
    </row>
    <row r="39" spans="1:42">
      <c r="O39" s="112" t="str">
        <f t="shared" si="0"/>
        <v/>
      </c>
      <c r="P39" t="s">
        <v>908</v>
      </c>
      <c r="V39" s="99"/>
      <c r="AC39" t="s">
        <v>869</v>
      </c>
      <c r="AE39" s="106"/>
      <c r="AF39" s="106"/>
      <c r="AG39" s="106"/>
      <c r="AH39" s="106"/>
      <c r="AI39" s="106"/>
      <c r="AJ39" s="106"/>
      <c r="AK39" s="106"/>
      <c r="AL39" s="106"/>
      <c r="AM39" s="106"/>
      <c r="AN39" s="106"/>
      <c r="AO39" s="106"/>
      <c r="AP39" s="106"/>
    </row>
    <row r="40" spans="1:42">
      <c r="O40" s="112" t="str">
        <f t="shared" si="0"/>
        <v/>
      </c>
      <c r="P40" t="s">
        <v>909</v>
      </c>
      <c r="V40" s="99"/>
      <c r="AC40" t="s">
        <v>869</v>
      </c>
      <c r="AE40" s="106"/>
      <c r="AF40" s="106"/>
      <c r="AG40" s="106"/>
      <c r="AH40" s="106"/>
      <c r="AI40" s="106"/>
      <c r="AJ40" s="106"/>
      <c r="AK40" s="106"/>
      <c r="AL40" s="106"/>
      <c r="AM40" s="106"/>
      <c r="AN40" s="106"/>
      <c r="AO40" s="106"/>
      <c r="AP40" s="106"/>
    </row>
    <row r="41" spans="1:42">
      <c r="O41" s="112" t="str">
        <f t="shared" si="0"/>
        <v/>
      </c>
      <c r="P41" t="s">
        <v>910</v>
      </c>
      <c r="V41" s="99"/>
      <c r="AC41" t="s">
        <v>869</v>
      </c>
      <c r="AE41" s="106"/>
      <c r="AF41" s="106"/>
      <c r="AG41" s="106"/>
      <c r="AH41" s="106"/>
      <c r="AI41" s="106"/>
      <c r="AJ41" s="106"/>
      <c r="AK41" s="106"/>
      <c r="AL41" s="106"/>
      <c r="AM41" s="106"/>
      <c r="AN41" s="106"/>
      <c r="AO41" s="106"/>
      <c r="AP41" s="106"/>
    </row>
    <row r="42" spans="1:42">
      <c r="O42" s="112" t="str">
        <f t="shared" si="0"/>
        <v/>
      </c>
      <c r="P42" t="s">
        <v>911</v>
      </c>
      <c r="V42" s="99"/>
      <c r="AC42" t="s">
        <v>869</v>
      </c>
      <c r="AE42" s="106"/>
      <c r="AF42" s="106"/>
      <c r="AG42" s="106"/>
      <c r="AH42" s="106"/>
      <c r="AI42" s="106"/>
      <c r="AJ42" s="106"/>
      <c r="AK42" s="106"/>
      <c r="AL42" s="106"/>
      <c r="AM42" s="106"/>
      <c r="AN42" s="106"/>
      <c r="AO42" s="106"/>
      <c r="AP42" s="106"/>
    </row>
    <row r="43" spans="1:42">
      <c r="O43" s="112" t="str">
        <f t="shared" si="0"/>
        <v/>
      </c>
      <c r="P43" t="s">
        <v>912</v>
      </c>
      <c r="AC43" t="s">
        <v>869</v>
      </c>
      <c r="AE43" s="106"/>
      <c r="AF43" s="106"/>
      <c r="AG43" s="106"/>
      <c r="AH43" s="106"/>
      <c r="AI43" s="106"/>
      <c r="AJ43" s="106"/>
      <c r="AK43" s="106"/>
      <c r="AL43" s="106"/>
      <c r="AM43" s="106"/>
      <c r="AN43" s="106"/>
      <c r="AO43" s="106"/>
      <c r="AP43" s="106"/>
    </row>
    <row r="44" spans="1:42">
      <c r="O44" s="112" t="str">
        <f t="shared" si="0"/>
        <v/>
      </c>
      <c r="P44" s="111"/>
      <c r="AC44" t="s">
        <v>869</v>
      </c>
      <c r="AE44" s="110"/>
      <c r="AF44" s="110"/>
      <c r="AG44" s="110"/>
      <c r="AH44" s="110"/>
      <c r="AI44" s="110"/>
      <c r="AJ44" s="110"/>
      <c r="AK44" s="110"/>
      <c r="AL44" s="110"/>
      <c r="AM44" s="110"/>
      <c r="AN44" s="110"/>
      <c r="AO44" s="110"/>
      <c r="AP44" s="110"/>
    </row>
    <row r="45" spans="1:42">
      <c r="O45" s="112" t="str">
        <f t="shared" si="0"/>
        <v/>
      </c>
      <c r="P45" s="111"/>
      <c r="AC45" t="s">
        <v>869</v>
      </c>
      <c r="AE45" s="110"/>
      <c r="AF45" s="110"/>
      <c r="AG45" s="110"/>
      <c r="AH45" s="110"/>
      <c r="AI45" s="110"/>
      <c r="AJ45" s="110"/>
      <c r="AK45" s="110"/>
      <c r="AL45" s="110"/>
      <c r="AM45" s="110"/>
      <c r="AN45" s="110"/>
      <c r="AO45" s="110"/>
      <c r="AP45" s="110"/>
    </row>
    <row r="46" spans="1:42">
      <c r="O46" s="112" t="str">
        <f t="shared" si="0"/>
        <v/>
      </c>
      <c r="P46" s="111"/>
      <c r="AC46" t="s">
        <v>869</v>
      </c>
      <c r="AE46" s="110"/>
      <c r="AF46" s="110"/>
      <c r="AG46" s="110"/>
      <c r="AH46" s="110"/>
      <c r="AI46" s="110"/>
      <c r="AJ46" s="110"/>
      <c r="AK46" s="110"/>
      <c r="AL46" s="110"/>
      <c r="AM46" s="110"/>
      <c r="AN46" s="110"/>
      <c r="AO46" s="110"/>
      <c r="AP46" s="110"/>
    </row>
    <row r="47" spans="1:42">
      <c r="AE47" s="107"/>
      <c r="AF47" s="107"/>
      <c r="AG47" s="107"/>
      <c r="AH47" s="107"/>
      <c r="AI47" s="107"/>
      <c r="AJ47" s="107"/>
      <c r="AK47" s="107"/>
      <c r="AL47" s="107"/>
      <c r="AM47" s="107"/>
      <c r="AN47" s="107"/>
      <c r="AO47" s="107"/>
      <c r="AP47" s="107"/>
    </row>
    <row r="48" spans="1:42" s="1" customFormat="1" ht="13.9">
      <c r="A48" s="66"/>
      <c r="B48" s="78" t="s">
        <v>936</v>
      </c>
    </row>
    <row r="50" spans="15:42">
      <c r="O50" s="111"/>
      <c r="P50" t="s">
        <v>883</v>
      </c>
      <c r="AC50" t="s">
        <v>869</v>
      </c>
      <c r="AE50" s="106"/>
      <c r="AF50" s="106"/>
      <c r="AG50" s="106"/>
      <c r="AH50" s="106"/>
      <c r="AI50" s="106"/>
      <c r="AJ50" s="106"/>
      <c r="AK50" s="106"/>
      <c r="AL50" s="106"/>
      <c r="AM50" s="106"/>
      <c r="AN50" s="106"/>
      <c r="AO50" s="106"/>
      <c r="AP50" s="106"/>
    </row>
    <row r="51" spans="15:42">
      <c r="O51" s="112" t="str">
        <f>IF(O50="","",O50)</f>
        <v/>
      </c>
      <c r="P51" t="s">
        <v>884</v>
      </c>
      <c r="V51" s="99"/>
      <c r="AC51" t="s">
        <v>869</v>
      </c>
      <c r="AE51" s="106"/>
      <c r="AF51" s="106"/>
      <c r="AG51" s="106"/>
      <c r="AH51" s="106"/>
      <c r="AI51" s="106"/>
      <c r="AJ51" s="106"/>
      <c r="AK51" s="106"/>
      <c r="AL51" s="106"/>
      <c r="AM51" s="106"/>
      <c r="AN51" s="106"/>
      <c r="AO51" s="106"/>
      <c r="AP51" s="106"/>
    </row>
    <row r="52" spans="15:42">
      <c r="O52" s="112" t="str">
        <f t="shared" ref="O52:O83" si="1">IF(O51="","",O51)</f>
        <v/>
      </c>
      <c r="P52" t="s">
        <v>885</v>
      </c>
      <c r="V52" s="99"/>
      <c r="AC52" t="s">
        <v>869</v>
      </c>
      <c r="AE52" s="106"/>
      <c r="AF52" s="106"/>
      <c r="AG52" s="106"/>
      <c r="AH52" s="106"/>
      <c r="AI52" s="106"/>
      <c r="AJ52" s="106"/>
      <c r="AK52" s="106"/>
      <c r="AL52" s="106"/>
      <c r="AM52" s="106"/>
      <c r="AN52" s="106"/>
      <c r="AO52" s="106"/>
      <c r="AP52" s="106"/>
    </row>
    <row r="53" spans="15:42">
      <c r="O53" s="112" t="str">
        <f t="shared" si="1"/>
        <v/>
      </c>
      <c r="P53" t="s">
        <v>886</v>
      </c>
      <c r="V53" s="99"/>
      <c r="AC53" t="s">
        <v>869</v>
      </c>
      <c r="AE53" s="106"/>
      <c r="AF53" s="106"/>
      <c r="AG53" s="106"/>
      <c r="AH53" s="106"/>
      <c r="AI53" s="106"/>
      <c r="AJ53" s="106"/>
      <c r="AK53" s="106"/>
      <c r="AL53" s="106"/>
      <c r="AM53" s="106"/>
      <c r="AN53" s="106"/>
      <c r="AO53" s="106"/>
      <c r="AP53" s="106"/>
    </row>
    <row r="54" spans="15:42">
      <c r="O54" s="112" t="str">
        <f t="shared" si="1"/>
        <v/>
      </c>
      <c r="P54" t="s">
        <v>887</v>
      </c>
      <c r="V54" s="99"/>
      <c r="AC54" t="s">
        <v>869</v>
      </c>
      <c r="AE54" s="106"/>
      <c r="AF54" s="106"/>
      <c r="AG54" s="106"/>
      <c r="AH54" s="106"/>
      <c r="AI54" s="106"/>
      <c r="AJ54" s="106"/>
      <c r="AK54" s="106"/>
      <c r="AL54" s="106"/>
      <c r="AM54" s="106"/>
      <c r="AN54" s="106"/>
      <c r="AO54" s="106"/>
      <c r="AP54" s="106"/>
    </row>
    <row r="55" spans="15:42">
      <c r="O55" s="112" t="str">
        <f t="shared" si="1"/>
        <v/>
      </c>
      <c r="P55" t="s">
        <v>298</v>
      </c>
      <c r="V55" s="99"/>
      <c r="AC55" t="s">
        <v>869</v>
      </c>
      <c r="AE55" s="106"/>
      <c r="AF55" s="106"/>
      <c r="AG55" s="106"/>
      <c r="AH55" s="106"/>
      <c r="AI55" s="106"/>
      <c r="AJ55" s="106"/>
      <c r="AK55" s="106"/>
      <c r="AL55" s="106"/>
      <c r="AM55" s="106"/>
      <c r="AN55" s="106"/>
      <c r="AO55" s="106"/>
      <c r="AP55" s="106"/>
    </row>
    <row r="56" spans="15:42">
      <c r="O56" s="112" t="str">
        <f t="shared" si="1"/>
        <v/>
      </c>
      <c r="P56" t="s">
        <v>888</v>
      </c>
      <c r="V56" s="99"/>
      <c r="AC56" t="s">
        <v>869</v>
      </c>
      <c r="AE56" s="106"/>
      <c r="AF56" s="106"/>
      <c r="AG56" s="106"/>
      <c r="AH56" s="106"/>
      <c r="AI56" s="106"/>
      <c r="AJ56" s="106"/>
      <c r="AK56" s="106"/>
      <c r="AL56" s="106"/>
      <c r="AM56" s="106"/>
      <c r="AN56" s="106"/>
      <c r="AO56" s="106"/>
      <c r="AP56" s="106"/>
    </row>
    <row r="57" spans="15:42">
      <c r="O57" s="112" t="str">
        <f t="shared" si="1"/>
        <v/>
      </c>
      <c r="P57" t="s">
        <v>889</v>
      </c>
      <c r="V57" s="99"/>
      <c r="AC57" t="s">
        <v>869</v>
      </c>
      <c r="AE57" s="106"/>
      <c r="AF57" s="106"/>
      <c r="AG57" s="106"/>
      <c r="AH57" s="106"/>
      <c r="AI57" s="106"/>
      <c r="AJ57" s="106"/>
      <c r="AK57" s="106"/>
      <c r="AL57" s="106"/>
      <c r="AM57" s="106"/>
      <c r="AN57" s="106"/>
      <c r="AO57" s="106"/>
      <c r="AP57" s="106"/>
    </row>
    <row r="58" spans="15:42">
      <c r="O58" s="112" t="str">
        <f t="shared" si="1"/>
        <v/>
      </c>
      <c r="P58" t="s">
        <v>890</v>
      </c>
      <c r="V58" s="99"/>
      <c r="AC58" t="s">
        <v>869</v>
      </c>
      <c r="AE58" s="106"/>
      <c r="AF58" s="106"/>
      <c r="AG58" s="106"/>
      <c r="AH58" s="106"/>
      <c r="AI58" s="106"/>
      <c r="AJ58" s="106"/>
      <c r="AK58" s="106"/>
      <c r="AL58" s="106"/>
      <c r="AM58" s="106"/>
      <c r="AN58" s="106"/>
      <c r="AO58" s="106"/>
      <c r="AP58" s="106"/>
    </row>
    <row r="59" spans="15:42">
      <c r="O59" s="112" t="str">
        <f t="shared" si="1"/>
        <v/>
      </c>
      <c r="P59" t="s">
        <v>891</v>
      </c>
      <c r="V59" s="99"/>
      <c r="AC59" t="s">
        <v>869</v>
      </c>
      <c r="AE59" s="106"/>
      <c r="AF59" s="106"/>
      <c r="AG59" s="106"/>
      <c r="AH59" s="106"/>
      <c r="AI59" s="106"/>
      <c r="AJ59" s="106"/>
      <c r="AK59" s="106"/>
      <c r="AL59" s="106"/>
      <c r="AM59" s="106"/>
      <c r="AN59" s="106"/>
      <c r="AO59" s="106"/>
      <c r="AP59" s="106"/>
    </row>
    <row r="60" spans="15:42">
      <c r="O60" s="112" t="str">
        <f t="shared" si="1"/>
        <v/>
      </c>
      <c r="P60" t="s">
        <v>892</v>
      </c>
      <c r="V60" s="99"/>
      <c r="AC60" t="s">
        <v>869</v>
      </c>
      <c r="AE60" s="106"/>
      <c r="AF60" s="106"/>
      <c r="AG60" s="106"/>
      <c r="AH60" s="106"/>
      <c r="AI60" s="106"/>
      <c r="AJ60" s="106"/>
      <c r="AK60" s="106"/>
      <c r="AL60" s="106"/>
      <c r="AM60" s="106"/>
      <c r="AN60" s="106"/>
      <c r="AO60" s="106"/>
      <c r="AP60" s="106"/>
    </row>
    <row r="61" spans="15:42">
      <c r="O61" s="112" t="str">
        <f t="shared" si="1"/>
        <v/>
      </c>
      <c r="P61" t="s">
        <v>893</v>
      </c>
      <c r="V61" s="99"/>
      <c r="AC61" t="s">
        <v>869</v>
      </c>
      <c r="AE61" s="106"/>
      <c r="AF61" s="106"/>
      <c r="AG61" s="106"/>
      <c r="AH61" s="106"/>
      <c r="AI61" s="106"/>
      <c r="AJ61" s="106"/>
      <c r="AK61" s="106"/>
      <c r="AL61" s="106"/>
      <c r="AM61" s="106"/>
      <c r="AN61" s="106"/>
      <c r="AO61" s="106"/>
      <c r="AP61" s="106"/>
    </row>
    <row r="62" spans="15:42">
      <c r="O62" s="112" t="str">
        <f t="shared" si="1"/>
        <v/>
      </c>
      <c r="P62" t="s">
        <v>894</v>
      </c>
      <c r="V62" s="99"/>
      <c r="AC62" t="s">
        <v>869</v>
      </c>
      <c r="AE62" s="106"/>
      <c r="AF62" s="106"/>
      <c r="AG62" s="106"/>
      <c r="AH62" s="106"/>
      <c r="AI62" s="106"/>
      <c r="AJ62" s="106"/>
      <c r="AK62" s="106"/>
      <c r="AL62" s="106"/>
      <c r="AM62" s="106"/>
      <c r="AN62" s="106"/>
      <c r="AO62" s="106"/>
      <c r="AP62" s="106"/>
    </row>
    <row r="63" spans="15:42">
      <c r="O63" s="112" t="str">
        <f t="shared" si="1"/>
        <v/>
      </c>
      <c r="P63" t="s">
        <v>895</v>
      </c>
      <c r="V63" s="99"/>
      <c r="AC63" t="s">
        <v>869</v>
      </c>
      <c r="AE63" s="106"/>
      <c r="AF63" s="106"/>
      <c r="AG63" s="106"/>
      <c r="AH63" s="106"/>
      <c r="AI63" s="106"/>
      <c r="AJ63" s="106"/>
      <c r="AK63" s="106"/>
      <c r="AL63" s="106"/>
      <c r="AM63" s="106"/>
      <c r="AN63" s="106"/>
      <c r="AO63" s="106"/>
      <c r="AP63" s="106"/>
    </row>
    <row r="64" spans="15:42">
      <c r="O64" s="112" t="str">
        <f t="shared" si="1"/>
        <v/>
      </c>
      <c r="P64" t="s">
        <v>896</v>
      </c>
      <c r="V64" s="99"/>
      <c r="AC64" t="s">
        <v>869</v>
      </c>
      <c r="AE64" s="106"/>
      <c r="AF64" s="106"/>
      <c r="AG64" s="106"/>
      <c r="AH64" s="106"/>
      <c r="AI64" s="106"/>
      <c r="AJ64" s="106"/>
      <c r="AK64" s="106"/>
      <c r="AL64" s="106"/>
      <c r="AM64" s="106"/>
      <c r="AN64" s="106"/>
      <c r="AO64" s="106"/>
      <c r="AP64" s="106"/>
    </row>
    <row r="65" spans="15:42">
      <c r="O65" s="112" t="str">
        <f t="shared" si="1"/>
        <v/>
      </c>
      <c r="P65" t="s">
        <v>897</v>
      </c>
      <c r="V65" s="99"/>
      <c r="AC65" t="s">
        <v>869</v>
      </c>
      <c r="AE65" s="106"/>
      <c r="AF65" s="106"/>
      <c r="AG65" s="106"/>
      <c r="AH65" s="106"/>
      <c r="AI65" s="106"/>
      <c r="AJ65" s="106"/>
      <c r="AK65" s="106"/>
      <c r="AL65" s="106"/>
      <c r="AM65" s="106"/>
      <c r="AN65" s="106"/>
      <c r="AO65" s="106"/>
      <c r="AP65" s="106"/>
    </row>
    <row r="66" spans="15:42">
      <c r="O66" s="112" t="str">
        <f t="shared" si="1"/>
        <v/>
      </c>
      <c r="P66" t="s">
        <v>898</v>
      </c>
      <c r="V66" s="99"/>
      <c r="AC66" t="s">
        <v>869</v>
      </c>
      <c r="AE66" s="106"/>
      <c r="AF66" s="106"/>
      <c r="AG66" s="106"/>
      <c r="AH66" s="106"/>
      <c r="AI66" s="106"/>
      <c r="AJ66" s="106"/>
      <c r="AK66" s="106"/>
      <c r="AL66" s="106"/>
      <c r="AM66" s="106"/>
      <c r="AN66" s="106"/>
      <c r="AO66" s="106"/>
      <c r="AP66" s="106"/>
    </row>
    <row r="67" spans="15:42">
      <c r="O67" s="112" t="str">
        <f t="shared" si="1"/>
        <v/>
      </c>
      <c r="P67" t="s">
        <v>899</v>
      </c>
      <c r="V67" s="99"/>
      <c r="AC67" t="s">
        <v>869</v>
      </c>
      <c r="AE67" s="106"/>
      <c r="AF67" s="106"/>
      <c r="AG67" s="106"/>
      <c r="AH67" s="106"/>
      <c r="AI67" s="106"/>
      <c r="AJ67" s="106"/>
      <c r="AK67" s="106"/>
      <c r="AL67" s="106"/>
      <c r="AM67" s="106"/>
      <c r="AN67" s="106"/>
      <c r="AO67" s="106"/>
      <c r="AP67" s="106"/>
    </row>
    <row r="68" spans="15:42">
      <c r="O68" s="112" t="str">
        <f t="shared" si="1"/>
        <v/>
      </c>
      <c r="P68" t="s">
        <v>900</v>
      </c>
      <c r="V68" s="99"/>
      <c r="AC68" t="s">
        <v>869</v>
      </c>
      <c r="AE68" s="106"/>
      <c r="AF68" s="106"/>
      <c r="AG68" s="106"/>
      <c r="AH68" s="106"/>
      <c r="AI68" s="106"/>
      <c r="AJ68" s="106"/>
      <c r="AK68" s="106"/>
      <c r="AL68" s="106"/>
      <c r="AM68" s="106"/>
      <c r="AN68" s="106"/>
      <c r="AO68" s="106"/>
      <c r="AP68" s="106"/>
    </row>
    <row r="69" spans="15:42">
      <c r="O69" s="112" t="str">
        <f t="shared" si="1"/>
        <v/>
      </c>
      <c r="P69" t="s">
        <v>901</v>
      </c>
      <c r="V69" s="99"/>
      <c r="AC69" t="s">
        <v>869</v>
      </c>
      <c r="AE69" s="106"/>
      <c r="AF69" s="106"/>
      <c r="AG69" s="106"/>
      <c r="AH69" s="106"/>
      <c r="AI69" s="106"/>
      <c r="AJ69" s="106"/>
      <c r="AK69" s="106"/>
      <c r="AL69" s="106"/>
      <c r="AM69" s="106"/>
      <c r="AN69" s="106"/>
      <c r="AO69" s="106"/>
      <c r="AP69" s="106"/>
    </row>
    <row r="70" spans="15:42">
      <c r="O70" s="112" t="str">
        <f t="shared" si="1"/>
        <v/>
      </c>
      <c r="P70" t="s">
        <v>902</v>
      </c>
      <c r="V70" s="99"/>
      <c r="AC70" t="s">
        <v>869</v>
      </c>
      <c r="AE70" s="106"/>
      <c r="AF70" s="106"/>
      <c r="AG70" s="106"/>
      <c r="AH70" s="106"/>
      <c r="AI70" s="106"/>
      <c r="AJ70" s="106"/>
      <c r="AK70" s="106"/>
      <c r="AL70" s="106"/>
      <c r="AM70" s="106"/>
      <c r="AN70" s="106"/>
      <c r="AO70" s="106"/>
      <c r="AP70" s="106"/>
    </row>
    <row r="71" spans="15:42">
      <c r="O71" s="112" t="str">
        <f t="shared" si="1"/>
        <v/>
      </c>
      <c r="P71" t="s">
        <v>903</v>
      </c>
      <c r="V71" s="99"/>
      <c r="AC71" t="s">
        <v>869</v>
      </c>
      <c r="AE71" s="106"/>
      <c r="AF71" s="106"/>
      <c r="AG71" s="106"/>
      <c r="AH71" s="106"/>
      <c r="AI71" s="106"/>
      <c r="AJ71" s="106"/>
      <c r="AK71" s="106"/>
      <c r="AL71" s="106"/>
      <c r="AM71" s="106"/>
      <c r="AN71" s="106"/>
      <c r="AO71" s="106"/>
      <c r="AP71" s="106"/>
    </row>
    <row r="72" spans="15:42">
      <c r="O72" s="112" t="str">
        <f t="shared" si="1"/>
        <v/>
      </c>
      <c r="P72" t="s">
        <v>904</v>
      </c>
      <c r="V72" s="99"/>
      <c r="AC72" t="s">
        <v>869</v>
      </c>
      <c r="AE72" s="106"/>
      <c r="AF72" s="106"/>
      <c r="AG72" s="106"/>
      <c r="AH72" s="106"/>
      <c r="AI72" s="106"/>
      <c r="AJ72" s="106"/>
      <c r="AK72" s="106"/>
      <c r="AL72" s="106"/>
      <c r="AM72" s="106"/>
      <c r="AN72" s="106"/>
      <c r="AO72" s="106"/>
      <c r="AP72" s="106"/>
    </row>
    <row r="73" spans="15:42">
      <c r="O73" s="112" t="str">
        <f t="shared" si="1"/>
        <v/>
      </c>
      <c r="P73" t="s">
        <v>905</v>
      </c>
      <c r="V73" s="99"/>
      <c r="AC73" t="s">
        <v>869</v>
      </c>
      <c r="AE73" s="106"/>
      <c r="AF73" s="106"/>
      <c r="AG73" s="106"/>
      <c r="AH73" s="106"/>
      <c r="AI73" s="106"/>
      <c r="AJ73" s="106"/>
      <c r="AK73" s="106"/>
      <c r="AL73" s="106"/>
      <c r="AM73" s="106"/>
      <c r="AN73" s="106"/>
      <c r="AO73" s="106"/>
      <c r="AP73" s="106"/>
    </row>
    <row r="74" spans="15:42">
      <c r="O74" s="112" t="str">
        <f t="shared" si="1"/>
        <v/>
      </c>
      <c r="P74" t="s">
        <v>906</v>
      </c>
      <c r="V74" s="99"/>
      <c r="AC74" t="s">
        <v>869</v>
      </c>
      <c r="AE74" s="106"/>
      <c r="AF74" s="106"/>
      <c r="AG74" s="106"/>
      <c r="AH74" s="106"/>
      <c r="AI74" s="106"/>
      <c r="AJ74" s="106"/>
      <c r="AK74" s="106"/>
      <c r="AL74" s="106"/>
      <c r="AM74" s="106"/>
      <c r="AN74" s="106"/>
      <c r="AO74" s="106"/>
      <c r="AP74" s="106"/>
    </row>
    <row r="75" spans="15:42">
      <c r="O75" s="112" t="str">
        <f t="shared" si="1"/>
        <v/>
      </c>
      <c r="P75" t="s">
        <v>907</v>
      </c>
      <c r="V75" s="99"/>
      <c r="AC75" t="s">
        <v>869</v>
      </c>
      <c r="AE75" s="106"/>
      <c r="AF75" s="106"/>
      <c r="AG75" s="106"/>
      <c r="AH75" s="106"/>
      <c r="AI75" s="106"/>
      <c r="AJ75" s="106"/>
      <c r="AK75" s="106"/>
      <c r="AL75" s="106"/>
      <c r="AM75" s="106"/>
      <c r="AN75" s="106"/>
      <c r="AO75" s="106"/>
      <c r="AP75" s="106"/>
    </row>
    <row r="76" spans="15:42">
      <c r="O76" s="112" t="str">
        <f t="shared" si="1"/>
        <v/>
      </c>
      <c r="P76" t="s">
        <v>908</v>
      </c>
      <c r="V76" s="99"/>
      <c r="AC76" t="s">
        <v>869</v>
      </c>
      <c r="AE76" s="106"/>
      <c r="AF76" s="106"/>
      <c r="AG76" s="106"/>
      <c r="AH76" s="106"/>
      <c r="AI76" s="106"/>
      <c r="AJ76" s="106"/>
      <c r="AK76" s="106"/>
      <c r="AL76" s="106"/>
      <c r="AM76" s="106"/>
      <c r="AN76" s="106"/>
      <c r="AO76" s="106"/>
      <c r="AP76" s="106"/>
    </row>
    <row r="77" spans="15:42">
      <c r="O77" s="112" t="str">
        <f t="shared" si="1"/>
        <v/>
      </c>
      <c r="P77" t="s">
        <v>909</v>
      </c>
      <c r="V77" s="99"/>
      <c r="AC77" t="s">
        <v>869</v>
      </c>
      <c r="AE77" s="106"/>
      <c r="AF77" s="106"/>
      <c r="AG77" s="106"/>
      <c r="AH77" s="106"/>
      <c r="AI77" s="106"/>
      <c r="AJ77" s="106"/>
      <c r="AK77" s="106"/>
      <c r="AL77" s="106"/>
      <c r="AM77" s="106"/>
      <c r="AN77" s="106"/>
      <c r="AO77" s="106"/>
      <c r="AP77" s="106"/>
    </row>
    <row r="78" spans="15:42">
      <c r="O78" s="112" t="str">
        <f t="shared" si="1"/>
        <v/>
      </c>
      <c r="P78" t="s">
        <v>910</v>
      </c>
      <c r="V78" s="99"/>
      <c r="AC78" t="s">
        <v>869</v>
      </c>
      <c r="AE78" s="106"/>
      <c r="AF78" s="106"/>
      <c r="AG78" s="106"/>
      <c r="AH78" s="106"/>
      <c r="AI78" s="106"/>
      <c r="AJ78" s="106"/>
      <c r="AK78" s="106"/>
      <c r="AL78" s="106"/>
      <c r="AM78" s="106"/>
      <c r="AN78" s="106"/>
      <c r="AO78" s="106"/>
      <c r="AP78" s="106"/>
    </row>
    <row r="79" spans="15:42">
      <c r="O79" s="112" t="str">
        <f t="shared" si="1"/>
        <v/>
      </c>
      <c r="P79" t="s">
        <v>911</v>
      </c>
      <c r="V79" s="99"/>
      <c r="AC79" t="s">
        <v>869</v>
      </c>
      <c r="AE79" s="106"/>
      <c r="AF79" s="106"/>
      <c r="AG79" s="106"/>
      <c r="AH79" s="106"/>
      <c r="AI79" s="106"/>
      <c r="AJ79" s="106"/>
      <c r="AK79" s="106"/>
      <c r="AL79" s="106"/>
      <c r="AM79" s="106"/>
      <c r="AN79" s="106"/>
      <c r="AO79" s="106"/>
      <c r="AP79" s="106"/>
    </row>
    <row r="80" spans="15:42">
      <c r="O80" s="112" t="str">
        <f t="shared" si="1"/>
        <v/>
      </c>
      <c r="P80" t="s">
        <v>912</v>
      </c>
      <c r="AC80" t="s">
        <v>869</v>
      </c>
      <c r="AE80" s="106"/>
      <c r="AF80" s="106"/>
      <c r="AG80" s="106"/>
      <c r="AH80" s="106"/>
      <c r="AI80" s="106"/>
      <c r="AJ80" s="106"/>
      <c r="AK80" s="106"/>
      <c r="AL80" s="106"/>
      <c r="AM80" s="106"/>
      <c r="AN80" s="106"/>
      <c r="AO80" s="106"/>
      <c r="AP80" s="106"/>
    </row>
    <row r="81" spans="1:42">
      <c r="O81" s="112" t="str">
        <f t="shared" si="1"/>
        <v/>
      </c>
      <c r="P81" s="112" t="str">
        <f>IF(P44="","",P44)</f>
        <v/>
      </c>
      <c r="AC81" t="s">
        <v>869</v>
      </c>
      <c r="AE81" s="110"/>
      <c r="AF81" s="110"/>
      <c r="AG81" s="110"/>
      <c r="AH81" s="110"/>
      <c r="AI81" s="110"/>
      <c r="AJ81" s="110"/>
      <c r="AK81" s="110"/>
      <c r="AL81" s="110"/>
      <c r="AM81" s="110"/>
      <c r="AN81" s="110"/>
      <c r="AO81" s="110"/>
      <c r="AP81" s="110"/>
    </row>
    <row r="82" spans="1:42">
      <c r="O82" s="112" t="str">
        <f t="shared" si="1"/>
        <v/>
      </c>
      <c r="P82" s="112" t="str">
        <f>IF(P45="","",P45)</f>
        <v/>
      </c>
      <c r="AC82" t="s">
        <v>869</v>
      </c>
      <c r="AE82" s="110"/>
      <c r="AF82" s="110"/>
      <c r="AG82" s="110"/>
      <c r="AH82" s="110"/>
      <c r="AI82" s="110"/>
      <c r="AJ82" s="110"/>
      <c r="AK82" s="110"/>
      <c r="AL82" s="110"/>
      <c r="AM82" s="110"/>
      <c r="AN82" s="110"/>
      <c r="AO82" s="110"/>
      <c r="AP82" s="110"/>
    </row>
    <row r="83" spans="1:42">
      <c r="O83" s="112" t="str">
        <f t="shared" si="1"/>
        <v/>
      </c>
      <c r="P83" s="112" t="str">
        <f t="shared" ref="P83" si="2">IF(P46="","",P46)</f>
        <v/>
      </c>
      <c r="AC83" t="s">
        <v>869</v>
      </c>
      <c r="AE83" s="110"/>
      <c r="AF83" s="110"/>
      <c r="AG83" s="110"/>
      <c r="AH83" s="110"/>
      <c r="AI83" s="110"/>
      <c r="AJ83" s="110"/>
      <c r="AK83" s="110"/>
      <c r="AL83" s="110"/>
      <c r="AM83" s="110"/>
      <c r="AN83" s="110"/>
      <c r="AO83" s="110"/>
      <c r="AP83" s="110"/>
    </row>
    <row r="84" spans="1:42" s="58" customFormat="1">
      <c r="AE84" s="109"/>
      <c r="AF84" s="109"/>
      <c r="AG84" s="109"/>
      <c r="AH84" s="109"/>
      <c r="AI84" s="109"/>
      <c r="AJ84" s="109"/>
      <c r="AK84" s="109"/>
      <c r="AL84" s="109"/>
      <c r="AM84" s="109"/>
      <c r="AN84" s="109"/>
      <c r="AO84" s="109"/>
      <c r="AP84" s="109"/>
    </row>
    <row r="85" spans="1:42" s="1" customFormat="1" ht="13.9">
      <c r="A85" s="66"/>
      <c r="B85" s="78" t="s">
        <v>937</v>
      </c>
    </row>
    <row r="87" spans="1:42">
      <c r="O87" s="111"/>
      <c r="P87" t="s">
        <v>883</v>
      </c>
      <c r="AC87" t="s">
        <v>869</v>
      </c>
      <c r="AE87" s="106"/>
      <c r="AF87" s="106"/>
      <c r="AG87" s="106"/>
      <c r="AH87" s="106"/>
      <c r="AI87" s="106"/>
      <c r="AJ87" s="106"/>
      <c r="AK87" s="106"/>
      <c r="AL87" s="106"/>
      <c r="AM87" s="106"/>
      <c r="AN87" s="106"/>
      <c r="AO87" s="106"/>
      <c r="AP87" s="106"/>
    </row>
    <row r="88" spans="1:42">
      <c r="O88" s="112" t="str">
        <f>IF(O87="","",O87)</f>
        <v/>
      </c>
      <c r="P88" t="s">
        <v>884</v>
      </c>
      <c r="V88" s="99"/>
      <c r="AC88" t="s">
        <v>869</v>
      </c>
      <c r="AE88" s="106"/>
      <c r="AF88" s="106"/>
      <c r="AG88" s="106"/>
      <c r="AH88" s="106"/>
      <c r="AI88" s="106"/>
      <c r="AJ88" s="106"/>
      <c r="AK88" s="106"/>
      <c r="AL88" s="106"/>
      <c r="AM88" s="106"/>
      <c r="AN88" s="106"/>
      <c r="AO88" s="106"/>
      <c r="AP88" s="106"/>
    </row>
    <row r="89" spans="1:42">
      <c r="O89" s="112" t="str">
        <f t="shared" ref="O89:O120" si="3">IF(O88="","",O88)</f>
        <v/>
      </c>
      <c r="P89" t="s">
        <v>885</v>
      </c>
      <c r="V89" s="99"/>
      <c r="AC89" t="s">
        <v>869</v>
      </c>
      <c r="AE89" s="106"/>
      <c r="AF89" s="106"/>
      <c r="AG89" s="106"/>
      <c r="AH89" s="106"/>
      <c r="AI89" s="106"/>
      <c r="AJ89" s="106"/>
      <c r="AK89" s="106"/>
      <c r="AL89" s="106"/>
      <c r="AM89" s="106"/>
      <c r="AN89" s="106"/>
      <c r="AO89" s="106"/>
      <c r="AP89" s="106"/>
    </row>
    <row r="90" spans="1:42">
      <c r="O90" s="112" t="str">
        <f t="shared" si="3"/>
        <v/>
      </c>
      <c r="P90" t="s">
        <v>886</v>
      </c>
      <c r="V90" s="99"/>
      <c r="AC90" t="s">
        <v>869</v>
      </c>
      <c r="AE90" s="106"/>
      <c r="AF90" s="106"/>
      <c r="AG90" s="106"/>
      <c r="AH90" s="106"/>
      <c r="AI90" s="106"/>
      <c r="AJ90" s="106"/>
      <c r="AK90" s="106"/>
      <c r="AL90" s="106"/>
      <c r="AM90" s="106"/>
      <c r="AN90" s="106"/>
      <c r="AO90" s="106"/>
      <c r="AP90" s="106"/>
    </row>
    <row r="91" spans="1:42">
      <c r="O91" s="112" t="str">
        <f t="shared" si="3"/>
        <v/>
      </c>
      <c r="P91" t="s">
        <v>887</v>
      </c>
      <c r="V91" s="99"/>
      <c r="AC91" t="s">
        <v>869</v>
      </c>
      <c r="AE91" s="106"/>
      <c r="AF91" s="106"/>
      <c r="AG91" s="106"/>
      <c r="AH91" s="106"/>
      <c r="AI91" s="106"/>
      <c r="AJ91" s="106"/>
      <c r="AK91" s="106"/>
      <c r="AL91" s="106"/>
      <c r="AM91" s="106"/>
      <c r="AN91" s="106"/>
      <c r="AO91" s="106"/>
      <c r="AP91" s="106"/>
    </row>
    <row r="92" spans="1:42">
      <c r="O92" s="112" t="str">
        <f t="shared" si="3"/>
        <v/>
      </c>
      <c r="P92" t="s">
        <v>298</v>
      </c>
      <c r="V92" s="99"/>
      <c r="AC92" t="s">
        <v>869</v>
      </c>
      <c r="AE92" s="106"/>
      <c r="AF92" s="106"/>
      <c r="AG92" s="106"/>
      <c r="AH92" s="106"/>
      <c r="AI92" s="106"/>
      <c r="AJ92" s="106"/>
      <c r="AK92" s="106"/>
      <c r="AL92" s="106"/>
      <c r="AM92" s="106"/>
      <c r="AN92" s="106"/>
      <c r="AO92" s="106"/>
      <c r="AP92" s="106"/>
    </row>
    <row r="93" spans="1:42">
      <c r="O93" s="112" t="str">
        <f t="shared" si="3"/>
        <v/>
      </c>
      <c r="P93" t="s">
        <v>888</v>
      </c>
      <c r="V93" s="99"/>
      <c r="AC93" t="s">
        <v>869</v>
      </c>
      <c r="AE93" s="106"/>
      <c r="AF93" s="106"/>
      <c r="AG93" s="106"/>
      <c r="AH93" s="106"/>
      <c r="AI93" s="106"/>
      <c r="AJ93" s="106"/>
      <c r="AK93" s="106"/>
      <c r="AL93" s="106"/>
      <c r="AM93" s="106"/>
      <c r="AN93" s="106"/>
      <c r="AO93" s="106"/>
      <c r="AP93" s="106"/>
    </row>
    <row r="94" spans="1:42">
      <c r="O94" s="112" t="str">
        <f t="shared" si="3"/>
        <v/>
      </c>
      <c r="P94" t="s">
        <v>889</v>
      </c>
      <c r="V94" s="99"/>
      <c r="AC94" t="s">
        <v>869</v>
      </c>
      <c r="AE94" s="106"/>
      <c r="AF94" s="106"/>
      <c r="AG94" s="106"/>
      <c r="AH94" s="106"/>
      <c r="AI94" s="106"/>
      <c r="AJ94" s="106"/>
      <c r="AK94" s="106"/>
      <c r="AL94" s="106"/>
      <c r="AM94" s="106"/>
      <c r="AN94" s="106"/>
      <c r="AO94" s="106"/>
      <c r="AP94" s="106"/>
    </row>
    <row r="95" spans="1:42">
      <c r="O95" s="112" t="str">
        <f t="shared" si="3"/>
        <v/>
      </c>
      <c r="P95" t="s">
        <v>890</v>
      </c>
      <c r="V95" s="99"/>
      <c r="AC95" t="s">
        <v>869</v>
      </c>
      <c r="AE95" s="106"/>
      <c r="AF95" s="106"/>
      <c r="AG95" s="106"/>
      <c r="AH95" s="106"/>
      <c r="AI95" s="106"/>
      <c r="AJ95" s="106"/>
      <c r="AK95" s="106"/>
      <c r="AL95" s="106"/>
      <c r="AM95" s="106"/>
      <c r="AN95" s="106"/>
      <c r="AO95" s="106"/>
      <c r="AP95" s="106"/>
    </row>
    <row r="96" spans="1:42">
      <c r="O96" s="112" t="str">
        <f t="shared" si="3"/>
        <v/>
      </c>
      <c r="P96" t="s">
        <v>891</v>
      </c>
      <c r="V96" s="99"/>
      <c r="AC96" t="s">
        <v>869</v>
      </c>
      <c r="AE96" s="106"/>
      <c r="AF96" s="106"/>
      <c r="AG96" s="106"/>
      <c r="AH96" s="106"/>
      <c r="AI96" s="106"/>
      <c r="AJ96" s="106"/>
      <c r="AK96" s="106"/>
      <c r="AL96" s="106"/>
      <c r="AM96" s="106"/>
      <c r="AN96" s="106"/>
      <c r="AO96" s="106"/>
      <c r="AP96" s="106"/>
    </row>
    <row r="97" spans="15:42">
      <c r="O97" s="112" t="str">
        <f t="shared" si="3"/>
        <v/>
      </c>
      <c r="P97" t="s">
        <v>892</v>
      </c>
      <c r="V97" s="99"/>
      <c r="AC97" t="s">
        <v>869</v>
      </c>
      <c r="AE97" s="106"/>
      <c r="AF97" s="106"/>
      <c r="AG97" s="106"/>
      <c r="AH97" s="106"/>
      <c r="AI97" s="106"/>
      <c r="AJ97" s="106"/>
      <c r="AK97" s="106"/>
      <c r="AL97" s="106"/>
      <c r="AM97" s="106"/>
      <c r="AN97" s="106"/>
      <c r="AO97" s="106"/>
      <c r="AP97" s="106"/>
    </row>
    <row r="98" spans="15:42">
      <c r="O98" s="112" t="str">
        <f t="shared" si="3"/>
        <v/>
      </c>
      <c r="P98" t="s">
        <v>893</v>
      </c>
      <c r="V98" s="99"/>
      <c r="AC98" t="s">
        <v>869</v>
      </c>
      <c r="AE98" s="106"/>
      <c r="AF98" s="106"/>
      <c r="AG98" s="106"/>
      <c r="AH98" s="106"/>
      <c r="AI98" s="106"/>
      <c r="AJ98" s="106"/>
      <c r="AK98" s="106"/>
      <c r="AL98" s="106"/>
      <c r="AM98" s="106"/>
      <c r="AN98" s="106"/>
      <c r="AO98" s="106"/>
      <c r="AP98" s="106"/>
    </row>
    <row r="99" spans="15:42">
      <c r="O99" s="112" t="str">
        <f t="shared" si="3"/>
        <v/>
      </c>
      <c r="P99" t="s">
        <v>894</v>
      </c>
      <c r="V99" s="99"/>
      <c r="AC99" t="s">
        <v>869</v>
      </c>
      <c r="AE99" s="106"/>
      <c r="AF99" s="106"/>
      <c r="AG99" s="106"/>
      <c r="AH99" s="106"/>
      <c r="AI99" s="106"/>
      <c r="AJ99" s="106"/>
      <c r="AK99" s="106"/>
      <c r="AL99" s="106"/>
      <c r="AM99" s="106"/>
      <c r="AN99" s="106"/>
      <c r="AO99" s="106"/>
      <c r="AP99" s="106"/>
    </row>
    <row r="100" spans="15:42">
      <c r="O100" s="112" t="str">
        <f t="shared" si="3"/>
        <v/>
      </c>
      <c r="P100" t="s">
        <v>895</v>
      </c>
      <c r="V100" s="99"/>
      <c r="AC100" t="s">
        <v>869</v>
      </c>
      <c r="AE100" s="106"/>
      <c r="AF100" s="106"/>
      <c r="AG100" s="106"/>
      <c r="AH100" s="106"/>
      <c r="AI100" s="106"/>
      <c r="AJ100" s="106"/>
      <c r="AK100" s="106"/>
      <c r="AL100" s="106"/>
      <c r="AM100" s="106"/>
      <c r="AN100" s="106"/>
      <c r="AO100" s="106"/>
      <c r="AP100" s="106"/>
    </row>
    <row r="101" spans="15:42">
      <c r="O101" s="112" t="str">
        <f t="shared" si="3"/>
        <v/>
      </c>
      <c r="P101" t="s">
        <v>896</v>
      </c>
      <c r="V101" s="99"/>
      <c r="AC101" t="s">
        <v>869</v>
      </c>
      <c r="AE101" s="106"/>
      <c r="AF101" s="106"/>
      <c r="AG101" s="106"/>
      <c r="AH101" s="106"/>
      <c r="AI101" s="106"/>
      <c r="AJ101" s="106"/>
      <c r="AK101" s="106"/>
      <c r="AL101" s="106"/>
      <c r="AM101" s="106"/>
      <c r="AN101" s="106"/>
      <c r="AO101" s="106"/>
      <c r="AP101" s="106"/>
    </row>
    <row r="102" spans="15:42">
      <c r="O102" s="112" t="str">
        <f t="shared" si="3"/>
        <v/>
      </c>
      <c r="P102" t="s">
        <v>897</v>
      </c>
      <c r="V102" s="99"/>
      <c r="AC102" t="s">
        <v>869</v>
      </c>
      <c r="AE102" s="106"/>
      <c r="AF102" s="106"/>
      <c r="AG102" s="106"/>
      <c r="AH102" s="106"/>
      <c r="AI102" s="106"/>
      <c r="AJ102" s="106"/>
      <c r="AK102" s="106"/>
      <c r="AL102" s="106"/>
      <c r="AM102" s="106"/>
      <c r="AN102" s="106"/>
      <c r="AO102" s="106"/>
      <c r="AP102" s="106"/>
    </row>
    <row r="103" spans="15:42">
      <c r="O103" s="112" t="str">
        <f t="shared" si="3"/>
        <v/>
      </c>
      <c r="P103" t="s">
        <v>898</v>
      </c>
      <c r="V103" s="99"/>
      <c r="AC103" t="s">
        <v>869</v>
      </c>
      <c r="AE103" s="106"/>
      <c r="AF103" s="106"/>
      <c r="AG103" s="106"/>
      <c r="AH103" s="106"/>
      <c r="AI103" s="106"/>
      <c r="AJ103" s="106"/>
      <c r="AK103" s="106"/>
      <c r="AL103" s="106"/>
      <c r="AM103" s="106"/>
      <c r="AN103" s="106"/>
      <c r="AO103" s="106"/>
      <c r="AP103" s="106"/>
    </row>
    <row r="104" spans="15:42">
      <c r="O104" s="112" t="str">
        <f t="shared" si="3"/>
        <v/>
      </c>
      <c r="P104" t="s">
        <v>899</v>
      </c>
      <c r="V104" s="99"/>
      <c r="AC104" t="s">
        <v>869</v>
      </c>
      <c r="AE104" s="106"/>
      <c r="AF104" s="106"/>
      <c r="AG104" s="106"/>
      <c r="AH104" s="106"/>
      <c r="AI104" s="106"/>
      <c r="AJ104" s="106"/>
      <c r="AK104" s="106"/>
      <c r="AL104" s="106"/>
      <c r="AM104" s="106"/>
      <c r="AN104" s="106"/>
      <c r="AO104" s="106"/>
      <c r="AP104" s="106"/>
    </row>
    <row r="105" spans="15:42">
      <c r="O105" s="112" t="str">
        <f t="shared" si="3"/>
        <v/>
      </c>
      <c r="P105" t="s">
        <v>900</v>
      </c>
      <c r="V105" s="99"/>
      <c r="AC105" t="s">
        <v>869</v>
      </c>
      <c r="AE105" s="106"/>
      <c r="AF105" s="106"/>
      <c r="AG105" s="106"/>
      <c r="AH105" s="106"/>
      <c r="AI105" s="106"/>
      <c r="AJ105" s="106"/>
      <c r="AK105" s="106"/>
      <c r="AL105" s="106"/>
      <c r="AM105" s="106"/>
      <c r="AN105" s="106"/>
      <c r="AO105" s="106"/>
      <c r="AP105" s="106"/>
    </row>
    <row r="106" spans="15:42">
      <c r="O106" s="112" t="str">
        <f t="shared" si="3"/>
        <v/>
      </c>
      <c r="P106" t="s">
        <v>901</v>
      </c>
      <c r="V106" s="99"/>
      <c r="AC106" t="s">
        <v>869</v>
      </c>
      <c r="AE106" s="106"/>
      <c r="AF106" s="106"/>
      <c r="AG106" s="106"/>
      <c r="AH106" s="106"/>
      <c r="AI106" s="106"/>
      <c r="AJ106" s="106"/>
      <c r="AK106" s="106"/>
      <c r="AL106" s="106"/>
      <c r="AM106" s="106"/>
      <c r="AN106" s="106"/>
      <c r="AO106" s="106"/>
      <c r="AP106" s="106"/>
    </row>
    <row r="107" spans="15:42">
      <c r="O107" s="112" t="str">
        <f t="shared" si="3"/>
        <v/>
      </c>
      <c r="P107" t="s">
        <v>902</v>
      </c>
      <c r="V107" s="99"/>
      <c r="AC107" t="s">
        <v>869</v>
      </c>
      <c r="AE107" s="106"/>
      <c r="AF107" s="106"/>
      <c r="AG107" s="106"/>
      <c r="AH107" s="106"/>
      <c r="AI107" s="106"/>
      <c r="AJ107" s="106"/>
      <c r="AK107" s="106"/>
      <c r="AL107" s="106"/>
      <c r="AM107" s="106"/>
      <c r="AN107" s="106"/>
      <c r="AO107" s="106"/>
      <c r="AP107" s="106"/>
    </row>
    <row r="108" spans="15:42">
      <c r="O108" s="112" t="str">
        <f t="shared" si="3"/>
        <v/>
      </c>
      <c r="P108" t="s">
        <v>903</v>
      </c>
      <c r="V108" s="99"/>
      <c r="AC108" t="s">
        <v>869</v>
      </c>
      <c r="AE108" s="106"/>
      <c r="AF108" s="106"/>
      <c r="AG108" s="106"/>
      <c r="AH108" s="106"/>
      <c r="AI108" s="106"/>
      <c r="AJ108" s="106"/>
      <c r="AK108" s="106"/>
      <c r="AL108" s="106"/>
      <c r="AM108" s="106"/>
      <c r="AN108" s="106"/>
      <c r="AO108" s="106"/>
      <c r="AP108" s="106"/>
    </row>
    <row r="109" spans="15:42">
      <c r="O109" s="112" t="str">
        <f t="shared" si="3"/>
        <v/>
      </c>
      <c r="P109" t="s">
        <v>904</v>
      </c>
      <c r="V109" s="99"/>
      <c r="AC109" t="s">
        <v>869</v>
      </c>
      <c r="AE109" s="106"/>
      <c r="AF109" s="106"/>
      <c r="AG109" s="106"/>
      <c r="AH109" s="106"/>
      <c r="AI109" s="106"/>
      <c r="AJ109" s="106"/>
      <c r="AK109" s="106"/>
      <c r="AL109" s="106"/>
      <c r="AM109" s="106"/>
      <c r="AN109" s="106"/>
      <c r="AO109" s="106"/>
      <c r="AP109" s="106"/>
    </row>
    <row r="110" spans="15:42">
      <c r="O110" s="112" t="str">
        <f t="shared" si="3"/>
        <v/>
      </c>
      <c r="P110" t="s">
        <v>905</v>
      </c>
      <c r="V110" s="99"/>
      <c r="AC110" t="s">
        <v>869</v>
      </c>
      <c r="AE110" s="106"/>
      <c r="AF110" s="106"/>
      <c r="AG110" s="106"/>
      <c r="AH110" s="106"/>
      <c r="AI110" s="106"/>
      <c r="AJ110" s="106"/>
      <c r="AK110" s="106"/>
      <c r="AL110" s="106"/>
      <c r="AM110" s="106"/>
      <c r="AN110" s="106"/>
      <c r="AO110" s="106"/>
      <c r="AP110" s="106"/>
    </row>
    <row r="111" spans="15:42">
      <c r="O111" s="112" t="str">
        <f t="shared" si="3"/>
        <v/>
      </c>
      <c r="P111" t="s">
        <v>906</v>
      </c>
      <c r="V111" s="99"/>
      <c r="AC111" t="s">
        <v>869</v>
      </c>
      <c r="AE111" s="106"/>
      <c r="AF111" s="106"/>
      <c r="AG111" s="106"/>
      <c r="AH111" s="106"/>
      <c r="AI111" s="106"/>
      <c r="AJ111" s="106"/>
      <c r="AK111" s="106"/>
      <c r="AL111" s="106"/>
      <c r="AM111" s="106"/>
      <c r="AN111" s="106"/>
      <c r="AO111" s="106"/>
      <c r="AP111" s="106"/>
    </row>
    <row r="112" spans="15:42">
      <c r="O112" s="112" t="str">
        <f t="shared" si="3"/>
        <v/>
      </c>
      <c r="P112" t="s">
        <v>907</v>
      </c>
      <c r="V112" s="99"/>
      <c r="AC112" t="s">
        <v>869</v>
      </c>
      <c r="AE112" s="106"/>
      <c r="AF112" s="106"/>
      <c r="AG112" s="106"/>
      <c r="AH112" s="106"/>
      <c r="AI112" s="106"/>
      <c r="AJ112" s="106"/>
      <c r="AK112" s="106"/>
      <c r="AL112" s="106"/>
      <c r="AM112" s="106"/>
      <c r="AN112" s="106"/>
      <c r="AO112" s="106"/>
      <c r="AP112" s="106"/>
    </row>
    <row r="113" spans="1:42">
      <c r="O113" s="112" t="str">
        <f t="shared" si="3"/>
        <v/>
      </c>
      <c r="P113" t="s">
        <v>908</v>
      </c>
      <c r="V113" s="99"/>
      <c r="AC113" t="s">
        <v>869</v>
      </c>
      <c r="AE113" s="106"/>
      <c r="AF113" s="106"/>
      <c r="AG113" s="106"/>
      <c r="AH113" s="106"/>
      <c r="AI113" s="106"/>
      <c r="AJ113" s="106"/>
      <c r="AK113" s="106"/>
      <c r="AL113" s="106"/>
      <c r="AM113" s="106"/>
      <c r="AN113" s="106"/>
      <c r="AO113" s="106"/>
      <c r="AP113" s="106"/>
    </row>
    <row r="114" spans="1:42">
      <c r="O114" s="112" t="str">
        <f t="shared" si="3"/>
        <v/>
      </c>
      <c r="P114" t="s">
        <v>909</v>
      </c>
      <c r="V114" s="99"/>
      <c r="AC114" t="s">
        <v>869</v>
      </c>
      <c r="AE114" s="106"/>
      <c r="AF114" s="106"/>
      <c r="AG114" s="106"/>
      <c r="AH114" s="106"/>
      <c r="AI114" s="106"/>
      <c r="AJ114" s="106"/>
      <c r="AK114" s="106"/>
      <c r="AL114" s="106"/>
      <c r="AM114" s="106"/>
      <c r="AN114" s="106"/>
      <c r="AO114" s="106"/>
      <c r="AP114" s="106"/>
    </row>
    <row r="115" spans="1:42">
      <c r="O115" s="112" t="str">
        <f t="shared" si="3"/>
        <v/>
      </c>
      <c r="P115" t="s">
        <v>910</v>
      </c>
      <c r="V115" s="99"/>
      <c r="AC115" t="s">
        <v>869</v>
      </c>
      <c r="AE115" s="106"/>
      <c r="AF115" s="106"/>
      <c r="AG115" s="106"/>
      <c r="AH115" s="106"/>
      <c r="AI115" s="106"/>
      <c r="AJ115" s="106"/>
      <c r="AK115" s="106"/>
      <c r="AL115" s="106"/>
      <c r="AM115" s="106"/>
      <c r="AN115" s="106"/>
      <c r="AO115" s="106"/>
      <c r="AP115" s="106"/>
    </row>
    <row r="116" spans="1:42">
      <c r="O116" s="112" t="str">
        <f t="shared" si="3"/>
        <v/>
      </c>
      <c r="P116" t="s">
        <v>911</v>
      </c>
      <c r="V116" s="99"/>
      <c r="AC116" t="s">
        <v>869</v>
      </c>
      <c r="AE116" s="106"/>
      <c r="AF116" s="106"/>
      <c r="AG116" s="106"/>
      <c r="AH116" s="106"/>
      <c r="AI116" s="106"/>
      <c r="AJ116" s="106"/>
      <c r="AK116" s="106"/>
      <c r="AL116" s="106"/>
      <c r="AM116" s="106"/>
      <c r="AN116" s="106"/>
      <c r="AO116" s="106"/>
      <c r="AP116" s="106"/>
    </row>
    <row r="117" spans="1:42">
      <c r="O117" s="112" t="str">
        <f t="shared" si="3"/>
        <v/>
      </c>
      <c r="P117" s="57" t="s">
        <v>912</v>
      </c>
      <c r="AC117" t="s">
        <v>869</v>
      </c>
      <c r="AE117" s="106"/>
      <c r="AF117" s="106"/>
      <c r="AG117" s="106"/>
      <c r="AH117" s="106"/>
      <c r="AI117" s="106"/>
      <c r="AJ117" s="106"/>
      <c r="AK117" s="106"/>
      <c r="AL117" s="106"/>
      <c r="AM117" s="106"/>
      <c r="AN117" s="106"/>
      <c r="AO117" s="106"/>
      <c r="AP117" s="106"/>
    </row>
    <row r="118" spans="1:42">
      <c r="O118" s="112" t="str">
        <f t="shared" si="3"/>
        <v/>
      </c>
      <c r="P118" s="112" t="str">
        <f>IF(P81="","",P81)</f>
        <v/>
      </c>
      <c r="AC118" t="s">
        <v>869</v>
      </c>
      <c r="AE118" s="110"/>
      <c r="AF118" s="110"/>
      <c r="AG118" s="110"/>
      <c r="AH118" s="110"/>
      <c r="AI118" s="110"/>
      <c r="AJ118" s="110"/>
      <c r="AK118" s="110"/>
      <c r="AL118" s="110"/>
      <c r="AM118" s="110"/>
      <c r="AN118" s="110"/>
      <c r="AO118" s="110"/>
      <c r="AP118" s="110"/>
    </row>
    <row r="119" spans="1:42">
      <c r="O119" s="112" t="str">
        <f t="shared" si="3"/>
        <v/>
      </c>
      <c r="P119" s="112" t="str">
        <f>IF(P82="","",P82)</f>
        <v/>
      </c>
      <c r="AC119" t="s">
        <v>869</v>
      </c>
      <c r="AE119" s="110"/>
      <c r="AF119" s="110"/>
      <c r="AG119" s="110"/>
      <c r="AH119" s="110"/>
      <c r="AI119" s="110"/>
      <c r="AJ119" s="110"/>
      <c r="AK119" s="110"/>
      <c r="AL119" s="110"/>
      <c r="AM119" s="110"/>
      <c r="AN119" s="110"/>
      <c r="AO119" s="110"/>
      <c r="AP119" s="110"/>
    </row>
    <row r="120" spans="1:42">
      <c r="O120" s="112" t="str">
        <f t="shared" si="3"/>
        <v/>
      </c>
      <c r="P120" s="112" t="str">
        <f t="shared" ref="P120" si="4">IF(P83="","",P83)</f>
        <v/>
      </c>
      <c r="AC120" t="s">
        <v>869</v>
      </c>
      <c r="AE120" s="110"/>
      <c r="AF120" s="110"/>
      <c r="AG120" s="110"/>
      <c r="AH120" s="110"/>
      <c r="AI120" s="110"/>
      <c r="AJ120" s="110"/>
      <c r="AK120" s="110"/>
      <c r="AL120" s="110"/>
      <c r="AM120" s="110"/>
      <c r="AN120" s="110"/>
      <c r="AO120" s="110"/>
      <c r="AP120" s="110"/>
    </row>
    <row r="121" spans="1:42" s="58" customFormat="1">
      <c r="AE121" s="109"/>
      <c r="AF121" s="109"/>
      <c r="AG121" s="109"/>
      <c r="AH121" s="109"/>
      <c r="AI121" s="109"/>
      <c r="AJ121" s="109"/>
      <c r="AK121" s="109"/>
      <c r="AL121" s="109"/>
      <c r="AM121" s="109"/>
      <c r="AN121" s="109"/>
      <c r="AO121" s="109"/>
      <c r="AP121" s="109"/>
    </row>
    <row r="122" spans="1:42" s="1" customFormat="1" ht="13.9">
      <c r="A122" s="66"/>
      <c r="B122" s="78" t="s">
        <v>938</v>
      </c>
    </row>
    <row r="124" spans="1:42">
      <c r="O124" s="111"/>
      <c r="P124" t="s">
        <v>883</v>
      </c>
      <c r="AC124" t="s">
        <v>869</v>
      </c>
      <c r="AE124" s="106"/>
      <c r="AF124" s="106"/>
      <c r="AG124" s="106"/>
      <c r="AH124" s="106"/>
      <c r="AI124" s="106"/>
      <c r="AJ124" s="106"/>
      <c r="AK124" s="106"/>
      <c r="AL124" s="106"/>
      <c r="AM124" s="106"/>
      <c r="AN124" s="106"/>
      <c r="AO124" s="106"/>
      <c r="AP124" s="106"/>
    </row>
    <row r="125" spans="1:42">
      <c r="O125" s="112" t="str">
        <f>IF(O124="","",O124)</f>
        <v/>
      </c>
      <c r="P125" s="57" t="s">
        <v>884</v>
      </c>
      <c r="V125" s="99"/>
      <c r="AC125" t="s">
        <v>869</v>
      </c>
      <c r="AE125" s="106"/>
      <c r="AF125" s="106"/>
      <c r="AG125" s="106"/>
      <c r="AH125" s="106"/>
      <c r="AI125" s="106"/>
      <c r="AJ125" s="106"/>
      <c r="AK125" s="106"/>
      <c r="AL125" s="106"/>
      <c r="AM125" s="106"/>
      <c r="AN125" s="106"/>
      <c r="AO125" s="106"/>
      <c r="AP125" s="106"/>
    </row>
    <row r="126" spans="1:42">
      <c r="O126" s="112" t="str">
        <f t="shared" ref="O126:O157" si="5">IF(O125="","",O125)</f>
        <v/>
      </c>
      <c r="P126" s="57" t="s">
        <v>885</v>
      </c>
      <c r="V126" s="99"/>
      <c r="AC126" t="s">
        <v>869</v>
      </c>
      <c r="AE126" s="106"/>
      <c r="AF126" s="106"/>
      <c r="AG126" s="106"/>
      <c r="AH126" s="106"/>
      <c r="AI126" s="106"/>
      <c r="AJ126" s="106"/>
      <c r="AK126" s="106"/>
      <c r="AL126" s="106"/>
      <c r="AM126" s="106"/>
      <c r="AN126" s="106"/>
      <c r="AO126" s="106"/>
      <c r="AP126" s="106"/>
    </row>
    <row r="127" spans="1:42">
      <c r="O127" s="112" t="str">
        <f t="shared" si="5"/>
        <v/>
      </c>
      <c r="P127" s="57" t="s">
        <v>886</v>
      </c>
      <c r="V127" s="99"/>
      <c r="AC127" t="s">
        <v>869</v>
      </c>
      <c r="AE127" s="106"/>
      <c r="AF127" s="106"/>
      <c r="AG127" s="106"/>
      <c r="AH127" s="106"/>
      <c r="AI127" s="106"/>
      <c r="AJ127" s="106"/>
      <c r="AK127" s="106"/>
      <c r="AL127" s="106"/>
      <c r="AM127" s="106"/>
      <c r="AN127" s="106"/>
      <c r="AO127" s="106"/>
      <c r="AP127" s="106"/>
    </row>
    <row r="128" spans="1:42">
      <c r="O128" s="112" t="str">
        <f t="shared" si="5"/>
        <v/>
      </c>
      <c r="P128" s="57" t="s">
        <v>887</v>
      </c>
      <c r="V128" s="99"/>
      <c r="AC128" t="s">
        <v>869</v>
      </c>
      <c r="AE128" s="106"/>
      <c r="AF128" s="106"/>
      <c r="AG128" s="106"/>
      <c r="AH128" s="106"/>
      <c r="AI128" s="106"/>
      <c r="AJ128" s="106"/>
      <c r="AK128" s="106"/>
      <c r="AL128" s="106"/>
      <c r="AM128" s="106"/>
      <c r="AN128" s="106"/>
      <c r="AO128" s="106"/>
      <c r="AP128" s="106"/>
    </row>
    <row r="129" spans="15:42">
      <c r="O129" s="112" t="str">
        <f t="shared" si="5"/>
        <v/>
      </c>
      <c r="P129" s="57" t="s">
        <v>298</v>
      </c>
      <c r="V129" s="99"/>
      <c r="AC129" t="s">
        <v>869</v>
      </c>
      <c r="AE129" s="106"/>
      <c r="AF129" s="106"/>
      <c r="AG129" s="106"/>
      <c r="AH129" s="106"/>
      <c r="AI129" s="106"/>
      <c r="AJ129" s="106"/>
      <c r="AK129" s="106"/>
      <c r="AL129" s="106"/>
      <c r="AM129" s="106"/>
      <c r="AN129" s="106"/>
      <c r="AO129" s="106"/>
      <c r="AP129" s="106"/>
    </row>
    <row r="130" spans="15:42">
      <c r="O130" s="112" t="str">
        <f t="shared" si="5"/>
        <v/>
      </c>
      <c r="P130" s="57" t="s">
        <v>888</v>
      </c>
      <c r="V130" s="99"/>
      <c r="AC130" t="s">
        <v>869</v>
      </c>
      <c r="AE130" s="106"/>
      <c r="AF130" s="106"/>
      <c r="AG130" s="106"/>
      <c r="AH130" s="106"/>
      <c r="AI130" s="106"/>
      <c r="AJ130" s="106"/>
      <c r="AK130" s="106"/>
      <c r="AL130" s="106"/>
      <c r="AM130" s="106"/>
      <c r="AN130" s="106"/>
      <c r="AO130" s="106"/>
      <c r="AP130" s="106"/>
    </row>
    <row r="131" spans="15:42">
      <c r="O131" s="112" t="str">
        <f t="shared" si="5"/>
        <v/>
      </c>
      <c r="P131" s="57" t="s">
        <v>889</v>
      </c>
      <c r="V131" s="99"/>
      <c r="AC131" t="s">
        <v>869</v>
      </c>
      <c r="AE131" s="106"/>
      <c r="AF131" s="106"/>
      <c r="AG131" s="106"/>
      <c r="AH131" s="106"/>
      <c r="AI131" s="106"/>
      <c r="AJ131" s="106"/>
      <c r="AK131" s="106"/>
      <c r="AL131" s="106"/>
      <c r="AM131" s="106"/>
      <c r="AN131" s="106"/>
      <c r="AO131" s="106"/>
      <c r="AP131" s="106"/>
    </row>
    <row r="132" spans="15:42">
      <c r="O132" s="112" t="str">
        <f t="shared" si="5"/>
        <v/>
      </c>
      <c r="P132" s="57" t="s">
        <v>890</v>
      </c>
      <c r="V132" s="99"/>
      <c r="AC132" t="s">
        <v>869</v>
      </c>
      <c r="AE132" s="106"/>
      <c r="AF132" s="106"/>
      <c r="AG132" s="106"/>
      <c r="AH132" s="106"/>
      <c r="AI132" s="106"/>
      <c r="AJ132" s="106"/>
      <c r="AK132" s="106"/>
      <c r="AL132" s="106"/>
      <c r="AM132" s="106"/>
      <c r="AN132" s="106"/>
      <c r="AO132" s="106"/>
      <c r="AP132" s="106"/>
    </row>
    <row r="133" spans="15:42">
      <c r="O133" s="112" t="str">
        <f t="shared" si="5"/>
        <v/>
      </c>
      <c r="P133" s="57" t="s">
        <v>891</v>
      </c>
      <c r="V133" s="99"/>
      <c r="AC133" t="s">
        <v>869</v>
      </c>
      <c r="AE133" s="106"/>
      <c r="AF133" s="106"/>
      <c r="AG133" s="106"/>
      <c r="AH133" s="106"/>
      <c r="AI133" s="106"/>
      <c r="AJ133" s="106"/>
      <c r="AK133" s="106"/>
      <c r="AL133" s="106"/>
      <c r="AM133" s="106"/>
      <c r="AN133" s="106"/>
      <c r="AO133" s="106"/>
      <c r="AP133" s="106"/>
    </row>
    <row r="134" spans="15:42">
      <c r="O134" s="112" t="str">
        <f t="shared" si="5"/>
        <v/>
      </c>
      <c r="P134" s="57" t="s">
        <v>892</v>
      </c>
      <c r="V134" s="99"/>
      <c r="AC134" t="s">
        <v>869</v>
      </c>
      <c r="AE134" s="106"/>
      <c r="AF134" s="106"/>
      <c r="AG134" s="106"/>
      <c r="AH134" s="106"/>
      <c r="AI134" s="106"/>
      <c r="AJ134" s="106"/>
      <c r="AK134" s="106"/>
      <c r="AL134" s="106"/>
      <c r="AM134" s="106"/>
      <c r="AN134" s="106"/>
      <c r="AO134" s="106"/>
      <c r="AP134" s="106"/>
    </row>
    <row r="135" spans="15:42">
      <c r="O135" s="112" t="str">
        <f t="shared" si="5"/>
        <v/>
      </c>
      <c r="P135" s="57" t="s">
        <v>893</v>
      </c>
      <c r="V135" s="99"/>
      <c r="AC135" t="s">
        <v>869</v>
      </c>
      <c r="AE135" s="106"/>
      <c r="AF135" s="106"/>
      <c r="AG135" s="106"/>
      <c r="AH135" s="106"/>
      <c r="AI135" s="106"/>
      <c r="AJ135" s="106"/>
      <c r="AK135" s="106"/>
      <c r="AL135" s="106"/>
      <c r="AM135" s="106"/>
      <c r="AN135" s="106"/>
      <c r="AO135" s="106"/>
      <c r="AP135" s="106"/>
    </row>
    <row r="136" spans="15:42">
      <c r="O136" s="112" t="str">
        <f t="shared" si="5"/>
        <v/>
      </c>
      <c r="P136" s="57" t="s">
        <v>894</v>
      </c>
      <c r="V136" s="99"/>
      <c r="AC136" t="s">
        <v>869</v>
      </c>
      <c r="AE136" s="106"/>
      <c r="AF136" s="106"/>
      <c r="AG136" s="106"/>
      <c r="AH136" s="106"/>
      <c r="AI136" s="106"/>
      <c r="AJ136" s="106"/>
      <c r="AK136" s="106"/>
      <c r="AL136" s="106"/>
      <c r="AM136" s="106"/>
      <c r="AN136" s="106"/>
      <c r="AO136" s="106"/>
      <c r="AP136" s="106"/>
    </row>
    <row r="137" spans="15:42">
      <c r="O137" s="112" t="str">
        <f t="shared" si="5"/>
        <v/>
      </c>
      <c r="P137" s="57" t="s">
        <v>895</v>
      </c>
      <c r="V137" s="99"/>
      <c r="AC137" t="s">
        <v>869</v>
      </c>
      <c r="AE137" s="106"/>
      <c r="AF137" s="106"/>
      <c r="AG137" s="106"/>
      <c r="AH137" s="106"/>
      <c r="AI137" s="106"/>
      <c r="AJ137" s="106"/>
      <c r="AK137" s="106"/>
      <c r="AL137" s="106"/>
      <c r="AM137" s="106"/>
      <c r="AN137" s="106"/>
      <c r="AO137" s="106"/>
      <c r="AP137" s="106"/>
    </row>
    <row r="138" spans="15:42">
      <c r="O138" s="112" t="str">
        <f t="shared" si="5"/>
        <v/>
      </c>
      <c r="P138" s="57" t="s">
        <v>896</v>
      </c>
      <c r="V138" s="99"/>
      <c r="AC138" t="s">
        <v>869</v>
      </c>
      <c r="AE138" s="106"/>
      <c r="AF138" s="106"/>
      <c r="AG138" s="106"/>
      <c r="AH138" s="106"/>
      <c r="AI138" s="106"/>
      <c r="AJ138" s="106"/>
      <c r="AK138" s="106"/>
      <c r="AL138" s="106"/>
      <c r="AM138" s="106"/>
      <c r="AN138" s="106"/>
      <c r="AO138" s="106"/>
      <c r="AP138" s="106"/>
    </row>
    <row r="139" spans="15:42">
      <c r="O139" s="112" t="str">
        <f t="shared" si="5"/>
        <v/>
      </c>
      <c r="P139" s="57" t="s">
        <v>897</v>
      </c>
      <c r="V139" s="99"/>
      <c r="AC139" t="s">
        <v>869</v>
      </c>
      <c r="AE139" s="106"/>
      <c r="AF139" s="106"/>
      <c r="AG139" s="106"/>
      <c r="AH139" s="106"/>
      <c r="AI139" s="106"/>
      <c r="AJ139" s="106"/>
      <c r="AK139" s="106"/>
      <c r="AL139" s="106"/>
      <c r="AM139" s="106"/>
      <c r="AN139" s="106"/>
      <c r="AO139" s="106"/>
      <c r="AP139" s="106"/>
    </row>
    <row r="140" spans="15:42">
      <c r="O140" s="112" t="str">
        <f t="shared" si="5"/>
        <v/>
      </c>
      <c r="P140" s="57" t="s">
        <v>898</v>
      </c>
      <c r="V140" s="99"/>
      <c r="AC140" t="s">
        <v>869</v>
      </c>
      <c r="AE140" s="106"/>
      <c r="AF140" s="106"/>
      <c r="AG140" s="106"/>
      <c r="AH140" s="106"/>
      <c r="AI140" s="106"/>
      <c r="AJ140" s="106"/>
      <c r="AK140" s="106"/>
      <c r="AL140" s="106"/>
      <c r="AM140" s="106"/>
      <c r="AN140" s="106"/>
      <c r="AO140" s="106"/>
      <c r="AP140" s="106"/>
    </row>
    <row r="141" spans="15:42">
      <c r="O141" s="112" t="str">
        <f t="shared" si="5"/>
        <v/>
      </c>
      <c r="P141" s="57" t="s">
        <v>899</v>
      </c>
      <c r="V141" s="99"/>
      <c r="AC141" t="s">
        <v>869</v>
      </c>
      <c r="AE141" s="106"/>
      <c r="AF141" s="106"/>
      <c r="AG141" s="106"/>
      <c r="AH141" s="106"/>
      <c r="AI141" s="106"/>
      <c r="AJ141" s="106"/>
      <c r="AK141" s="106"/>
      <c r="AL141" s="106"/>
      <c r="AM141" s="106"/>
      <c r="AN141" s="106"/>
      <c r="AO141" s="106"/>
      <c r="AP141" s="106"/>
    </row>
    <row r="142" spans="15:42">
      <c r="O142" s="112" t="str">
        <f t="shared" si="5"/>
        <v/>
      </c>
      <c r="P142" s="57" t="s">
        <v>900</v>
      </c>
      <c r="V142" s="99"/>
      <c r="AC142" t="s">
        <v>869</v>
      </c>
      <c r="AE142" s="106"/>
      <c r="AF142" s="106"/>
      <c r="AG142" s="106"/>
      <c r="AH142" s="106"/>
      <c r="AI142" s="106"/>
      <c r="AJ142" s="106"/>
      <c r="AK142" s="106"/>
      <c r="AL142" s="106"/>
      <c r="AM142" s="106"/>
      <c r="AN142" s="106"/>
      <c r="AO142" s="106"/>
      <c r="AP142" s="106"/>
    </row>
    <row r="143" spans="15:42">
      <c r="O143" s="112" t="str">
        <f t="shared" si="5"/>
        <v/>
      </c>
      <c r="P143" s="57" t="s">
        <v>901</v>
      </c>
      <c r="V143" s="99"/>
      <c r="AC143" t="s">
        <v>869</v>
      </c>
      <c r="AE143" s="106"/>
      <c r="AF143" s="106"/>
      <c r="AG143" s="106"/>
      <c r="AH143" s="106"/>
      <c r="AI143" s="106"/>
      <c r="AJ143" s="106"/>
      <c r="AK143" s="106"/>
      <c r="AL143" s="106"/>
      <c r="AM143" s="106"/>
      <c r="AN143" s="106"/>
      <c r="AO143" s="106"/>
      <c r="AP143" s="106"/>
    </row>
    <row r="144" spans="15:42">
      <c r="O144" s="112" t="str">
        <f t="shared" si="5"/>
        <v/>
      </c>
      <c r="P144" s="57" t="s">
        <v>902</v>
      </c>
      <c r="V144" s="99"/>
      <c r="AC144" t="s">
        <v>869</v>
      </c>
      <c r="AE144" s="106"/>
      <c r="AF144" s="106"/>
      <c r="AG144" s="106"/>
      <c r="AH144" s="106"/>
      <c r="AI144" s="106"/>
      <c r="AJ144" s="106"/>
      <c r="AK144" s="106"/>
      <c r="AL144" s="106"/>
      <c r="AM144" s="106"/>
      <c r="AN144" s="106"/>
      <c r="AO144" s="106"/>
      <c r="AP144" s="106"/>
    </row>
    <row r="145" spans="1:42">
      <c r="O145" s="112" t="str">
        <f t="shared" si="5"/>
        <v/>
      </c>
      <c r="P145" s="57" t="s">
        <v>903</v>
      </c>
      <c r="V145" s="99"/>
      <c r="AC145" t="s">
        <v>869</v>
      </c>
      <c r="AE145" s="106"/>
      <c r="AF145" s="106"/>
      <c r="AG145" s="106"/>
      <c r="AH145" s="106"/>
      <c r="AI145" s="106"/>
      <c r="AJ145" s="106"/>
      <c r="AK145" s="106"/>
      <c r="AL145" s="106"/>
      <c r="AM145" s="106"/>
      <c r="AN145" s="106"/>
      <c r="AO145" s="106"/>
      <c r="AP145" s="106"/>
    </row>
    <row r="146" spans="1:42">
      <c r="O146" s="112" t="str">
        <f t="shared" si="5"/>
        <v/>
      </c>
      <c r="P146" s="57" t="s">
        <v>904</v>
      </c>
      <c r="V146" s="99"/>
      <c r="AC146" t="s">
        <v>869</v>
      </c>
      <c r="AE146" s="106"/>
      <c r="AF146" s="106"/>
      <c r="AG146" s="106"/>
      <c r="AH146" s="106"/>
      <c r="AI146" s="106"/>
      <c r="AJ146" s="106"/>
      <c r="AK146" s="106"/>
      <c r="AL146" s="106"/>
      <c r="AM146" s="106"/>
      <c r="AN146" s="106"/>
      <c r="AO146" s="106"/>
      <c r="AP146" s="106"/>
    </row>
    <row r="147" spans="1:42">
      <c r="O147" s="112" t="str">
        <f t="shared" si="5"/>
        <v/>
      </c>
      <c r="P147" s="57" t="s">
        <v>905</v>
      </c>
      <c r="V147" s="99"/>
      <c r="AC147" t="s">
        <v>869</v>
      </c>
      <c r="AE147" s="106"/>
      <c r="AF147" s="106"/>
      <c r="AG147" s="106"/>
      <c r="AH147" s="106"/>
      <c r="AI147" s="106"/>
      <c r="AJ147" s="106"/>
      <c r="AK147" s="106"/>
      <c r="AL147" s="106"/>
      <c r="AM147" s="106"/>
      <c r="AN147" s="106"/>
      <c r="AO147" s="106"/>
      <c r="AP147" s="106"/>
    </row>
    <row r="148" spans="1:42">
      <c r="O148" s="112" t="str">
        <f t="shared" si="5"/>
        <v/>
      </c>
      <c r="P148" s="57" t="s">
        <v>906</v>
      </c>
      <c r="V148" s="99"/>
      <c r="AC148" t="s">
        <v>869</v>
      </c>
      <c r="AE148" s="106"/>
      <c r="AF148" s="106"/>
      <c r="AG148" s="106"/>
      <c r="AH148" s="106"/>
      <c r="AI148" s="106"/>
      <c r="AJ148" s="106"/>
      <c r="AK148" s="106"/>
      <c r="AL148" s="106"/>
      <c r="AM148" s="106"/>
      <c r="AN148" s="106"/>
      <c r="AO148" s="106"/>
      <c r="AP148" s="106"/>
    </row>
    <row r="149" spans="1:42">
      <c r="O149" s="112" t="str">
        <f t="shared" si="5"/>
        <v/>
      </c>
      <c r="P149" s="57" t="s">
        <v>907</v>
      </c>
      <c r="V149" s="99"/>
      <c r="AC149" t="s">
        <v>869</v>
      </c>
      <c r="AE149" s="106"/>
      <c r="AF149" s="106"/>
      <c r="AG149" s="106"/>
      <c r="AH149" s="106"/>
      <c r="AI149" s="106"/>
      <c r="AJ149" s="106"/>
      <c r="AK149" s="106"/>
      <c r="AL149" s="106"/>
      <c r="AM149" s="106"/>
      <c r="AN149" s="106"/>
      <c r="AO149" s="106"/>
      <c r="AP149" s="106"/>
    </row>
    <row r="150" spans="1:42">
      <c r="O150" s="112" t="str">
        <f t="shared" si="5"/>
        <v/>
      </c>
      <c r="P150" s="57" t="s">
        <v>908</v>
      </c>
      <c r="V150" s="99"/>
      <c r="AC150" t="s">
        <v>869</v>
      </c>
      <c r="AE150" s="106"/>
      <c r="AF150" s="106"/>
      <c r="AG150" s="106"/>
      <c r="AH150" s="106"/>
      <c r="AI150" s="106"/>
      <c r="AJ150" s="106"/>
      <c r="AK150" s="106"/>
      <c r="AL150" s="106"/>
      <c r="AM150" s="106"/>
      <c r="AN150" s="106"/>
      <c r="AO150" s="106"/>
      <c r="AP150" s="106"/>
    </row>
    <row r="151" spans="1:42">
      <c r="O151" s="112" t="str">
        <f t="shared" si="5"/>
        <v/>
      </c>
      <c r="P151" s="57" t="s">
        <v>909</v>
      </c>
      <c r="V151" s="99"/>
      <c r="AC151" t="s">
        <v>869</v>
      </c>
      <c r="AE151" s="106"/>
      <c r="AF151" s="106"/>
      <c r="AG151" s="106"/>
      <c r="AH151" s="106"/>
      <c r="AI151" s="106"/>
      <c r="AJ151" s="106"/>
      <c r="AK151" s="106"/>
      <c r="AL151" s="106"/>
      <c r="AM151" s="106"/>
      <c r="AN151" s="106"/>
      <c r="AO151" s="106"/>
      <c r="AP151" s="106"/>
    </row>
    <row r="152" spans="1:42">
      <c r="O152" s="112" t="str">
        <f t="shared" si="5"/>
        <v/>
      </c>
      <c r="P152" s="57" t="s">
        <v>910</v>
      </c>
      <c r="V152" s="99"/>
      <c r="AC152" t="s">
        <v>869</v>
      </c>
      <c r="AE152" s="106"/>
      <c r="AF152" s="106"/>
      <c r="AG152" s="106"/>
      <c r="AH152" s="106"/>
      <c r="AI152" s="106"/>
      <c r="AJ152" s="106"/>
      <c r="AK152" s="106"/>
      <c r="AL152" s="106"/>
      <c r="AM152" s="106"/>
      <c r="AN152" s="106"/>
      <c r="AO152" s="106"/>
      <c r="AP152" s="106"/>
    </row>
    <row r="153" spans="1:42">
      <c r="O153" s="112" t="str">
        <f t="shared" si="5"/>
        <v/>
      </c>
      <c r="P153" s="57" t="s">
        <v>911</v>
      </c>
      <c r="V153" s="99"/>
      <c r="AC153" t="s">
        <v>869</v>
      </c>
      <c r="AE153" s="106"/>
      <c r="AF153" s="106"/>
      <c r="AG153" s="106"/>
      <c r="AH153" s="106"/>
      <c r="AI153" s="106"/>
      <c r="AJ153" s="106"/>
      <c r="AK153" s="106"/>
      <c r="AL153" s="106"/>
      <c r="AM153" s="106"/>
      <c r="AN153" s="106"/>
      <c r="AO153" s="106"/>
      <c r="AP153" s="106"/>
    </row>
    <row r="154" spans="1:42">
      <c r="O154" s="112" t="str">
        <f t="shared" si="5"/>
        <v/>
      </c>
      <c r="P154" s="57" t="s">
        <v>912</v>
      </c>
      <c r="AC154" t="s">
        <v>869</v>
      </c>
      <c r="AE154" s="106"/>
      <c r="AF154" s="106"/>
      <c r="AG154" s="106"/>
      <c r="AH154" s="106"/>
      <c r="AI154" s="106"/>
      <c r="AJ154" s="106"/>
      <c r="AK154" s="106"/>
      <c r="AL154" s="106"/>
      <c r="AM154" s="106"/>
      <c r="AN154" s="106"/>
      <c r="AO154" s="106"/>
      <c r="AP154" s="106"/>
    </row>
    <row r="155" spans="1:42">
      <c r="O155" s="112" t="str">
        <f t="shared" si="5"/>
        <v/>
      </c>
      <c r="P155" s="112" t="str">
        <f>IF(P118="","",P118)</f>
        <v/>
      </c>
      <c r="AC155" t="s">
        <v>869</v>
      </c>
      <c r="AE155" s="110"/>
      <c r="AF155" s="110"/>
      <c r="AG155" s="110"/>
      <c r="AH155" s="110"/>
      <c r="AI155" s="110"/>
      <c r="AJ155" s="110"/>
      <c r="AK155" s="110"/>
      <c r="AL155" s="110"/>
      <c r="AM155" s="110"/>
      <c r="AN155" s="110"/>
      <c r="AO155" s="110"/>
      <c r="AP155" s="110"/>
    </row>
    <row r="156" spans="1:42">
      <c r="O156" s="112" t="str">
        <f t="shared" si="5"/>
        <v/>
      </c>
      <c r="P156" s="112" t="str">
        <f>IF(P119="","",P119)</f>
        <v/>
      </c>
      <c r="AC156" t="s">
        <v>869</v>
      </c>
      <c r="AE156" s="110"/>
      <c r="AF156" s="110"/>
      <c r="AG156" s="110"/>
      <c r="AH156" s="110"/>
      <c r="AI156" s="110"/>
      <c r="AJ156" s="110"/>
      <c r="AK156" s="110"/>
      <c r="AL156" s="110"/>
      <c r="AM156" s="110"/>
      <c r="AN156" s="110"/>
      <c r="AO156" s="110"/>
      <c r="AP156" s="110"/>
    </row>
    <row r="157" spans="1:42">
      <c r="O157" s="112" t="str">
        <f t="shared" si="5"/>
        <v/>
      </c>
      <c r="P157" s="112" t="str">
        <f t="shared" ref="P157" si="6">IF(P120="","",P120)</f>
        <v/>
      </c>
      <c r="AC157" t="s">
        <v>869</v>
      </c>
      <c r="AE157" s="110"/>
      <c r="AF157" s="110"/>
      <c r="AG157" s="110"/>
      <c r="AH157" s="110"/>
      <c r="AI157" s="110"/>
      <c r="AJ157" s="110"/>
      <c r="AK157" s="110"/>
      <c r="AL157" s="110"/>
      <c r="AM157" s="110"/>
      <c r="AN157" s="110"/>
      <c r="AO157" s="110"/>
      <c r="AP157" s="110"/>
    </row>
    <row r="159" spans="1:42" s="73" customFormat="1" ht="18">
      <c r="A159" s="74" t="s">
        <v>76</v>
      </c>
    </row>
  </sheetData>
  <mergeCells count="2">
    <mergeCell ref="AE6:AI6"/>
    <mergeCell ref="AJ6:AP6"/>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I19"/>
  <sheetViews>
    <sheetView zoomScale="80" zoomScaleNormal="80" workbookViewId="0">
      <pane ySplit="8" topLeftCell="A9" activePane="bottomLeft" state="frozen"/>
      <selection pane="bottomLeft"/>
    </sheetView>
  </sheetViews>
  <sheetFormatPr defaultColWidth="9.1328125" defaultRowHeight="14.25"/>
  <cols>
    <col min="1" max="5" width="1.73046875" style="435" customWidth="1"/>
    <col min="6" max="6" width="13.73046875" style="435" bestFit="1" customWidth="1"/>
    <col min="7" max="7" width="1.73046875" style="435" customWidth="1"/>
    <col min="8" max="8" width="23.3984375" style="435" bestFit="1" customWidth="1"/>
    <col min="9" max="9" width="13.3984375" style="435" bestFit="1" customWidth="1"/>
    <col min="10" max="12" width="1.73046875" style="435" customWidth="1"/>
    <col min="13" max="13" width="14.86328125" style="435" bestFit="1" customWidth="1"/>
    <col min="14" max="15" width="1.73046875" style="435" customWidth="1"/>
    <col min="16" max="28" width="1.73046875" style="435" hidden="1" customWidth="1"/>
    <col min="29" max="29" width="6.3984375" style="435" bestFit="1" customWidth="1"/>
    <col min="30" max="30" width="7.73046875" style="435" customWidth="1"/>
    <col min="31" max="16384" width="9.1328125" style="435"/>
  </cols>
  <sheetData>
    <row r="1" spans="1:35" s="73" customFormat="1" ht="23.25">
      <c r="A1" s="89" t="str">
        <f>'1.1 Cover'!A2</f>
        <v>Regulatory Reporting Pack</v>
      </c>
    </row>
    <row r="2" spans="1:35" s="73" customFormat="1" ht="23.25">
      <c r="A2" s="89" t="str">
        <f>'1.1 Cover'!A3</f>
        <v>Price base - 2018/19</v>
      </c>
    </row>
    <row r="3" spans="1:35" s="73" customFormat="1" ht="23.25">
      <c r="A3" s="89" t="str">
        <f>'1.1 Cover'!A4</f>
        <v>Regulatory Year: April 2021 - March 2022</v>
      </c>
    </row>
    <row r="4" spans="1:35" s="73" customFormat="1" ht="23.25">
      <c r="A4" s="89" t="s">
        <v>1752</v>
      </c>
    </row>
    <row r="5" spans="1:35">
      <c r="AE5" s="435" t="s">
        <v>2619</v>
      </c>
      <c r="AF5" s="435" t="s">
        <v>2619</v>
      </c>
      <c r="AG5" s="435" t="s">
        <v>2620</v>
      </c>
      <c r="AH5" s="435" t="s">
        <v>2620</v>
      </c>
      <c r="AI5" s="435" t="s">
        <v>2620</v>
      </c>
    </row>
    <row r="6" spans="1:35">
      <c r="AD6" s="80"/>
      <c r="AE6" s="1347" t="s">
        <v>112</v>
      </c>
      <c r="AF6" s="1348"/>
      <c r="AG6" s="1348"/>
      <c r="AH6" s="1348"/>
      <c r="AI6" s="1349"/>
    </row>
    <row r="7" spans="1:35" s="67" customFormat="1">
      <c r="D7" s="87"/>
      <c r="E7" s="87"/>
      <c r="F7" s="87"/>
      <c r="G7" s="87"/>
      <c r="H7" s="87"/>
      <c r="I7" s="87"/>
      <c r="J7" s="87"/>
      <c r="K7" s="87"/>
      <c r="L7" s="87"/>
      <c r="M7" s="87"/>
      <c r="N7" s="87"/>
      <c r="O7" s="87"/>
      <c r="P7" s="86" t="s">
        <v>101</v>
      </c>
      <c r="Q7" s="86" t="s">
        <v>100</v>
      </c>
      <c r="R7" s="86" t="s">
        <v>99</v>
      </c>
      <c r="S7" s="86" t="s">
        <v>98</v>
      </c>
      <c r="T7" s="86" t="s">
        <v>97</v>
      </c>
      <c r="U7" s="86" t="s">
        <v>96</v>
      </c>
      <c r="V7" s="86" t="s">
        <v>95</v>
      </c>
      <c r="W7" s="86" t="s">
        <v>94</v>
      </c>
      <c r="X7" s="86" t="s">
        <v>93</v>
      </c>
      <c r="Y7" s="86" t="s">
        <v>92</v>
      </c>
      <c r="Z7" s="86" t="s">
        <v>91</v>
      </c>
      <c r="AA7" s="86" t="s">
        <v>90</v>
      </c>
      <c r="AB7" s="86" t="s">
        <v>89</v>
      </c>
      <c r="AC7" s="67" t="s">
        <v>5</v>
      </c>
      <c r="AD7" s="80"/>
      <c r="AE7" s="84">
        <v>2022</v>
      </c>
      <c r="AF7" s="83">
        <v>2023</v>
      </c>
      <c r="AG7" s="83">
        <v>2024</v>
      </c>
      <c r="AH7" s="83">
        <v>2025</v>
      </c>
      <c r="AI7" s="82">
        <v>2026</v>
      </c>
    </row>
    <row r="8" spans="1:35">
      <c r="P8" s="67"/>
      <c r="Q8" s="67"/>
      <c r="R8" s="67"/>
      <c r="S8" s="67"/>
    </row>
    <row r="9" spans="1:35" s="1" customFormat="1" ht="17.649999999999999">
      <c r="B9" s="2" t="s">
        <v>1749</v>
      </c>
    </row>
    <row r="11" spans="1:35" s="1" customFormat="1" ht="13.9">
      <c r="A11" s="66"/>
      <c r="B11" s="78" t="s">
        <v>1094</v>
      </c>
    </row>
    <row r="13" spans="1:35">
      <c r="F13" s="435" t="s">
        <v>266</v>
      </c>
      <c r="H13" s="435" t="s">
        <v>1750</v>
      </c>
      <c r="M13" s="435" t="s">
        <v>1555</v>
      </c>
      <c r="N13" s="76"/>
      <c r="O13" s="76"/>
      <c r="P13" s="76"/>
      <c r="Q13" s="76"/>
      <c r="R13" s="76"/>
      <c r="S13" s="76"/>
      <c r="AC13" s="435" t="s">
        <v>1545</v>
      </c>
      <c r="AD13" s="80"/>
      <c r="AE13" s="81"/>
      <c r="AF13" s="81"/>
      <c r="AG13" s="81"/>
      <c r="AH13" s="81"/>
      <c r="AI13" s="81"/>
    </row>
    <row r="15" spans="1:35" s="1" customFormat="1" ht="13.9">
      <c r="A15" s="66"/>
      <c r="B15" s="78" t="s">
        <v>1748</v>
      </c>
    </row>
    <row r="17" spans="1:35">
      <c r="F17" s="435" t="s">
        <v>266</v>
      </c>
      <c r="H17" s="435" t="s">
        <v>1751</v>
      </c>
      <c r="N17" s="76"/>
      <c r="O17" s="76"/>
      <c r="P17" s="76"/>
      <c r="Q17" s="76"/>
      <c r="R17" s="76"/>
      <c r="S17" s="76"/>
      <c r="AC17" s="435" t="s">
        <v>1545</v>
      </c>
      <c r="AD17" s="80"/>
      <c r="AE17" s="81"/>
      <c r="AF17" s="81"/>
      <c r="AG17" s="81"/>
      <c r="AH17" s="81"/>
      <c r="AI17" s="81"/>
    </row>
    <row r="19" spans="1:35" s="73" customFormat="1" ht="18">
      <c r="A19" s="74" t="s">
        <v>76</v>
      </c>
    </row>
  </sheetData>
  <mergeCells count="1">
    <mergeCell ref="AE6:AI6"/>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69"/>
  <sheetViews>
    <sheetView zoomScale="80" zoomScaleNormal="80" workbookViewId="0"/>
  </sheetViews>
  <sheetFormatPr defaultColWidth="9.1328125" defaultRowHeight="12.4"/>
  <cols>
    <col min="1" max="1" width="1.59765625" style="692" customWidth="1"/>
    <col min="2" max="2" width="13.3984375" style="692" customWidth="1"/>
    <col min="3" max="3" width="15.59765625" style="692" customWidth="1"/>
    <col min="4" max="4" width="26" style="692" customWidth="1"/>
    <col min="5" max="5" width="29.265625" style="692" bestFit="1" customWidth="1"/>
    <col min="6" max="6" width="9.1328125" style="692"/>
    <col min="7" max="7" width="14" style="692" customWidth="1"/>
    <col min="8" max="8" width="12" style="692" customWidth="1"/>
    <col min="9" max="9" width="9.1328125" style="692"/>
    <col min="10" max="13" width="10.73046875" style="692" bestFit="1" customWidth="1"/>
    <col min="14" max="14" width="14.265625" style="692" customWidth="1"/>
    <col min="15" max="15" width="10.73046875" style="692" bestFit="1" customWidth="1"/>
    <col min="16" max="16384" width="9.1328125" style="692"/>
  </cols>
  <sheetData>
    <row r="1" spans="1:11" s="73" customFormat="1" ht="23.25">
      <c r="A1" s="89" t="str">
        <f>'1.1 Cover'!A2</f>
        <v>Regulatory Reporting Pack</v>
      </c>
    </row>
    <row r="2" spans="1:11" s="73" customFormat="1" ht="23.25">
      <c r="A2" s="89" t="str">
        <f>'1.1 Cover'!A3</f>
        <v>Price base - 2018/19</v>
      </c>
    </row>
    <row r="3" spans="1:11" s="73" customFormat="1" ht="23.25">
      <c r="A3" s="89" t="str">
        <f>'1.1 Cover'!A4</f>
        <v>Regulatory Year: April 2021 - March 2022</v>
      </c>
    </row>
    <row r="4" spans="1:11" s="73" customFormat="1" ht="23.25">
      <c r="A4" s="89" t="s">
        <v>2448</v>
      </c>
    </row>
    <row r="6" spans="1:11">
      <c r="B6" s="706" t="s">
        <v>2445</v>
      </c>
    </row>
    <row r="9" spans="1:11" ht="14.25">
      <c r="B9" s="734"/>
      <c r="C9" s="735" t="s">
        <v>260</v>
      </c>
      <c r="D9" s="734" t="s">
        <v>2446</v>
      </c>
      <c r="E9" s="734" t="s">
        <v>2447</v>
      </c>
      <c r="F9" s="736" t="s">
        <v>1327</v>
      </c>
      <c r="G9" s="737">
        <v>2022</v>
      </c>
      <c r="H9" s="737">
        <v>2023</v>
      </c>
      <c r="I9" s="737">
        <v>2024</v>
      </c>
      <c r="J9" s="737">
        <v>2025</v>
      </c>
      <c r="K9" s="737">
        <v>2026</v>
      </c>
    </row>
    <row r="10" spans="1:11" ht="12.75" customHeight="1">
      <c r="B10" s="1382" t="s">
        <v>2448</v>
      </c>
      <c r="C10" s="1374" t="s">
        <v>2449</v>
      </c>
      <c r="D10" s="1385" t="s">
        <v>2450</v>
      </c>
      <c r="E10" s="749" t="s">
        <v>2451</v>
      </c>
      <c r="F10" s="738" t="s">
        <v>2173</v>
      </c>
      <c r="G10" s="739"/>
      <c r="H10" s="739"/>
      <c r="I10" s="739"/>
      <c r="J10" s="739"/>
      <c r="K10" s="739"/>
    </row>
    <row r="11" spans="1:11">
      <c r="B11" s="1383"/>
      <c r="C11" s="1374"/>
      <c r="D11" s="1385"/>
      <c r="E11" s="749" t="s">
        <v>2452</v>
      </c>
      <c r="F11" s="738" t="s">
        <v>2173</v>
      </c>
      <c r="G11" s="739"/>
      <c r="H11" s="739"/>
      <c r="I11" s="739"/>
      <c r="J11" s="739"/>
      <c r="K11" s="739"/>
    </row>
    <row r="12" spans="1:11">
      <c r="B12" s="1383"/>
      <c r="C12" s="1374"/>
      <c r="D12" s="1385"/>
      <c r="E12" s="750" t="s">
        <v>1055</v>
      </c>
      <c r="F12" s="734" t="s">
        <v>2173</v>
      </c>
      <c r="G12" s="740">
        <f t="shared" ref="G12:K12" si="0">SUM(G10:G11)</f>
        <v>0</v>
      </c>
      <c r="H12" s="740">
        <f t="shared" si="0"/>
        <v>0</v>
      </c>
      <c r="I12" s="740">
        <f t="shared" si="0"/>
        <v>0</v>
      </c>
      <c r="J12" s="740">
        <f t="shared" si="0"/>
        <v>0</v>
      </c>
      <c r="K12" s="740">
        <f t="shared" si="0"/>
        <v>0</v>
      </c>
    </row>
    <row r="13" spans="1:11">
      <c r="B13" s="1383"/>
      <c r="C13" s="1374"/>
      <c r="D13" s="1386" t="s">
        <v>2453</v>
      </c>
      <c r="E13" s="749" t="s">
        <v>2454</v>
      </c>
      <c r="F13" s="738" t="s">
        <v>2173</v>
      </c>
      <c r="G13" s="739"/>
      <c r="H13" s="739"/>
      <c r="I13" s="739"/>
      <c r="J13" s="739"/>
      <c r="K13" s="739"/>
    </row>
    <row r="14" spans="1:11">
      <c r="B14" s="1383"/>
      <c r="C14" s="1374"/>
      <c r="D14" s="1386"/>
      <c r="E14" s="749" t="s">
        <v>2455</v>
      </c>
      <c r="F14" s="738" t="s">
        <v>2173</v>
      </c>
      <c r="G14" s="739"/>
      <c r="H14" s="739"/>
      <c r="I14" s="739"/>
      <c r="J14" s="739"/>
      <c r="K14" s="739"/>
    </row>
    <row r="15" spans="1:11">
      <c r="B15" s="1383"/>
      <c r="C15" s="1374"/>
      <c r="D15" s="1386"/>
      <c r="E15" s="749" t="s">
        <v>2452</v>
      </c>
      <c r="F15" s="738" t="s">
        <v>2173</v>
      </c>
      <c r="G15" s="739"/>
      <c r="H15" s="739"/>
      <c r="I15" s="739"/>
      <c r="J15" s="739"/>
      <c r="K15" s="739"/>
    </row>
    <row r="16" spans="1:11">
      <c r="B16" s="1383"/>
      <c r="C16" s="1374"/>
      <c r="D16" s="1386"/>
      <c r="E16" s="750" t="s">
        <v>1055</v>
      </c>
      <c r="F16" s="734" t="s">
        <v>2173</v>
      </c>
      <c r="G16" s="741">
        <f t="shared" ref="G16:K16" si="1">SUM(G13:G15)</f>
        <v>0</v>
      </c>
      <c r="H16" s="741">
        <f t="shared" si="1"/>
        <v>0</v>
      </c>
      <c r="I16" s="741">
        <f t="shared" si="1"/>
        <v>0</v>
      </c>
      <c r="J16" s="741">
        <f t="shared" si="1"/>
        <v>0</v>
      </c>
      <c r="K16" s="741">
        <f t="shared" si="1"/>
        <v>0</v>
      </c>
    </row>
    <row r="17" spans="2:12">
      <c r="B17" s="1383"/>
      <c r="C17" s="1374"/>
      <c r="D17" s="1367" t="s">
        <v>2456</v>
      </c>
      <c r="E17" s="749" t="s">
        <v>2457</v>
      </c>
      <c r="F17" s="738" t="s">
        <v>2173</v>
      </c>
      <c r="G17" s="739"/>
      <c r="H17" s="739"/>
      <c r="I17" s="739"/>
      <c r="J17" s="739"/>
      <c r="K17" s="739"/>
      <c r="L17" s="919" t="s">
        <v>2856</v>
      </c>
    </row>
    <row r="18" spans="2:12">
      <c r="B18" s="1383"/>
      <c r="C18" s="1374"/>
      <c r="D18" s="1368"/>
      <c r="E18" s="749" t="s">
        <v>2458</v>
      </c>
      <c r="F18" s="738" t="s">
        <v>2173</v>
      </c>
      <c r="G18" s="739"/>
      <c r="H18" s="739"/>
      <c r="I18" s="739"/>
      <c r="J18" s="739"/>
      <c r="K18" s="739"/>
    </row>
    <row r="19" spans="2:12">
      <c r="B19" s="1383"/>
      <c r="C19" s="1374"/>
      <c r="D19" s="1368"/>
      <c r="E19" s="749" t="s">
        <v>2459</v>
      </c>
      <c r="F19" s="738" t="s">
        <v>2173</v>
      </c>
      <c r="G19" s="739"/>
      <c r="H19" s="739"/>
      <c r="I19" s="739"/>
      <c r="J19" s="739"/>
      <c r="K19" s="739"/>
    </row>
    <row r="20" spans="2:12">
      <c r="B20" s="1383"/>
      <c r="C20" s="1374"/>
      <c r="D20" s="1369"/>
      <c r="E20" s="750" t="s">
        <v>1055</v>
      </c>
      <c r="F20" s="734" t="s">
        <v>2173</v>
      </c>
      <c r="G20" s="741">
        <f t="shared" ref="G20:K20" si="2">SUM(G17:G19)</f>
        <v>0</v>
      </c>
      <c r="H20" s="741">
        <f t="shared" si="2"/>
        <v>0</v>
      </c>
      <c r="I20" s="741">
        <f t="shared" si="2"/>
        <v>0</v>
      </c>
      <c r="J20" s="741">
        <f t="shared" si="2"/>
        <v>0</v>
      </c>
      <c r="K20" s="741">
        <f t="shared" si="2"/>
        <v>0</v>
      </c>
    </row>
    <row r="21" spans="2:12">
      <c r="B21" s="1383"/>
      <c r="C21" s="1374"/>
      <c r="D21" s="1370" t="s">
        <v>2460</v>
      </c>
      <c r="E21" s="738" t="s">
        <v>2461</v>
      </c>
      <c r="F21" s="738" t="s">
        <v>2173</v>
      </c>
      <c r="G21" s="739"/>
      <c r="H21" s="739"/>
      <c r="I21" s="739"/>
      <c r="J21" s="739"/>
      <c r="K21" s="739"/>
    </row>
    <row r="22" spans="2:12">
      <c r="B22" s="1383"/>
      <c r="C22" s="1374"/>
      <c r="D22" s="1371"/>
      <c r="E22" s="738" t="s">
        <v>2462</v>
      </c>
      <c r="F22" s="738" t="s">
        <v>2173</v>
      </c>
      <c r="G22" s="739"/>
      <c r="H22" s="739"/>
      <c r="I22" s="739"/>
      <c r="J22" s="739"/>
      <c r="K22" s="739"/>
    </row>
    <row r="23" spans="2:12">
      <c r="B23" s="1383"/>
      <c r="C23" s="1374"/>
      <c r="D23" s="1371"/>
      <c r="E23" s="738" t="s">
        <v>2463</v>
      </c>
      <c r="F23" s="738" t="s">
        <v>2173</v>
      </c>
      <c r="G23" s="739"/>
      <c r="H23" s="739"/>
      <c r="I23" s="739"/>
      <c r="J23" s="739"/>
      <c r="K23" s="739"/>
    </row>
    <row r="24" spans="2:12">
      <c r="B24" s="1383"/>
      <c r="C24" s="1374"/>
      <c r="D24" s="1372"/>
      <c r="E24" s="734" t="s">
        <v>2464</v>
      </c>
      <c r="F24" s="734" t="s">
        <v>2173</v>
      </c>
      <c r="G24" s="741">
        <f t="shared" ref="G24:K24" si="3">SUM(G21:G23)</f>
        <v>0</v>
      </c>
      <c r="H24" s="741">
        <f t="shared" si="3"/>
        <v>0</v>
      </c>
      <c r="I24" s="741">
        <f t="shared" si="3"/>
        <v>0</v>
      </c>
      <c r="J24" s="741">
        <f t="shared" si="3"/>
        <v>0</v>
      </c>
      <c r="K24" s="741">
        <f t="shared" si="3"/>
        <v>0</v>
      </c>
    </row>
    <row r="25" spans="2:12">
      <c r="B25" s="1383"/>
      <c r="C25" s="1374"/>
      <c r="D25" s="1373" t="s">
        <v>2465</v>
      </c>
      <c r="E25" s="1373"/>
      <c r="F25" s="734" t="s">
        <v>2173</v>
      </c>
      <c r="G25" s="742">
        <f t="shared" ref="G25:K25" si="4">SUM(G12,G16,G20,G24)</f>
        <v>0</v>
      </c>
      <c r="H25" s="742">
        <f t="shared" si="4"/>
        <v>0</v>
      </c>
      <c r="I25" s="742">
        <f t="shared" si="4"/>
        <v>0</v>
      </c>
      <c r="J25" s="742">
        <f t="shared" si="4"/>
        <v>0</v>
      </c>
      <c r="K25" s="742">
        <f t="shared" si="4"/>
        <v>0</v>
      </c>
    </row>
    <row r="26" spans="2:12">
      <c r="B26" s="1383"/>
      <c r="C26" s="1374" t="s">
        <v>2466</v>
      </c>
      <c r="D26" s="1375" t="s">
        <v>2467</v>
      </c>
      <c r="E26" s="738" t="s">
        <v>2468</v>
      </c>
      <c r="F26" s="738" t="s">
        <v>2173</v>
      </c>
      <c r="G26" s="739"/>
      <c r="H26" s="739"/>
      <c r="I26" s="739"/>
      <c r="J26" s="739"/>
      <c r="K26" s="739"/>
    </row>
    <row r="27" spans="2:12">
      <c r="B27" s="1383"/>
      <c r="C27" s="1374"/>
      <c r="D27" s="1375"/>
      <c r="E27" s="738" t="s">
        <v>2452</v>
      </c>
      <c r="F27" s="738" t="s">
        <v>2173</v>
      </c>
      <c r="G27" s="739"/>
      <c r="H27" s="739"/>
      <c r="I27" s="739"/>
      <c r="J27" s="739"/>
      <c r="K27" s="739"/>
    </row>
    <row r="28" spans="2:12">
      <c r="B28" s="1383"/>
      <c r="C28" s="1374"/>
      <c r="D28" s="1375"/>
      <c r="E28" s="734" t="s">
        <v>1055</v>
      </c>
      <c r="F28" s="734" t="s">
        <v>2173</v>
      </c>
      <c r="G28" s="740">
        <f t="shared" ref="G28:K28" si="5">SUM(G26:G27)</f>
        <v>0</v>
      </c>
      <c r="H28" s="740">
        <f t="shared" si="5"/>
        <v>0</v>
      </c>
      <c r="I28" s="740">
        <f t="shared" si="5"/>
        <v>0</v>
      </c>
      <c r="J28" s="740">
        <f t="shared" si="5"/>
        <v>0</v>
      </c>
      <c r="K28" s="740">
        <f t="shared" si="5"/>
        <v>0</v>
      </c>
    </row>
    <row r="29" spans="2:12">
      <c r="B29" s="1383"/>
      <c r="C29" s="1374"/>
      <c r="D29" s="1373" t="s">
        <v>2469</v>
      </c>
      <c r="E29" s="1373"/>
      <c r="F29" s="734" t="s">
        <v>2173</v>
      </c>
      <c r="G29" s="740">
        <f t="shared" ref="G29:K29" si="6">SUM(G28)</f>
        <v>0</v>
      </c>
      <c r="H29" s="740">
        <f t="shared" si="6"/>
        <v>0</v>
      </c>
      <c r="I29" s="740">
        <f t="shared" si="6"/>
        <v>0</v>
      </c>
      <c r="J29" s="740">
        <f t="shared" si="6"/>
        <v>0</v>
      </c>
      <c r="K29" s="740">
        <f t="shared" si="6"/>
        <v>0</v>
      </c>
    </row>
    <row r="30" spans="2:12" ht="24.75">
      <c r="B30" s="1384"/>
      <c r="C30" s="743" t="s">
        <v>2470</v>
      </c>
      <c r="D30" s="1378" t="s">
        <v>2471</v>
      </c>
      <c r="E30" s="1378"/>
      <c r="F30" s="734" t="s">
        <v>2173</v>
      </c>
      <c r="G30" s="740">
        <f t="shared" ref="G30:K30" si="7">SUM(,G29,G25)</f>
        <v>0</v>
      </c>
      <c r="H30" s="740">
        <f t="shared" si="7"/>
        <v>0</v>
      </c>
      <c r="I30" s="740">
        <f t="shared" si="7"/>
        <v>0</v>
      </c>
      <c r="J30" s="740">
        <f t="shared" si="7"/>
        <v>0</v>
      </c>
      <c r="K30" s="740">
        <f t="shared" si="7"/>
        <v>0</v>
      </c>
    </row>
    <row r="31" spans="2:12" ht="12.75">
      <c r="B31" s="744"/>
      <c r="C31" s="744"/>
      <c r="D31" s="745"/>
      <c r="E31" s="609" t="s">
        <v>2472</v>
      </c>
      <c r="F31" s="746" t="s">
        <v>1403</v>
      </c>
      <c r="G31" s="747"/>
      <c r="H31" s="747"/>
      <c r="I31" s="747"/>
      <c r="J31" s="747"/>
      <c r="K31" s="747"/>
    </row>
    <row r="32" spans="2:12" ht="12.75">
      <c r="B32" s="744"/>
      <c r="C32" s="744"/>
      <c r="D32" s="745"/>
      <c r="E32" s="609" t="s">
        <v>2473</v>
      </c>
      <c r="F32" s="746" t="s">
        <v>1403</v>
      </c>
      <c r="G32" s="748"/>
      <c r="H32" s="748"/>
      <c r="I32" s="748"/>
      <c r="J32" s="748"/>
      <c r="K32" s="748"/>
    </row>
    <row r="34" spans="2:11" ht="14.25">
      <c r="B34" s="734"/>
      <c r="C34" s="735" t="s">
        <v>260</v>
      </c>
      <c r="D34" s="734" t="s">
        <v>2446</v>
      </c>
      <c r="E34" s="734" t="s">
        <v>2447</v>
      </c>
      <c r="F34" s="736" t="s">
        <v>1327</v>
      </c>
      <c r="G34" s="737">
        <v>2022</v>
      </c>
      <c r="H34" s="737">
        <v>2023</v>
      </c>
      <c r="I34" s="737">
        <v>2024</v>
      </c>
      <c r="J34" s="737">
        <v>2025</v>
      </c>
      <c r="K34" s="737">
        <v>2026</v>
      </c>
    </row>
    <row r="35" spans="2:11">
      <c r="B35" s="1379" t="s">
        <v>2474</v>
      </c>
      <c r="C35" s="1382" t="s">
        <v>2475</v>
      </c>
      <c r="D35" s="1382" t="s">
        <v>2476</v>
      </c>
      <c r="E35" s="738" t="s">
        <v>2452</v>
      </c>
      <c r="F35" s="738" t="s">
        <v>2173</v>
      </c>
      <c r="G35" s="739"/>
      <c r="H35" s="739"/>
      <c r="I35" s="739"/>
      <c r="J35" s="739"/>
      <c r="K35" s="739"/>
    </row>
    <row r="36" spans="2:11">
      <c r="B36" s="1380"/>
      <c r="C36" s="1383"/>
      <c r="D36" s="1383"/>
      <c r="E36" s="738" t="s">
        <v>2452</v>
      </c>
      <c r="F36" s="738" t="s">
        <v>2173</v>
      </c>
      <c r="G36" s="739"/>
      <c r="H36" s="739"/>
      <c r="I36" s="739"/>
      <c r="J36" s="739"/>
      <c r="K36" s="739"/>
    </row>
    <row r="37" spans="2:11">
      <c r="B37" s="1380"/>
      <c r="C37" s="1383"/>
      <c r="D37" s="1383"/>
      <c r="E37" s="734" t="s">
        <v>1055</v>
      </c>
      <c r="F37" s="738" t="s">
        <v>2173</v>
      </c>
      <c r="G37" s="741">
        <f t="shared" ref="G37:K37" si="8">SUM(G35:G36)</f>
        <v>0</v>
      </c>
      <c r="H37" s="741">
        <f t="shared" si="8"/>
        <v>0</v>
      </c>
      <c r="I37" s="741">
        <f t="shared" si="8"/>
        <v>0</v>
      </c>
      <c r="J37" s="741">
        <f t="shared" si="8"/>
        <v>0</v>
      </c>
      <c r="K37" s="741">
        <f t="shared" si="8"/>
        <v>0</v>
      </c>
    </row>
    <row r="38" spans="2:11">
      <c r="B38" s="1380"/>
      <c r="C38" s="1383"/>
      <c r="D38" s="1371" t="s">
        <v>2477</v>
      </c>
      <c r="E38" s="738" t="s">
        <v>2452</v>
      </c>
      <c r="F38" s="738" t="s">
        <v>2173</v>
      </c>
      <c r="G38" s="739"/>
      <c r="H38" s="739"/>
      <c r="I38" s="739"/>
      <c r="J38" s="739"/>
      <c r="K38" s="739"/>
    </row>
    <row r="39" spans="2:11">
      <c r="B39" s="1380"/>
      <c r="C39" s="1383"/>
      <c r="D39" s="1371"/>
      <c r="E39" s="738" t="s">
        <v>2452</v>
      </c>
      <c r="F39" s="738" t="s">
        <v>2173</v>
      </c>
      <c r="G39" s="739"/>
      <c r="H39" s="739"/>
      <c r="I39" s="739"/>
      <c r="J39" s="739"/>
      <c r="K39" s="739"/>
    </row>
    <row r="40" spans="2:11">
      <c r="B40" s="1380"/>
      <c r="C40" s="1383"/>
      <c r="D40" s="1371"/>
      <c r="E40" s="738" t="s">
        <v>2452</v>
      </c>
      <c r="F40" s="738" t="s">
        <v>2173</v>
      </c>
      <c r="G40" s="739"/>
      <c r="H40" s="739"/>
      <c r="I40" s="739"/>
      <c r="J40" s="739"/>
      <c r="K40" s="739"/>
    </row>
    <row r="41" spans="2:11">
      <c r="B41" s="1380"/>
      <c r="C41" s="1383"/>
      <c r="D41" s="1371"/>
      <c r="E41" s="734" t="s">
        <v>1055</v>
      </c>
      <c r="F41" s="738" t="s">
        <v>2173</v>
      </c>
      <c r="G41" s="741">
        <f t="shared" ref="G41:K41" si="9">SUM(G38:G40)</f>
        <v>0</v>
      </c>
      <c r="H41" s="741">
        <f t="shared" si="9"/>
        <v>0</v>
      </c>
      <c r="I41" s="741">
        <f t="shared" si="9"/>
        <v>0</v>
      </c>
      <c r="J41" s="741">
        <f t="shared" si="9"/>
        <v>0</v>
      </c>
      <c r="K41" s="741">
        <f t="shared" si="9"/>
        <v>0</v>
      </c>
    </row>
    <row r="42" spans="2:11">
      <c r="B42" s="1380"/>
      <c r="C42" s="1383"/>
      <c r="D42" s="1383" t="s">
        <v>2478</v>
      </c>
      <c r="E42" s="738" t="s">
        <v>2452</v>
      </c>
      <c r="F42" s="738" t="s">
        <v>2173</v>
      </c>
      <c r="G42" s="739"/>
      <c r="H42" s="739"/>
      <c r="I42" s="739"/>
      <c r="J42" s="739"/>
      <c r="K42" s="739"/>
    </row>
    <row r="43" spans="2:11">
      <c r="B43" s="1380"/>
      <c r="C43" s="1383"/>
      <c r="D43" s="1383"/>
      <c r="E43" s="738" t="s">
        <v>2452</v>
      </c>
      <c r="F43" s="738" t="s">
        <v>2173</v>
      </c>
      <c r="G43" s="739"/>
      <c r="H43" s="739"/>
      <c r="I43" s="739"/>
      <c r="J43" s="739"/>
      <c r="K43" s="739"/>
    </row>
    <row r="44" spans="2:11">
      <c r="B44" s="1380"/>
      <c r="C44" s="1383"/>
      <c r="D44" s="1383"/>
      <c r="E44" s="738" t="s">
        <v>2452</v>
      </c>
      <c r="F44" s="738" t="s">
        <v>2173</v>
      </c>
      <c r="G44" s="739"/>
      <c r="H44" s="739"/>
      <c r="I44" s="739"/>
      <c r="J44" s="739"/>
      <c r="K44" s="739"/>
    </row>
    <row r="45" spans="2:11">
      <c r="B45" s="1380"/>
      <c r="C45" s="1383"/>
      <c r="D45" s="1383"/>
      <c r="E45" s="734" t="s">
        <v>1055</v>
      </c>
      <c r="F45" s="738" t="s">
        <v>2173</v>
      </c>
      <c r="G45" s="741">
        <f t="shared" ref="G45:K45" si="10">SUM(G42:G44)</f>
        <v>0</v>
      </c>
      <c r="H45" s="741">
        <f t="shared" si="10"/>
        <v>0</v>
      </c>
      <c r="I45" s="741">
        <f t="shared" si="10"/>
        <v>0</v>
      </c>
      <c r="J45" s="741">
        <f t="shared" si="10"/>
        <v>0</v>
      </c>
      <c r="K45" s="741">
        <f t="shared" si="10"/>
        <v>0</v>
      </c>
    </row>
    <row r="46" spans="2:11">
      <c r="B46" s="1380"/>
      <c r="C46" s="1383"/>
      <c r="D46" s="1383" t="s">
        <v>2479</v>
      </c>
      <c r="E46" s="738" t="s">
        <v>2452</v>
      </c>
      <c r="F46" s="738" t="s">
        <v>2173</v>
      </c>
      <c r="G46" s="739"/>
      <c r="H46" s="739"/>
      <c r="I46" s="739"/>
      <c r="J46" s="739"/>
      <c r="K46" s="739"/>
    </row>
    <row r="47" spans="2:11">
      <c r="B47" s="1380"/>
      <c r="C47" s="1383"/>
      <c r="D47" s="1383"/>
      <c r="E47" s="738" t="s">
        <v>2452</v>
      </c>
      <c r="F47" s="738" t="s">
        <v>2173</v>
      </c>
      <c r="G47" s="739"/>
      <c r="H47" s="739"/>
      <c r="I47" s="739"/>
      <c r="J47" s="739"/>
      <c r="K47" s="739"/>
    </row>
    <row r="48" spans="2:11">
      <c r="B48" s="1380"/>
      <c r="C48" s="1383"/>
      <c r="D48" s="1383"/>
      <c r="E48" s="738" t="s">
        <v>2452</v>
      </c>
      <c r="F48" s="738" t="s">
        <v>2173</v>
      </c>
      <c r="G48" s="739"/>
      <c r="H48" s="739"/>
      <c r="I48" s="739"/>
      <c r="J48" s="739"/>
      <c r="K48" s="739"/>
    </row>
    <row r="49" spans="2:11">
      <c r="B49" s="1380"/>
      <c r="C49" s="1383"/>
      <c r="D49" s="1383"/>
      <c r="E49" s="734" t="s">
        <v>1055</v>
      </c>
      <c r="F49" s="738" t="s">
        <v>2173</v>
      </c>
      <c r="G49" s="741">
        <f t="shared" ref="G49:K49" si="11">SUM(G46:G48)</f>
        <v>0</v>
      </c>
      <c r="H49" s="741">
        <f t="shared" si="11"/>
        <v>0</v>
      </c>
      <c r="I49" s="741">
        <f t="shared" si="11"/>
        <v>0</v>
      </c>
      <c r="J49" s="741">
        <f t="shared" si="11"/>
        <v>0</v>
      </c>
      <c r="K49" s="741">
        <f t="shared" si="11"/>
        <v>0</v>
      </c>
    </row>
    <row r="50" spans="2:11">
      <c r="B50" s="1380"/>
      <c r="C50" s="1383"/>
      <c r="D50" s="1383" t="s">
        <v>2480</v>
      </c>
      <c r="E50" s="738" t="s">
        <v>2452</v>
      </c>
      <c r="F50" s="738" t="s">
        <v>2173</v>
      </c>
      <c r="G50" s="739"/>
      <c r="H50" s="739"/>
      <c r="I50" s="739"/>
      <c r="J50" s="739"/>
      <c r="K50" s="739"/>
    </row>
    <row r="51" spans="2:11">
      <c r="B51" s="1380"/>
      <c r="C51" s="1383"/>
      <c r="D51" s="1383"/>
      <c r="E51" s="738" t="s">
        <v>2452</v>
      </c>
      <c r="F51" s="738" t="s">
        <v>2173</v>
      </c>
      <c r="G51" s="739"/>
      <c r="H51" s="739"/>
      <c r="I51" s="739"/>
      <c r="J51" s="739"/>
      <c r="K51" s="739"/>
    </row>
    <row r="52" spans="2:11">
      <c r="B52" s="1380"/>
      <c r="C52" s="1383"/>
      <c r="D52" s="1383"/>
      <c r="E52" s="738" t="s">
        <v>2452</v>
      </c>
      <c r="F52" s="738" t="s">
        <v>2173</v>
      </c>
      <c r="G52" s="739"/>
      <c r="H52" s="739"/>
      <c r="I52" s="739"/>
      <c r="J52" s="739"/>
      <c r="K52" s="739"/>
    </row>
    <row r="53" spans="2:11">
      <c r="B53" s="1380"/>
      <c r="C53" s="1383"/>
      <c r="D53" s="1383"/>
      <c r="E53" s="734" t="s">
        <v>1055</v>
      </c>
      <c r="F53" s="738" t="s">
        <v>2173</v>
      </c>
      <c r="G53" s="741">
        <f t="shared" ref="G53:K53" si="12">SUM(G50:G52)</f>
        <v>0</v>
      </c>
      <c r="H53" s="741">
        <f t="shared" si="12"/>
        <v>0</v>
      </c>
      <c r="I53" s="741">
        <f t="shared" si="12"/>
        <v>0</v>
      </c>
      <c r="J53" s="741">
        <f t="shared" si="12"/>
        <v>0</v>
      </c>
      <c r="K53" s="741">
        <f t="shared" si="12"/>
        <v>0</v>
      </c>
    </row>
    <row r="54" spans="2:11">
      <c r="B54" s="1380"/>
      <c r="C54" s="1383"/>
      <c r="D54" s="1371" t="s">
        <v>2481</v>
      </c>
      <c r="E54" s="692" t="s">
        <v>3058</v>
      </c>
      <c r="F54" s="738" t="s">
        <v>2173</v>
      </c>
      <c r="G54" s="739"/>
      <c r="H54" s="739"/>
      <c r="I54" s="739"/>
      <c r="J54" s="739"/>
      <c r="K54" s="739"/>
    </row>
    <row r="55" spans="2:11">
      <c r="B55" s="1380"/>
      <c r="C55" s="1383"/>
      <c r="D55" s="1371"/>
      <c r="E55" s="692" t="s">
        <v>2482</v>
      </c>
      <c r="F55" s="738" t="s">
        <v>2173</v>
      </c>
      <c r="G55" s="739"/>
      <c r="H55" s="739"/>
      <c r="I55" s="739"/>
      <c r="J55" s="739"/>
      <c r="K55" s="739"/>
    </row>
    <row r="56" spans="2:11">
      <c r="B56" s="1380"/>
      <c r="C56" s="1383"/>
      <c r="D56" s="1371"/>
      <c r="E56" s="738" t="s">
        <v>2483</v>
      </c>
      <c r="F56" s="738" t="s">
        <v>2173</v>
      </c>
      <c r="G56" s="739"/>
      <c r="H56" s="739"/>
      <c r="I56" s="739"/>
      <c r="J56" s="739"/>
      <c r="K56" s="739"/>
    </row>
    <row r="57" spans="2:11">
      <c r="B57" s="1380"/>
      <c r="C57" s="1383"/>
      <c r="D57" s="1371"/>
      <c r="E57" s="738" t="s">
        <v>2484</v>
      </c>
      <c r="F57" s="738" t="s">
        <v>2173</v>
      </c>
      <c r="G57" s="739"/>
      <c r="H57" s="739"/>
      <c r="I57" s="739"/>
      <c r="J57" s="739"/>
      <c r="K57" s="739"/>
    </row>
    <row r="58" spans="2:11">
      <c r="B58" s="1380"/>
      <c r="C58" s="1383"/>
      <c r="D58" s="1371"/>
      <c r="E58" s="738" t="s">
        <v>2485</v>
      </c>
      <c r="F58" s="738" t="s">
        <v>2173</v>
      </c>
      <c r="G58" s="739"/>
      <c r="H58" s="739"/>
      <c r="I58" s="739"/>
      <c r="J58" s="739"/>
      <c r="K58" s="739"/>
    </row>
    <row r="59" spans="2:11">
      <c r="B59" s="1380"/>
      <c r="C59" s="1383"/>
      <c r="D59" s="1371"/>
      <c r="E59" s="738" t="s">
        <v>2452</v>
      </c>
      <c r="F59" s="738" t="s">
        <v>2173</v>
      </c>
      <c r="G59" s="739"/>
      <c r="H59" s="739"/>
      <c r="I59" s="739"/>
      <c r="J59" s="739"/>
      <c r="K59" s="739"/>
    </row>
    <row r="60" spans="2:11">
      <c r="B60" s="1380"/>
      <c r="C60" s="1383"/>
      <c r="D60" s="1371"/>
      <c r="E60" s="734" t="s">
        <v>1055</v>
      </c>
      <c r="F60" s="738" t="s">
        <v>2173</v>
      </c>
      <c r="G60" s="741">
        <f t="shared" ref="G60:K60" si="13">SUM(G54:G59)</f>
        <v>0</v>
      </c>
      <c r="H60" s="741">
        <f t="shared" si="13"/>
        <v>0</v>
      </c>
      <c r="I60" s="741">
        <f t="shared" si="13"/>
        <v>0</v>
      </c>
      <c r="J60" s="741">
        <f t="shared" si="13"/>
        <v>0</v>
      </c>
      <c r="K60" s="741">
        <f t="shared" si="13"/>
        <v>0</v>
      </c>
    </row>
    <row r="61" spans="2:11">
      <c r="B61" s="1380"/>
      <c r="C61" s="1383"/>
      <c r="D61" s="1371" t="s">
        <v>2486</v>
      </c>
      <c r="E61" s="738" t="s">
        <v>2452</v>
      </c>
      <c r="F61" s="738" t="s">
        <v>2173</v>
      </c>
      <c r="G61" s="739"/>
      <c r="H61" s="739"/>
      <c r="I61" s="739"/>
      <c r="J61" s="739"/>
      <c r="K61" s="739"/>
    </row>
    <row r="62" spans="2:11">
      <c r="B62" s="1380"/>
      <c r="C62" s="1383"/>
      <c r="D62" s="1371"/>
      <c r="E62" s="738" t="s">
        <v>2452</v>
      </c>
      <c r="F62" s="738" t="s">
        <v>2173</v>
      </c>
      <c r="G62" s="739"/>
      <c r="H62" s="739"/>
      <c r="I62" s="739"/>
      <c r="J62" s="739"/>
      <c r="K62" s="739"/>
    </row>
    <row r="63" spans="2:11">
      <c r="B63" s="1380"/>
      <c r="C63" s="1383"/>
      <c r="D63" s="1371"/>
      <c r="E63" s="738" t="s">
        <v>2452</v>
      </c>
      <c r="F63" s="738" t="s">
        <v>2173</v>
      </c>
      <c r="G63" s="739"/>
      <c r="H63" s="739"/>
      <c r="I63" s="739"/>
      <c r="J63" s="739"/>
      <c r="K63" s="739"/>
    </row>
    <row r="64" spans="2:11">
      <c r="B64" s="1380"/>
      <c r="C64" s="1383"/>
      <c r="D64" s="1371"/>
      <c r="E64" s="734" t="s">
        <v>1055</v>
      </c>
      <c r="F64" s="738" t="s">
        <v>2173</v>
      </c>
      <c r="G64" s="741">
        <f t="shared" ref="G64:K64" si="14">SUM(G61:G63)</f>
        <v>0</v>
      </c>
      <c r="H64" s="741">
        <f t="shared" si="14"/>
        <v>0</v>
      </c>
      <c r="I64" s="741">
        <f t="shared" si="14"/>
        <v>0</v>
      </c>
      <c r="J64" s="741">
        <f t="shared" si="14"/>
        <v>0</v>
      </c>
      <c r="K64" s="741">
        <f t="shared" si="14"/>
        <v>0</v>
      </c>
    </row>
    <row r="65" spans="2:11">
      <c r="B65" s="1380"/>
      <c r="C65" s="1383"/>
      <c r="D65" s="1371" t="s">
        <v>2487</v>
      </c>
      <c r="E65" s="738" t="s">
        <v>2452</v>
      </c>
      <c r="F65" s="738" t="s">
        <v>2173</v>
      </c>
      <c r="G65" s="739"/>
      <c r="H65" s="739"/>
      <c r="I65" s="739"/>
      <c r="J65" s="739"/>
      <c r="K65" s="739"/>
    </row>
    <row r="66" spans="2:11">
      <c r="B66" s="1380"/>
      <c r="C66" s="1383"/>
      <c r="D66" s="1371"/>
      <c r="E66" s="738" t="s">
        <v>2452</v>
      </c>
      <c r="F66" s="738" t="s">
        <v>2173</v>
      </c>
      <c r="G66" s="739"/>
      <c r="H66" s="739"/>
      <c r="I66" s="739"/>
      <c r="J66" s="739"/>
      <c r="K66" s="739"/>
    </row>
    <row r="67" spans="2:11">
      <c r="B67" s="1380"/>
      <c r="C67" s="1383"/>
      <c r="D67" s="1371"/>
      <c r="E67" s="738" t="s">
        <v>2452</v>
      </c>
      <c r="F67" s="738" t="s">
        <v>2173</v>
      </c>
      <c r="G67" s="739"/>
      <c r="H67" s="739"/>
      <c r="I67" s="739"/>
      <c r="J67" s="739"/>
      <c r="K67" s="739"/>
    </row>
    <row r="68" spans="2:11">
      <c r="B68" s="1380"/>
      <c r="C68" s="1383"/>
      <c r="D68" s="1372"/>
      <c r="E68" s="734" t="s">
        <v>1055</v>
      </c>
      <c r="F68" s="738" t="s">
        <v>2173</v>
      </c>
      <c r="G68" s="741">
        <f t="shared" ref="G68:K68" si="15">SUM(G65:G67)</f>
        <v>0</v>
      </c>
      <c r="H68" s="741">
        <f t="shared" si="15"/>
        <v>0</v>
      </c>
      <c r="I68" s="741">
        <f t="shared" si="15"/>
        <v>0</v>
      </c>
      <c r="J68" s="741">
        <f t="shared" si="15"/>
        <v>0</v>
      </c>
      <c r="K68" s="741">
        <f t="shared" si="15"/>
        <v>0</v>
      </c>
    </row>
    <row r="69" spans="2:11">
      <c r="B69" s="1381"/>
      <c r="C69" s="1384"/>
      <c r="D69" s="1376" t="s">
        <v>2488</v>
      </c>
      <c r="E69" s="1377"/>
      <c r="F69" s="734" t="s">
        <v>2173</v>
      </c>
      <c r="G69" s="740">
        <f>G68+G64+G60+G53+G49+G45+G41+G37</f>
        <v>0</v>
      </c>
      <c r="H69" s="740">
        <f>H68+H64+H60+H53+H49+H45+H41+H37</f>
        <v>0</v>
      </c>
      <c r="I69" s="740">
        <f>I68+I64+I60+I53+I49+I45+I41+I37</f>
        <v>0</v>
      </c>
      <c r="J69" s="740">
        <f>J68+J64+J60+J53+J49+J45+J41+J37</f>
        <v>0</v>
      </c>
      <c r="K69" s="740">
        <f>K68+K64+K60+K53+K49+K45+K41+K37</f>
        <v>0</v>
      </c>
    </row>
  </sheetData>
  <mergeCells count="22">
    <mergeCell ref="D65:D68"/>
    <mergeCell ref="D69:E69"/>
    <mergeCell ref="D30:E30"/>
    <mergeCell ref="B35:B69"/>
    <mergeCell ref="C35:C69"/>
    <mergeCell ref="D35:D37"/>
    <mergeCell ref="D38:D41"/>
    <mergeCell ref="D42:D45"/>
    <mergeCell ref="D46:D49"/>
    <mergeCell ref="D50:D53"/>
    <mergeCell ref="D54:D60"/>
    <mergeCell ref="D61:D64"/>
    <mergeCell ref="B10:B30"/>
    <mergeCell ref="C10:C25"/>
    <mergeCell ref="D10:D12"/>
    <mergeCell ref="D13:D16"/>
    <mergeCell ref="D17:D20"/>
    <mergeCell ref="D21:D24"/>
    <mergeCell ref="D25:E25"/>
    <mergeCell ref="C26:C29"/>
    <mergeCell ref="D26:D28"/>
    <mergeCell ref="D29:E29"/>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7"/>
  <sheetViews>
    <sheetView zoomScale="80" zoomScaleNormal="80" workbookViewId="0"/>
  </sheetViews>
  <sheetFormatPr defaultColWidth="0" defaultRowHeight="12.4"/>
  <cols>
    <col min="1" max="1" width="5.265625" style="751" customWidth="1"/>
    <col min="2" max="2" width="53.265625" style="751" customWidth="1"/>
    <col min="3" max="3" width="18.86328125" style="751" customWidth="1"/>
    <col min="4" max="4" width="34.73046875" style="751" customWidth="1"/>
    <col min="5" max="5" width="21.59765625" style="751" customWidth="1"/>
    <col min="6" max="6" width="27.265625" style="751" customWidth="1"/>
    <col min="7" max="7" width="23.3984375" style="751" customWidth="1"/>
    <col min="8" max="8" width="23.265625" style="751" customWidth="1"/>
    <col min="9" max="9" width="21.3984375" style="751" customWidth="1"/>
    <col min="10" max="10" width="24.1328125" style="751" customWidth="1"/>
    <col min="11" max="11" width="24.73046875" style="751" customWidth="1"/>
    <col min="12" max="12" width="26.1328125" style="751" customWidth="1"/>
    <col min="13" max="17" width="19.59765625" style="751" customWidth="1"/>
    <col min="18" max="18" width="39.59765625" style="751" bestFit="1" customWidth="1"/>
    <col min="19" max="19" width="19.59765625" style="751" customWidth="1"/>
    <col min="20" max="21" width="26.86328125" style="751" bestFit="1" customWidth="1"/>
    <col min="22" max="22" width="20.59765625" style="751" customWidth="1"/>
    <col min="23" max="23" width="11" style="751" customWidth="1"/>
    <col min="24" max="24" width="14.1328125" style="751" bestFit="1" customWidth="1"/>
    <col min="25" max="25" width="40.59765625" style="751" customWidth="1"/>
    <col min="26" max="26" width="26.86328125" style="751" bestFit="1" customWidth="1"/>
    <col min="27" max="27" width="22.265625" style="751" customWidth="1"/>
    <col min="28" max="28" width="21.86328125" style="751" customWidth="1"/>
    <col min="29" max="29" width="25.3984375" style="751" customWidth="1"/>
    <col min="30" max="30" width="16.59765625" style="751" customWidth="1"/>
    <col min="31" max="31" width="26.86328125" style="751" bestFit="1" customWidth="1"/>
    <col min="32" max="32" width="39.59765625" style="751" bestFit="1" customWidth="1"/>
    <col min="33" max="33" width="18.73046875" style="751" bestFit="1" customWidth="1"/>
    <col min="34" max="34" width="18.59765625" style="751" bestFit="1" customWidth="1"/>
    <col min="35" max="35" width="26.86328125" style="751" bestFit="1" customWidth="1"/>
    <col min="36" max="36" width="19.59765625" style="751" bestFit="1" customWidth="1"/>
    <col min="37" max="37" width="11" style="751" customWidth="1"/>
    <col min="38" max="38" width="18.86328125" style="751" customWidth="1"/>
    <col min="39" max="39" width="23" style="751" customWidth="1"/>
    <col min="40" max="40" width="15.73046875" style="751" customWidth="1"/>
    <col min="41" max="41" width="24.265625" style="751" bestFit="1" customWidth="1"/>
    <col min="42" max="42" width="20.86328125" style="751" customWidth="1"/>
    <col min="43" max="43" width="19.73046875" style="751" bestFit="1" customWidth="1"/>
    <col min="44" max="44" width="16.59765625" style="751" customWidth="1"/>
    <col min="45" max="45" width="14.3984375" style="751" customWidth="1"/>
    <col min="46" max="46" width="20.265625" style="751" customWidth="1"/>
    <col min="47" max="47" width="13.73046875" style="751" customWidth="1"/>
    <col min="48" max="48" width="12.3984375" style="751" bestFit="1" customWidth="1"/>
    <col min="49" max="49" width="21.59765625" style="751" bestFit="1" customWidth="1"/>
    <col min="50" max="50" width="23" style="751" customWidth="1"/>
    <col min="51" max="51" width="29.86328125" style="751" customWidth="1"/>
    <col min="52" max="52" width="27" style="751" customWidth="1"/>
    <col min="53" max="53" width="11" style="751" customWidth="1"/>
    <col min="54" max="54" width="16.59765625" style="751" customWidth="1"/>
    <col min="55" max="55" width="19.73046875" style="751" bestFit="1" customWidth="1"/>
    <col min="56" max="56" width="16.59765625" style="751" customWidth="1"/>
    <col min="57" max="57" width="11" style="751" customWidth="1"/>
    <col min="58" max="58" width="19.73046875" style="751" bestFit="1" customWidth="1"/>
    <col min="59" max="59" width="16.86328125" style="751" customWidth="1"/>
    <col min="60" max="61" width="11" style="751" customWidth="1"/>
    <col min="62" max="62" width="16.3984375" style="751" customWidth="1"/>
    <col min="63" max="64" width="11" style="751" customWidth="1"/>
    <col min="65" max="65" width="11.1328125" style="751" customWidth="1"/>
    <col min="66" max="66" width="11.1328125" style="786" customWidth="1" collapsed="1"/>
    <col min="67" max="67" width="11.1328125" style="786" customWidth="1"/>
    <col min="68" max="68" width="11" style="786" customWidth="1"/>
    <col min="69" max="84" width="11" style="786" hidden="1" customWidth="1"/>
    <col min="85" max="85" width="8.59765625" style="786" hidden="1" customWidth="1"/>
    <col min="86" max="92" width="0" style="751" hidden="1" customWidth="1"/>
    <col min="93" max="93" width="8.59765625" style="751" hidden="1" customWidth="1"/>
    <col min="94" max="108" width="0" style="751" hidden="1" customWidth="1"/>
    <col min="109" max="16384" width="9.3984375" style="751" hidden="1"/>
  </cols>
  <sheetData>
    <row r="1" spans="1:88" s="73" customFormat="1" ht="23.25">
      <c r="A1" s="89" t="str">
        <f>'1.1 Cover'!A2</f>
        <v>Regulatory Reporting Pack</v>
      </c>
    </row>
    <row r="2" spans="1:88" s="73" customFormat="1" ht="23.25">
      <c r="A2" s="89" t="str">
        <f>'1.1 Cover'!A3</f>
        <v>Price base - 2018/19</v>
      </c>
    </row>
    <row r="3" spans="1:88" s="73" customFormat="1" ht="23.25">
      <c r="A3" s="89" t="str">
        <f>'1.1 Cover'!A4</f>
        <v>Regulatory Year: April 2021 - March 2022</v>
      </c>
    </row>
    <row r="4" spans="1:88" s="73" customFormat="1" ht="23.25">
      <c r="A4" s="89" t="s">
        <v>2643</v>
      </c>
    </row>
    <row r="5" spans="1:88">
      <c r="BN5" s="751"/>
      <c r="BO5" s="751"/>
      <c r="BP5" s="752"/>
      <c r="BQ5" s="752"/>
      <c r="BR5" s="752"/>
      <c r="BS5" s="752"/>
      <c r="BT5" s="752"/>
      <c r="BU5" s="752"/>
      <c r="BV5" s="752"/>
      <c r="BW5" s="752"/>
      <c r="BX5" s="752"/>
      <c r="BY5" s="752"/>
      <c r="BZ5" s="752"/>
      <c r="CA5" s="752"/>
      <c r="CB5" s="752"/>
      <c r="CC5" s="752"/>
      <c r="CD5" s="752"/>
      <c r="CE5" s="752"/>
      <c r="CF5" s="752"/>
      <c r="CG5" s="752"/>
      <c r="CH5" s="752"/>
      <c r="CI5" s="752"/>
      <c r="CJ5" s="752"/>
    </row>
    <row r="6" spans="1:88">
      <c r="BN6" s="751"/>
      <c r="BO6" s="751"/>
      <c r="BP6" s="752"/>
      <c r="BQ6" s="752"/>
      <c r="BR6" s="752"/>
      <c r="BS6" s="752"/>
      <c r="BT6" s="752"/>
      <c r="BU6" s="752"/>
      <c r="BV6" s="752"/>
      <c r="BW6" s="752"/>
      <c r="BX6" s="752"/>
      <c r="BY6" s="752"/>
      <c r="BZ6" s="752"/>
      <c r="CA6" s="752"/>
      <c r="CB6" s="752"/>
      <c r="CC6" s="752"/>
      <c r="CD6" s="752"/>
      <c r="CE6" s="752"/>
      <c r="CF6" s="752"/>
      <c r="CG6" s="752"/>
      <c r="CH6" s="752"/>
      <c r="CI6" s="752"/>
      <c r="CJ6" s="752"/>
    </row>
    <row r="7" spans="1:88">
      <c r="BN7" s="751"/>
      <c r="BO7" s="751"/>
      <c r="BP7" s="752"/>
      <c r="BQ7" s="752"/>
      <c r="BR7" s="752"/>
      <c r="BS7" s="752"/>
      <c r="BT7" s="752"/>
      <c r="BU7" s="752"/>
      <c r="BV7" s="752"/>
      <c r="BW7" s="752"/>
      <c r="BX7" s="752"/>
      <c r="BY7" s="752"/>
      <c r="BZ7" s="752"/>
      <c r="CA7" s="752"/>
      <c r="CB7" s="752"/>
      <c r="CC7" s="752"/>
      <c r="CD7" s="752"/>
      <c r="CE7" s="752"/>
      <c r="CF7" s="752"/>
      <c r="CG7" s="752"/>
      <c r="CH7" s="752"/>
      <c r="CI7" s="752"/>
      <c r="CJ7" s="752"/>
    </row>
    <row r="8" spans="1:88">
      <c r="BN8" s="751"/>
      <c r="BO8" s="751"/>
      <c r="BP8" s="752"/>
      <c r="BQ8" s="752"/>
      <c r="BR8" s="752"/>
      <c r="BS8" s="752"/>
      <c r="BT8" s="752"/>
      <c r="BU8" s="752"/>
      <c r="BV8" s="752"/>
      <c r="BW8" s="752"/>
      <c r="BX8" s="752"/>
      <c r="BY8" s="752"/>
      <c r="BZ8" s="752"/>
      <c r="CA8" s="752"/>
      <c r="CB8" s="752"/>
      <c r="CC8" s="752"/>
      <c r="CD8" s="752"/>
      <c r="CE8" s="752"/>
      <c r="CF8" s="752"/>
      <c r="CG8" s="752"/>
      <c r="CH8" s="752"/>
      <c r="CI8" s="752"/>
      <c r="CJ8" s="752"/>
    </row>
    <row r="9" spans="1:88">
      <c r="BN9" s="751"/>
      <c r="BO9" s="751"/>
      <c r="BP9" s="752"/>
      <c r="BQ9" s="752"/>
      <c r="BR9" s="752"/>
      <c r="BS9" s="752"/>
      <c r="BT9" s="752"/>
      <c r="BU9" s="752"/>
      <c r="BV9" s="752"/>
      <c r="BW9" s="752"/>
      <c r="BX9" s="752"/>
      <c r="BY9" s="752"/>
      <c r="BZ9" s="752"/>
      <c r="CA9" s="752"/>
      <c r="CB9" s="752"/>
      <c r="CC9" s="752"/>
      <c r="CD9" s="752"/>
      <c r="CE9" s="752"/>
      <c r="CF9" s="752"/>
      <c r="CG9" s="752"/>
      <c r="CH9" s="752"/>
      <c r="CI9" s="752"/>
      <c r="CJ9" s="752"/>
    </row>
    <row r="10" spans="1:88">
      <c r="B10" s="753" t="s">
        <v>2497</v>
      </c>
      <c r="D10" s="754"/>
      <c r="E10" s="754"/>
      <c r="F10" s="754"/>
      <c r="G10" s="754"/>
      <c r="H10" s="754"/>
      <c r="BN10" s="751"/>
      <c r="BO10" s="751"/>
      <c r="BP10" s="752"/>
      <c r="BQ10" s="752"/>
      <c r="BR10" s="752"/>
      <c r="BS10" s="752"/>
      <c r="BT10" s="752"/>
      <c r="BU10" s="752"/>
      <c r="BV10" s="752"/>
      <c r="BW10" s="752"/>
      <c r="BX10" s="752"/>
      <c r="BY10" s="752"/>
      <c r="BZ10" s="752"/>
      <c r="CA10" s="752"/>
      <c r="CB10" s="752"/>
      <c r="CC10" s="752"/>
      <c r="CD10" s="752"/>
      <c r="CE10" s="752"/>
      <c r="CF10" s="752"/>
      <c r="CG10" s="752"/>
      <c r="CH10" s="752"/>
      <c r="CI10" s="752"/>
      <c r="CJ10" s="752"/>
    </row>
    <row r="11" spans="1:88" ht="14.65" thickBot="1">
      <c r="B11" s="755"/>
      <c r="C11" s="756"/>
      <c r="D11" s="757">
        <v>2022</v>
      </c>
      <c r="E11" s="758">
        <v>2023</v>
      </c>
      <c r="F11" s="759">
        <v>2024</v>
      </c>
      <c r="G11" s="758">
        <v>2025</v>
      </c>
      <c r="H11" s="760">
        <v>2026</v>
      </c>
      <c r="BN11" s="751"/>
      <c r="BO11" s="752"/>
      <c r="BP11" s="752"/>
      <c r="BQ11" s="752"/>
      <c r="BR11" s="752"/>
      <c r="BS11" s="752"/>
      <c r="BT11" s="752"/>
      <c r="BU11" s="752"/>
      <c r="BV11" s="752"/>
      <c r="BW11" s="752"/>
      <c r="BX11" s="752"/>
      <c r="BY11" s="752"/>
      <c r="BZ11" s="752"/>
      <c r="CA11" s="752"/>
      <c r="CB11" s="752"/>
      <c r="CC11" s="752"/>
      <c r="CD11" s="752"/>
      <c r="CE11" s="752"/>
      <c r="CF11" s="752"/>
      <c r="CG11" s="752"/>
      <c r="CH11" s="752"/>
      <c r="CI11" s="752"/>
    </row>
    <row r="12" spans="1:88" ht="14.25">
      <c r="B12" s="761" t="s">
        <v>2498</v>
      </c>
      <c r="C12" s="762" t="s">
        <v>1403</v>
      </c>
      <c r="D12" s="763">
        <f>H33</f>
        <v>-1</v>
      </c>
      <c r="E12" s="763">
        <f>O33</f>
        <v>-1</v>
      </c>
      <c r="F12" s="763">
        <f>V33</f>
        <v>-1</v>
      </c>
      <c r="G12" s="763">
        <f>AC33</f>
        <v>-1</v>
      </c>
      <c r="H12" s="764">
        <f>AJ33</f>
        <v>-1</v>
      </c>
      <c r="BN12" s="751"/>
      <c r="BO12" s="752"/>
      <c r="BP12" s="752"/>
      <c r="BQ12" s="752"/>
      <c r="BR12" s="752"/>
      <c r="BS12" s="752"/>
      <c r="BT12" s="752"/>
      <c r="BU12" s="752"/>
      <c r="BV12" s="752"/>
      <c r="BW12" s="752"/>
      <c r="BX12" s="752"/>
      <c r="BY12" s="752"/>
      <c r="BZ12" s="752"/>
      <c r="CA12" s="752"/>
      <c r="CB12" s="752"/>
      <c r="CC12" s="752"/>
      <c r="CD12" s="752"/>
      <c r="CE12" s="752"/>
      <c r="CF12" s="752"/>
      <c r="CG12" s="752"/>
      <c r="CH12" s="752"/>
      <c r="CI12" s="752"/>
    </row>
    <row r="13" spans="1:88" ht="14.25">
      <c r="B13" s="761" t="s">
        <v>2499</v>
      </c>
      <c r="C13" s="765" t="s">
        <v>1403</v>
      </c>
      <c r="D13" s="763">
        <f>H46</f>
        <v>-1</v>
      </c>
      <c r="E13" s="763">
        <f>O46</f>
        <v>-1</v>
      </c>
      <c r="F13" s="763">
        <f>V46</f>
        <v>-1</v>
      </c>
      <c r="G13" s="763">
        <f>AC46</f>
        <v>-1</v>
      </c>
      <c r="H13" s="764">
        <f>AJ46</f>
        <v>-1</v>
      </c>
      <c r="BN13" s="751"/>
      <c r="BO13" s="752"/>
      <c r="BP13" s="752"/>
      <c r="BQ13" s="752"/>
      <c r="BR13" s="752"/>
      <c r="BS13" s="752"/>
      <c r="BT13" s="752"/>
      <c r="BU13" s="752"/>
      <c r="BV13" s="752"/>
      <c r="BW13" s="752"/>
      <c r="BX13" s="752"/>
      <c r="BY13" s="752"/>
      <c r="BZ13" s="752"/>
      <c r="CA13" s="752"/>
      <c r="CB13" s="752"/>
      <c r="CC13" s="752"/>
      <c r="CD13" s="752"/>
      <c r="CE13" s="752"/>
      <c r="CF13" s="752"/>
      <c r="CG13" s="752"/>
      <c r="CH13" s="752"/>
      <c r="CI13" s="752"/>
    </row>
    <row r="14" spans="1:88" ht="14.25">
      <c r="B14" s="761" t="s">
        <v>2500</v>
      </c>
      <c r="C14" s="765" t="s">
        <v>1403</v>
      </c>
      <c r="D14" s="763" t="e">
        <f>E82</f>
        <v>#DIV/0!</v>
      </c>
      <c r="E14" s="763" t="e">
        <f>L82</f>
        <v>#DIV/0!</v>
      </c>
      <c r="F14" s="763" t="e">
        <f>S82</f>
        <v>#DIV/0!</v>
      </c>
      <c r="G14" s="763" t="e">
        <f>Z82</f>
        <v>#DIV/0!</v>
      </c>
      <c r="H14" s="764" t="e">
        <f>AG82</f>
        <v>#DIV/0!</v>
      </c>
      <c r="BN14" s="751"/>
      <c r="BO14" s="752"/>
      <c r="BP14" s="752"/>
      <c r="BQ14" s="752"/>
      <c r="BR14" s="752"/>
      <c r="BS14" s="752"/>
      <c r="BT14" s="752"/>
      <c r="BU14" s="752"/>
      <c r="BV14" s="752"/>
      <c r="BW14" s="752"/>
      <c r="BX14" s="752"/>
      <c r="BY14" s="752"/>
      <c r="BZ14" s="752"/>
      <c r="CA14" s="752"/>
      <c r="CB14" s="752"/>
      <c r="CC14" s="752"/>
      <c r="CD14" s="752"/>
      <c r="CE14" s="752"/>
      <c r="CF14" s="752"/>
      <c r="CG14" s="752"/>
      <c r="CH14" s="752"/>
      <c r="CI14" s="752"/>
    </row>
    <row r="15" spans="1:88" ht="14.25">
      <c r="B15" s="761" t="s">
        <v>2501</v>
      </c>
      <c r="C15" s="765" t="s">
        <v>1403</v>
      </c>
      <c r="D15" s="763">
        <f>E118</f>
        <v>-1</v>
      </c>
      <c r="E15" s="763">
        <f>L118</f>
        <v>-1</v>
      </c>
      <c r="F15" s="763">
        <f>S118</f>
        <v>-1</v>
      </c>
      <c r="G15" s="763">
        <f>Z118</f>
        <v>-1</v>
      </c>
      <c r="H15" s="764">
        <f>AG118</f>
        <v>-1</v>
      </c>
      <c r="BN15" s="751"/>
      <c r="BO15" s="752"/>
      <c r="BP15" s="752"/>
      <c r="BQ15" s="752"/>
      <c r="BR15" s="752"/>
      <c r="BS15" s="752"/>
      <c r="BT15" s="752"/>
      <c r="BU15" s="752"/>
      <c r="BV15" s="752"/>
      <c r="BW15" s="752"/>
      <c r="BX15" s="752"/>
      <c r="BY15" s="752"/>
      <c r="BZ15" s="752"/>
      <c r="CA15" s="752"/>
      <c r="CB15" s="752"/>
      <c r="CC15" s="752"/>
      <c r="CD15" s="752"/>
      <c r="CE15" s="752"/>
      <c r="CF15" s="752"/>
      <c r="CG15" s="752"/>
      <c r="CH15" s="752"/>
      <c r="CI15" s="752"/>
    </row>
    <row r="16" spans="1:88" ht="14.25">
      <c r="B16" s="761" t="s">
        <v>2502</v>
      </c>
      <c r="C16" s="765" t="s">
        <v>1403</v>
      </c>
      <c r="D16" s="763">
        <f>E132</f>
        <v>-1</v>
      </c>
      <c r="E16" s="763">
        <f>L132</f>
        <v>-1</v>
      </c>
      <c r="F16" s="763">
        <f>S132</f>
        <v>-1</v>
      </c>
      <c r="G16" s="763">
        <f>Z132</f>
        <v>-1</v>
      </c>
      <c r="H16" s="764">
        <f>AG132</f>
        <v>-1</v>
      </c>
      <c r="BN16" s="751"/>
      <c r="BO16" s="752"/>
      <c r="BP16" s="752"/>
      <c r="BQ16" s="752"/>
      <c r="BR16" s="752"/>
      <c r="BS16" s="752"/>
      <c r="BT16" s="752"/>
      <c r="BU16" s="752"/>
      <c r="BV16" s="752"/>
      <c r="BW16" s="752"/>
      <c r="BX16" s="752"/>
      <c r="BY16" s="752"/>
      <c r="BZ16" s="752"/>
      <c r="CA16" s="752"/>
      <c r="CB16" s="752"/>
      <c r="CC16" s="752"/>
      <c r="CD16" s="752"/>
      <c r="CE16" s="752"/>
      <c r="CF16" s="752"/>
      <c r="CG16" s="752"/>
      <c r="CH16" s="752"/>
      <c r="CI16" s="752"/>
    </row>
    <row r="17" spans="2:88" ht="14.25">
      <c r="B17" s="766" t="s">
        <v>2503</v>
      </c>
      <c r="C17" s="765" t="s">
        <v>1403</v>
      </c>
      <c r="D17" s="763">
        <f>E169</f>
        <v>-1</v>
      </c>
      <c r="E17" s="763">
        <f>P169</f>
        <v>-1</v>
      </c>
      <c r="F17" s="763">
        <f>AA169</f>
        <v>-1</v>
      </c>
      <c r="G17" s="763">
        <f>AM169</f>
        <v>-1</v>
      </c>
      <c r="H17" s="764">
        <f>AY169</f>
        <v>-1</v>
      </c>
      <c r="BN17" s="751"/>
      <c r="BO17" s="752"/>
      <c r="BP17" s="752"/>
      <c r="BQ17" s="752"/>
      <c r="BR17" s="752"/>
      <c r="BS17" s="752"/>
      <c r="BT17" s="752"/>
      <c r="BU17" s="752"/>
      <c r="BV17" s="752"/>
      <c r="BW17" s="752"/>
      <c r="BX17" s="752"/>
      <c r="BY17" s="752"/>
      <c r="BZ17" s="752"/>
      <c r="CA17" s="752"/>
      <c r="CB17" s="752"/>
      <c r="CC17" s="752"/>
      <c r="CD17" s="752"/>
      <c r="CE17" s="752"/>
      <c r="CF17" s="752"/>
      <c r="CG17" s="752"/>
      <c r="CH17" s="752"/>
      <c r="CI17" s="752"/>
    </row>
    <row r="18" spans="2:88" ht="14.25">
      <c r="B18" s="767" t="s">
        <v>2504</v>
      </c>
      <c r="C18" s="768" t="s">
        <v>2505</v>
      </c>
      <c r="D18" s="769">
        <f>E204</f>
        <v>0</v>
      </c>
      <c r="E18" s="769">
        <f>R204</f>
        <v>0</v>
      </c>
      <c r="F18" s="769">
        <f>AE204</f>
        <v>0</v>
      </c>
      <c r="G18" s="769">
        <f>AR204</f>
        <v>0</v>
      </c>
      <c r="H18" s="769">
        <f>BE204</f>
        <v>0</v>
      </c>
      <c r="BN18" s="751"/>
      <c r="BO18" s="752"/>
      <c r="BP18" s="752"/>
      <c r="BQ18" s="752"/>
      <c r="BR18" s="752"/>
      <c r="BS18" s="752"/>
      <c r="BT18" s="752"/>
      <c r="BU18" s="752"/>
      <c r="BV18" s="752"/>
      <c r="BW18" s="752"/>
      <c r="BX18" s="752"/>
      <c r="BY18" s="752"/>
      <c r="BZ18" s="752"/>
      <c r="CA18" s="752"/>
      <c r="CB18" s="752"/>
      <c r="CC18" s="752"/>
      <c r="CD18" s="752"/>
      <c r="CE18" s="752"/>
      <c r="CF18" s="752"/>
      <c r="CG18" s="752"/>
      <c r="CH18" s="752"/>
      <c r="CI18" s="752"/>
    </row>
    <row r="19" spans="2:88" ht="14.65" thickBot="1">
      <c r="B19" s="770" t="s">
        <v>2506</v>
      </c>
      <c r="C19" s="771" t="s">
        <v>2505</v>
      </c>
      <c r="D19" s="769">
        <f>E205</f>
        <v>0</v>
      </c>
      <c r="E19" s="769">
        <f>R205</f>
        <v>0</v>
      </c>
      <c r="F19" s="769">
        <f>AE205</f>
        <v>0</v>
      </c>
      <c r="G19" s="769">
        <f>AR205</f>
        <v>0</v>
      </c>
      <c r="H19" s="769">
        <f>BE205</f>
        <v>0</v>
      </c>
      <c r="BN19" s="751"/>
      <c r="BO19" s="752"/>
      <c r="BP19" s="752"/>
      <c r="BQ19" s="752"/>
      <c r="BR19" s="752"/>
      <c r="BS19" s="752"/>
      <c r="BT19" s="752"/>
      <c r="BU19" s="752"/>
      <c r="BV19" s="752"/>
      <c r="BW19" s="752"/>
      <c r="BX19" s="752"/>
      <c r="BY19" s="752"/>
      <c r="BZ19" s="752"/>
      <c r="CA19" s="752"/>
      <c r="CB19" s="752"/>
      <c r="CC19" s="752"/>
      <c r="CD19" s="752"/>
      <c r="CE19" s="752"/>
      <c r="CF19" s="752"/>
      <c r="CG19" s="752"/>
      <c r="CH19" s="752"/>
      <c r="CI19" s="752"/>
    </row>
    <row r="20" spans="2:88">
      <c r="BN20" s="751"/>
      <c r="BO20" s="751"/>
      <c r="BP20" s="752"/>
      <c r="BQ20" s="752"/>
      <c r="BR20" s="752"/>
      <c r="BS20" s="752"/>
      <c r="BT20" s="752"/>
      <c r="BU20" s="752"/>
      <c r="BV20" s="752"/>
      <c r="BW20" s="752"/>
      <c r="BX20" s="752"/>
      <c r="BY20" s="752"/>
      <c r="BZ20" s="752"/>
      <c r="CA20" s="752"/>
      <c r="CB20" s="752"/>
      <c r="CC20" s="752"/>
      <c r="CD20" s="752"/>
      <c r="CE20" s="752"/>
      <c r="CF20" s="752"/>
      <c r="CG20" s="752"/>
      <c r="CH20" s="752"/>
      <c r="CI20" s="752"/>
      <c r="CJ20" s="752"/>
    </row>
    <row r="21" spans="2:88">
      <c r="BN21" s="751"/>
      <c r="BO21" s="751"/>
      <c r="BP21" s="752"/>
      <c r="BQ21" s="752"/>
      <c r="BR21" s="752"/>
      <c r="BS21" s="752"/>
      <c r="BT21" s="752"/>
      <c r="BU21" s="752"/>
      <c r="BV21" s="752"/>
      <c r="BW21" s="752"/>
      <c r="BX21" s="752"/>
      <c r="BY21" s="752"/>
      <c r="BZ21" s="752"/>
      <c r="CA21" s="752"/>
      <c r="CB21" s="752"/>
      <c r="CC21" s="752"/>
      <c r="CD21" s="752"/>
      <c r="CE21" s="752"/>
      <c r="CF21" s="752"/>
      <c r="CG21" s="752"/>
      <c r="CH21" s="752"/>
      <c r="CI21" s="752"/>
      <c r="CJ21" s="752"/>
    </row>
    <row r="22" spans="2:88">
      <c r="B22" s="772"/>
      <c r="D22" s="773" t="s">
        <v>2507</v>
      </c>
      <c r="E22" s="751" t="s">
        <v>2508</v>
      </c>
      <c r="K22" s="773" t="s">
        <v>2509</v>
      </c>
      <c r="R22" s="773" t="s">
        <v>2510</v>
      </c>
      <c r="Y22" s="773" t="s">
        <v>2511</v>
      </c>
      <c r="AF22" s="773" t="s">
        <v>2512</v>
      </c>
      <c r="BN22" s="751"/>
      <c r="BO22" s="751"/>
      <c r="BP22" s="752"/>
      <c r="BQ22" s="752"/>
      <c r="BR22" s="752"/>
      <c r="BS22" s="752"/>
      <c r="BT22" s="752"/>
      <c r="BU22" s="752"/>
      <c r="BV22" s="752"/>
      <c r="BW22" s="752"/>
      <c r="BX22" s="752"/>
      <c r="BY22" s="752"/>
      <c r="BZ22" s="752"/>
      <c r="CA22" s="752"/>
      <c r="CB22" s="752"/>
      <c r="CC22" s="752"/>
      <c r="CD22" s="752"/>
      <c r="CE22" s="752"/>
      <c r="CF22" s="752"/>
      <c r="CG22" s="752"/>
      <c r="CH22" s="752"/>
      <c r="CI22" s="752"/>
      <c r="CJ22" s="752"/>
    </row>
    <row r="23" spans="2:88">
      <c r="B23" s="772"/>
      <c r="D23" s="751" t="s">
        <v>2513</v>
      </c>
      <c r="K23" s="773"/>
      <c r="R23" s="773"/>
      <c r="Z23" s="773"/>
      <c r="AG23" s="773"/>
      <c r="BN23" s="751"/>
      <c r="BO23" s="751"/>
      <c r="BP23" s="752"/>
      <c r="BQ23" s="752"/>
      <c r="BR23" s="752"/>
      <c r="BS23" s="752"/>
      <c r="BT23" s="752"/>
      <c r="BU23" s="752"/>
      <c r="BV23" s="752"/>
      <c r="BW23" s="752"/>
      <c r="BX23" s="752"/>
      <c r="BY23" s="752"/>
      <c r="BZ23" s="752"/>
      <c r="CA23" s="752"/>
      <c r="CB23" s="752"/>
      <c r="CC23" s="752"/>
      <c r="CD23" s="752"/>
      <c r="CE23" s="752"/>
      <c r="CF23" s="752"/>
      <c r="CG23" s="752"/>
      <c r="CH23" s="752"/>
      <c r="CI23" s="752"/>
      <c r="CJ23" s="752"/>
    </row>
    <row r="24" spans="2:88">
      <c r="D24" s="753" t="s">
        <v>2514</v>
      </c>
      <c r="E24" s="753" t="s">
        <v>2515</v>
      </c>
      <c r="F24" s="753" t="s">
        <v>1158</v>
      </c>
      <c r="G24" s="753" t="s">
        <v>2516</v>
      </c>
      <c r="H24" s="753" t="s">
        <v>2173</v>
      </c>
      <c r="K24" s="753" t="s">
        <v>2514</v>
      </c>
      <c r="L24" s="753" t="s">
        <v>2515</v>
      </c>
      <c r="M24" s="753" t="s">
        <v>1158</v>
      </c>
      <c r="N24" s="753" t="s">
        <v>2516</v>
      </c>
      <c r="O24" s="753" t="s">
        <v>2173</v>
      </c>
      <c r="R24" s="753" t="s">
        <v>2514</v>
      </c>
      <c r="S24" s="753" t="s">
        <v>2515</v>
      </c>
      <c r="T24" s="753" t="s">
        <v>1158</v>
      </c>
      <c r="U24" s="753" t="s">
        <v>2516</v>
      </c>
      <c r="V24" s="753" t="s">
        <v>2173</v>
      </c>
      <c r="Y24" s="753" t="s">
        <v>2514</v>
      </c>
      <c r="Z24" s="753" t="s">
        <v>2515</v>
      </c>
      <c r="AA24" s="753" t="s">
        <v>1158</v>
      </c>
      <c r="AB24" s="753" t="s">
        <v>2516</v>
      </c>
      <c r="AC24" s="753" t="s">
        <v>2173</v>
      </c>
      <c r="AF24" s="753" t="s">
        <v>2514</v>
      </c>
      <c r="AG24" s="753" t="s">
        <v>2515</v>
      </c>
      <c r="AH24" s="753" t="s">
        <v>1158</v>
      </c>
      <c r="AI24" s="753" t="s">
        <v>2516</v>
      </c>
      <c r="AJ24" s="753" t="s">
        <v>2173</v>
      </c>
      <c r="BN24" s="751"/>
      <c r="BO24" s="752"/>
      <c r="BP24" s="752"/>
      <c r="BQ24" s="752"/>
      <c r="BR24" s="752"/>
      <c r="BS24" s="752"/>
      <c r="BT24" s="752"/>
      <c r="BU24" s="752"/>
      <c r="BV24" s="752"/>
      <c r="BW24" s="752"/>
      <c r="BX24" s="752"/>
      <c r="BY24" s="752"/>
      <c r="BZ24" s="752"/>
      <c r="CA24" s="752"/>
      <c r="CB24" s="752"/>
      <c r="CC24" s="752"/>
      <c r="CD24" s="752"/>
      <c r="CE24" s="752"/>
      <c r="CF24" s="752"/>
      <c r="CG24" s="752"/>
      <c r="CH24" s="752"/>
      <c r="CI24" s="752"/>
    </row>
    <row r="25" spans="2:88">
      <c r="D25" s="774" t="s">
        <v>2517</v>
      </c>
      <c r="E25" s="774" t="s">
        <v>2518</v>
      </c>
      <c r="F25" s="775"/>
      <c r="G25" s="776"/>
      <c r="H25" s="777">
        <f>F25*G25/1000</f>
        <v>0</v>
      </c>
      <c r="K25" s="774" t="s">
        <v>2517</v>
      </c>
      <c r="L25" s="774" t="s">
        <v>2518</v>
      </c>
      <c r="M25" s="775"/>
      <c r="N25" s="776"/>
      <c r="O25" s="777">
        <f>M25*N25/1000</f>
        <v>0</v>
      </c>
      <c r="R25" s="774" t="s">
        <v>2517</v>
      </c>
      <c r="S25" s="774" t="s">
        <v>2518</v>
      </c>
      <c r="T25" s="775"/>
      <c r="U25" s="776"/>
      <c r="V25" s="777">
        <f>T25*U25/1000</f>
        <v>0</v>
      </c>
      <c r="Y25" s="774" t="s">
        <v>2517</v>
      </c>
      <c r="Z25" s="774" t="s">
        <v>2518</v>
      </c>
      <c r="AA25" s="775"/>
      <c r="AB25" s="776"/>
      <c r="AC25" s="777">
        <f>AA25*AB25/1000</f>
        <v>0</v>
      </c>
      <c r="AF25" s="774" t="s">
        <v>2517</v>
      </c>
      <c r="AG25" s="774" t="s">
        <v>2518</v>
      </c>
      <c r="AH25" s="775"/>
      <c r="AI25" s="776"/>
      <c r="AJ25" s="777">
        <f>AH25*AI25/1000</f>
        <v>0</v>
      </c>
      <c r="BN25" s="751"/>
      <c r="BO25" s="752"/>
      <c r="BP25" s="752"/>
      <c r="BQ25" s="752"/>
      <c r="BR25" s="752"/>
      <c r="BS25" s="752"/>
      <c r="BT25" s="752"/>
      <c r="BU25" s="752"/>
      <c r="BV25" s="752"/>
      <c r="BW25" s="752"/>
      <c r="BX25" s="752"/>
      <c r="BY25" s="752"/>
      <c r="BZ25" s="752"/>
      <c r="CA25" s="752"/>
      <c r="CB25" s="752"/>
      <c r="CC25" s="752"/>
      <c r="CD25" s="752"/>
      <c r="CE25" s="752"/>
      <c r="CF25" s="752"/>
      <c r="CG25" s="752"/>
      <c r="CH25" s="752"/>
      <c r="CI25" s="752"/>
    </row>
    <row r="26" spans="2:88">
      <c r="D26" s="774" t="s">
        <v>1254</v>
      </c>
      <c r="E26" s="774" t="s">
        <v>2519</v>
      </c>
      <c r="F26" s="775"/>
      <c r="G26" s="776"/>
      <c r="H26" s="777">
        <f t="shared" ref="H26:H30" si="0">F26*G26/1000</f>
        <v>0</v>
      </c>
      <c r="K26" s="774" t="s">
        <v>1254</v>
      </c>
      <c r="L26" s="774" t="s">
        <v>2519</v>
      </c>
      <c r="M26" s="775"/>
      <c r="N26" s="776"/>
      <c r="O26" s="777">
        <f t="shared" ref="O26:O30" si="1">M26*N26/1000</f>
        <v>0</v>
      </c>
      <c r="R26" s="774" t="s">
        <v>1254</v>
      </c>
      <c r="S26" s="774" t="s">
        <v>2519</v>
      </c>
      <c r="T26" s="775"/>
      <c r="U26" s="776"/>
      <c r="V26" s="777">
        <f t="shared" ref="V26:V30" si="2">T26*U26/1000</f>
        <v>0</v>
      </c>
      <c r="Y26" s="774" t="s">
        <v>1254</v>
      </c>
      <c r="Z26" s="774" t="s">
        <v>2519</v>
      </c>
      <c r="AA26" s="775"/>
      <c r="AB26" s="776"/>
      <c r="AC26" s="777">
        <f t="shared" ref="AC26:AC30" si="3">AA26*AB26/1000</f>
        <v>0</v>
      </c>
      <c r="AF26" s="774" t="s">
        <v>1254</v>
      </c>
      <c r="AG26" s="774" t="s">
        <v>2519</v>
      </c>
      <c r="AH26" s="775"/>
      <c r="AI26" s="776"/>
      <c r="AJ26" s="777">
        <f t="shared" ref="AJ26:AJ30" si="4">AH26*AI26/1000</f>
        <v>0</v>
      </c>
      <c r="BN26" s="751"/>
      <c r="BO26" s="752"/>
      <c r="BP26" s="752"/>
      <c r="BQ26" s="752"/>
      <c r="BR26" s="752"/>
      <c r="BS26" s="752"/>
      <c r="BT26" s="752"/>
      <c r="BU26" s="752"/>
      <c r="BV26" s="752"/>
      <c r="BW26" s="752"/>
      <c r="BX26" s="752"/>
      <c r="BY26" s="752"/>
      <c r="BZ26" s="752"/>
      <c r="CA26" s="752"/>
      <c r="CB26" s="752"/>
      <c r="CC26" s="752"/>
      <c r="CD26" s="752"/>
      <c r="CE26" s="752"/>
      <c r="CF26" s="752"/>
      <c r="CG26" s="752"/>
      <c r="CH26" s="752"/>
      <c r="CI26" s="752"/>
    </row>
    <row r="27" spans="2:88">
      <c r="B27" s="751" t="s">
        <v>2520</v>
      </c>
      <c r="D27" s="774" t="s">
        <v>2521</v>
      </c>
      <c r="E27" s="774" t="s">
        <v>2519</v>
      </c>
      <c r="F27" s="775"/>
      <c r="G27" s="776"/>
      <c r="H27" s="777">
        <f t="shared" si="0"/>
        <v>0</v>
      </c>
      <c r="K27" s="774" t="s">
        <v>2521</v>
      </c>
      <c r="L27" s="774" t="s">
        <v>2519</v>
      </c>
      <c r="M27" s="775"/>
      <c r="N27" s="776"/>
      <c r="O27" s="777">
        <f t="shared" si="1"/>
        <v>0</v>
      </c>
      <c r="R27" s="774" t="s">
        <v>2521</v>
      </c>
      <c r="S27" s="774" t="s">
        <v>2519</v>
      </c>
      <c r="T27" s="775"/>
      <c r="U27" s="776"/>
      <c r="V27" s="777">
        <f t="shared" si="2"/>
        <v>0</v>
      </c>
      <c r="Y27" s="774" t="s">
        <v>2521</v>
      </c>
      <c r="Z27" s="774" t="s">
        <v>2519</v>
      </c>
      <c r="AA27" s="775"/>
      <c r="AB27" s="776"/>
      <c r="AC27" s="777">
        <f t="shared" si="3"/>
        <v>0</v>
      </c>
      <c r="AF27" s="774" t="s">
        <v>2521</v>
      </c>
      <c r="AG27" s="774" t="s">
        <v>2519</v>
      </c>
      <c r="AH27" s="775"/>
      <c r="AI27" s="776"/>
      <c r="AJ27" s="777">
        <f t="shared" si="4"/>
        <v>0</v>
      </c>
      <c r="BN27" s="751"/>
      <c r="BO27" s="752"/>
      <c r="BP27" s="752"/>
      <c r="BQ27" s="752"/>
      <c r="BR27" s="752"/>
      <c r="BS27" s="752"/>
      <c r="BT27" s="752"/>
      <c r="BU27" s="752"/>
      <c r="BV27" s="752"/>
      <c r="BW27" s="752"/>
      <c r="BX27" s="752"/>
      <c r="BY27" s="752"/>
      <c r="BZ27" s="752"/>
      <c r="CA27" s="752"/>
      <c r="CB27" s="752"/>
      <c r="CC27" s="752"/>
      <c r="CD27" s="752"/>
      <c r="CE27" s="752"/>
      <c r="CF27" s="752"/>
      <c r="CG27" s="752"/>
      <c r="CH27" s="752"/>
      <c r="CI27" s="752"/>
    </row>
    <row r="28" spans="2:88">
      <c r="D28" s="774" t="s">
        <v>2461</v>
      </c>
      <c r="E28" s="774" t="s">
        <v>2518</v>
      </c>
      <c r="F28" s="775"/>
      <c r="G28" s="776"/>
      <c r="H28" s="777">
        <f t="shared" si="0"/>
        <v>0</v>
      </c>
      <c r="K28" s="774" t="s">
        <v>2461</v>
      </c>
      <c r="L28" s="774" t="s">
        <v>2518</v>
      </c>
      <c r="M28" s="775"/>
      <c r="N28" s="778"/>
      <c r="O28" s="777">
        <f t="shared" si="1"/>
        <v>0</v>
      </c>
      <c r="R28" s="774" t="s">
        <v>2461</v>
      </c>
      <c r="S28" s="774" t="s">
        <v>2518</v>
      </c>
      <c r="T28" s="775"/>
      <c r="U28" s="778"/>
      <c r="V28" s="777">
        <f t="shared" si="2"/>
        <v>0</v>
      </c>
      <c r="Y28" s="774" t="s">
        <v>2461</v>
      </c>
      <c r="Z28" s="774" t="s">
        <v>2518</v>
      </c>
      <c r="AA28" s="775"/>
      <c r="AB28" s="778"/>
      <c r="AC28" s="777">
        <f t="shared" si="3"/>
        <v>0</v>
      </c>
      <c r="AF28" s="774" t="s">
        <v>2461</v>
      </c>
      <c r="AG28" s="774" t="s">
        <v>2518</v>
      </c>
      <c r="AH28" s="775"/>
      <c r="AI28" s="778"/>
      <c r="AJ28" s="777">
        <f t="shared" si="4"/>
        <v>0</v>
      </c>
      <c r="BN28" s="751"/>
      <c r="BO28" s="752"/>
      <c r="BP28" s="752"/>
      <c r="BQ28" s="752"/>
      <c r="BR28" s="752"/>
      <c r="BS28" s="752"/>
      <c r="BT28" s="752"/>
      <c r="BU28" s="752"/>
      <c r="BV28" s="752"/>
      <c r="BW28" s="752"/>
      <c r="BX28" s="752"/>
      <c r="BY28" s="752"/>
      <c r="BZ28" s="752"/>
      <c r="CA28" s="752"/>
      <c r="CB28" s="752"/>
      <c r="CC28" s="752"/>
      <c r="CD28" s="752"/>
      <c r="CE28" s="752"/>
      <c r="CF28" s="752"/>
      <c r="CG28" s="752"/>
      <c r="CH28" s="752"/>
      <c r="CI28" s="752"/>
    </row>
    <row r="29" spans="2:88">
      <c r="D29" s="774"/>
      <c r="E29" s="774"/>
      <c r="F29" s="776"/>
      <c r="G29" s="776"/>
      <c r="H29" s="777">
        <f t="shared" si="0"/>
        <v>0</v>
      </c>
      <c r="K29" s="774"/>
      <c r="L29" s="774"/>
      <c r="M29" s="776"/>
      <c r="N29" s="776"/>
      <c r="O29" s="777">
        <f t="shared" si="1"/>
        <v>0</v>
      </c>
      <c r="R29" s="774"/>
      <c r="S29" s="774"/>
      <c r="T29" s="776"/>
      <c r="U29" s="776"/>
      <c r="V29" s="777">
        <f t="shared" si="2"/>
        <v>0</v>
      </c>
      <c r="Y29" s="774"/>
      <c r="Z29" s="774"/>
      <c r="AA29" s="776"/>
      <c r="AB29" s="776"/>
      <c r="AC29" s="777">
        <f t="shared" si="3"/>
        <v>0</v>
      </c>
      <c r="AF29" s="774"/>
      <c r="AG29" s="774"/>
      <c r="AH29" s="776"/>
      <c r="AI29" s="776"/>
      <c r="AJ29" s="777">
        <f t="shared" si="4"/>
        <v>0</v>
      </c>
      <c r="BN29" s="751"/>
      <c r="BO29" s="752"/>
      <c r="BP29" s="752"/>
      <c r="BQ29" s="752"/>
      <c r="BR29" s="752"/>
      <c r="BS29" s="752"/>
      <c r="BT29" s="752"/>
      <c r="BU29" s="752"/>
      <c r="BV29" s="752"/>
      <c r="BW29" s="752"/>
      <c r="BX29" s="752"/>
      <c r="BY29" s="752"/>
      <c r="BZ29" s="752"/>
      <c r="CA29" s="752"/>
      <c r="CB29" s="752"/>
      <c r="CC29" s="752"/>
      <c r="CD29" s="752"/>
      <c r="CE29" s="752"/>
      <c r="CF29" s="752"/>
      <c r="CG29" s="752"/>
      <c r="CH29" s="752"/>
      <c r="CI29" s="752"/>
    </row>
    <row r="30" spans="2:88">
      <c r="D30" s="774"/>
      <c r="E30" s="774"/>
      <c r="F30" s="776"/>
      <c r="G30" s="776"/>
      <c r="H30" s="777">
        <f t="shared" si="0"/>
        <v>0</v>
      </c>
      <c r="K30" s="774"/>
      <c r="L30" s="774"/>
      <c r="M30" s="776"/>
      <c r="N30" s="776"/>
      <c r="O30" s="777">
        <f t="shared" si="1"/>
        <v>0</v>
      </c>
      <c r="R30" s="774"/>
      <c r="S30" s="774"/>
      <c r="T30" s="776"/>
      <c r="U30" s="776"/>
      <c r="V30" s="777">
        <f t="shared" si="2"/>
        <v>0</v>
      </c>
      <c r="Y30" s="774"/>
      <c r="Z30" s="774"/>
      <c r="AA30" s="776"/>
      <c r="AB30" s="776"/>
      <c r="AC30" s="777">
        <f t="shared" si="3"/>
        <v>0</v>
      </c>
      <c r="AF30" s="774"/>
      <c r="AG30" s="774"/>
      <c r="AH30" s="776"/>
      <c r="AI30" s="776"/>
      <c r="AJ30" s="777">
        <f t="shared" si="4"/>
        <v>0</v>
      </c>
      <c r="BN30" s="751"/>
      <c r="BO30" s="752"/>
      <c r="BP30" s="752"/>
      <c r="BQ30" s="752"/>
      <c r="BR30" s="752"/>
      <c r="BS30" s="752"/>
      <c r="BT30" s="752"/>
      <c r="BU30" s="752"/>
      <c r="BV30" s="752"/>
      <c r="BW30" s="752"/>
      <c r="BX30" s="752"/>
      <c r="BY30" s="752"/>
      <c r="BZ30" s="752"/>
      <c r="CA30" s="752"/>
      <c r="CB30" s="752"/>
      <c r="CC30" s="752"/>
      <c r="CD30" s="752"/>
      <c r="CE30" s="752"/>
      <c r="CF30" s="752"/>
      <c r="CG30" s="752"/>
      <c r="CH30" s="752"/>
      <c r="CI30" s="752"/>
    </row>
    <row r="31" spans="2:88">
      <c r="G31" s="772" t="s">
        <v>1055</v>
      </c>
      <c r="H31" s="777">
        <f>SUM(H25:H30)</f>
        <v>0</v>
      </c>
      <c r="N31" s="772" t="s">
        <v>1055</v>
      </c>
      <c r="O31" s="777">
        <f>SUM(O25:O30)</f>
        <v>0</v>
      </c>
      <c r="U31" s="772" t="s">
        <v>1055</v>
      </c>
      <c r="V31" s="777">
        <f>SUM(V25:V30)</f>
        <v>0</v>
      </c>
      <c r="AB31" s="772" t="s">
        <v>1055</v>
      </c>
      <c r="AC31" s="777">
        <f>SUM(AC25:AC30)</f>
        <v>0</v>
      </c>
      <c r="AI31" s="772" t="s">
        <v>1055</v>
      </c>
      <c r="AJ31" s="777">
        <f>SUM(AJ25:AJ30)</f>
        <v>0</v>
      </c>
      <c r="BN31" s="751"/>
      <c r="BO31" s="751"/>
      <c r="BP31" s="752"/>
      <c r="BQ31" s="752"/>
      <c r="BR31" s="752"/>
      <c r="BS31" s="752"/>
      <c r="BT31" s="752"/>
      <c r="BU31" s="752"/>
      <c r="BV31" s="752"/>
      <c r="BW31" s="752"/>
      <c r="BX31" s="752"/>
      <c r="BY31" s="752"/>
      <c r="BZ31" s="752"/>
      <c r="CA31" s="752"/>
      <c r="CB31" s="752"/>
      <c r="CC31" s="752"/>
      <c r="CD31" s="752"/>
      <c r="CE31" s="752"/>
      <c r="CF31" s="752"/>
      <c r="CG31" s="752"/>
      <c r="CH31" s="752"/>
      <c r="CI31" s="752"/>
      <c r="CJ31" s="752"/>
    </row>
    <row r="32" spans="2:88">
      <c r="G32" s="772" t="s">
        <v>2522</v>
      </c>
      <c r="H32" s="779">
        <v>1748</v>
      </c>
      <c r="N32" s="772" t="s">
        <v>2522</v>
      </c>
      <c r="O32" s="779">
        <f>H32</f>
        <v>1748</v>
      </c>
      <c r="U32" s="772" t="s">
        <v>2522</v>
      </c>
      <c r="V32" s="779">
        <f>O32</f>
        <v>1748</v>
      </c>
      <c r="AB32" s="772" t="s">
        <v>2522</v>
      </c>
      <c r="AC32" s="779">
        <f>V32</f>
        <v>1748</v>
      </c>
      <c r="AI32" s="772" t="s">
        <v>2522</v>
      </c>
      <c r="AJ32" s="779">
        <f>AC32</f>
        <v>1748</v>
      </c>
      <c r="BN32" s="751"/>
      <c r="BO32" s="751"/>
      <c r="BP32" s="752"/>
      <c r="BQ32" s="752"/>
      <c r="BR32" s="752"/>
      <c r="BS32" s="752"/>
      <c r="BT32" s="752"/>
      <c r="BU32" s="752"/>
      <c r="BV32" s="752"/>
      <c r="BW32" s="752"/>
      <c r="BX32" s="752"/>
      <c r="BY32" s="752"/>
      <c r="BZ32" s="752"/>
      <c r="CA32" s="752"/>
      <c r="CB32" s="752"/>
      <c r="CC32" s="752"/>
      <c r="CD32" s="752"/>
      <c r="CE32" s="752"/>
      <c r="CF32" s="752"/>
      <c r="CG32" s="752"/>
      <c r="CH32" s="752"/>
      <c r="CI32" s="752"/>
      <c r="CJ32" s="752"/>
    </row>
    <row r="33" spans="2:88">
      <c r="G33" s="772" t="s">
        <v>2523</v>
      </c>
      <c r="H33" s="780">
        <f>H31/H32-1</f>
        <v>-1</v>
      </c>
      <c r="N33" s="772" t="s">
        <v>2523</v>
      </c>
      <c r="O33" s="780">
        <f>O31/O32-1</f>
        <v>-1</v>
      </c>
      <c r="U33" s="772" t="s">
        <v>2523</v>
      </c>
      <c r="V33" s="780">
        <f>V31/V32-1</f>
        <v>-1</v>
      </c>
      <c r="AB33" s="772" t="s">
        <v>2523</v>
      </c>
      <c r="AC33" s="780">
        <f>AC31/AC32-1</f>
        <v>-1</v>
      </c>
      <c r="AI33" s="772" t="s">
        <v>2523</v>
      </c>
      <c r="AJ33" s="780">
        <f>AJ31/AJ32-1</f>
        <v>-1</v>
      </c>
      <c r="BN33" s="751"/>
      <c r="BO33" s="751"/>
      <c r="BP33" s="752"/>
      <c r="BQ33" s="752"/>
      <c r="BR33" s="752"/>
      <c r="BS33" s="752"/>
      <c r="BT33" s="752"/>
      <c r="BU33" s="752"/>
      <c r="BV33" s="752"/>
      <c r="BW33" s="752"/>
      <c r="BX33" s="752"/>
      <c r="BY33" s="752"/>
      <c r="BZ33" s="752"/>
      <c r="CA33" s="752"/>
      <c r="CB33" s="752"/>
      <c r="CC33" s="752"/>
      <c r="CD33" s="752"/>
      <c r="CE33" s="752"/>
      <c r="CF33" s="752"/>
      <c r="CG33" s="752"/>
      <c r="CH33" s="752"/>
      <c r="CI33" s="752"/>
      <c r="CJ33" s="752"/>
    </row>
    <row r="34" spans="2:88">
      <c r="BN34" s="751"/>
      <c r="BO34" s="751"/>
      <c r="BP34" s="752"/>
      <c r="BQ34" s="752"/>
      <c r="BR34" s="752"/>
      <c r="BS34" s="752"/>
      <c r="BT34" s="752"/>
      <c r="BU34" s="752"/>
      <c r="BV34" s="752"/>
      <c r="BW34" s="752"/>
      <c r="BX34" s="752"/>
      <c r="BY34" s="752"/>
      <c r="BZ34" s="752"/>
      <c r="CA34" s="752"/>
      <c r="CB34" s="752"/>
      <c r="CC34" s="752"/>
      <c r="CD34" s="752"/>
      <c r="CE34" s="752"/>
      <c r="CF34" s="752"/>
      <c r="CG34" s="752"/>
      <c r="CH34" s="752"/>
      <c r="CI34" s="752"/>
      <c r="CJ34" s="752"/>
    </row>
    <row r="35" spans="2:88">
      <c r="B35" s="772"/>
      <c r="D35" s="773" t="s">
        <v>2524</v>
      </c>
      <c r="K35" s="773" t="s">
        <v>2525</v>
      </c>
      <c r="R35" s="773" t="s">
        <v>2526</v>
      </c>
      <c r="Y35" s="773" t="s">
        <v>2527</v>
      </c>
      <c r="AF35" s="773" t="s">
        <v>2528</v>
      </c>
      <c r="BN35" s="751"/>
      <c r="BO35" s="751"/>
      <c r="BP35" s="752"/>
      <c r="BQ35" s="752"/>
      <c r="BR35" s="752"/>
      <c r="BS35" s="752"/>
      <c r="BT35" s="752"/>
      <c r="BU35" s="752"/>
      <c r="BV35" s="752"/>
      <c r="BW35" s="752"/>
      <c r="BX35" s="752"/>
      <c r="BY35" s="752"/>
      <c r="BZ35" s="752"/>
      <c r="CA35" s="752"/>
      <c r="CB35" s="752"/>
      <c r="CC35" s="752"/>
      <c r="CD35" s="752"/>
      <c r="CE35" s="752"/>
      <c r="CF35" s="752"/>
      <c r="CG35" s="752"/>
      <c r="CH35" s="752"/>
      <c r="CI35" s="752"/>
      <c r="CJ35" s="752"/>
    </row>
    <row r="36" spans="2:88">
      <c r="B36" s="772"/>
      <c r="D36" s="773"/>
      <c r="G36" s="751" t="s">
        <v>2529</v>
      </c>
      <c r="K36" s="773"/>
      <c r="R36" s="773"/>
      <c r="Z36" s="773"/>
      <c r="AG36" s="773"/>
      <c r="BN36" s="751"/>
      <c r="BO36" s="751"/>
      <c r="BP36" s="752"/>
      <c r="BQ36" s="752"/>
      <c r="BR36" s="752"/>
      <c r="BS36" s="752"/>
      <c r="BT36" s="752"/>
      <c r="BU36" s="752"/>
      <c r="BV36" s="752"/>
      <c r="BW36" s="752"/>
      <c r="BX36" s="752"/>
      <c r="BY36" s="752"/>
      <c r="BZ36" s="752"/>
      <c r="CA36" s="752"/>
      <c r="CB36" s="752"/>
      <c r="CC36" s="752"/>
      <c r="CD36" s="752"/>
      <c r="CE36" s="752"/>
      <c r="CF36" s="752"/>
      <c r="CG36" s="752"/>
      <c r="CH36" s="752"/>
      <c r="CI36" s="752"/>
      <c r="CJ36" s="752"/>
    </row>
    <row r="37" spans="2:88">
      <c r="D37" s="753" t="s">
        <v>2514</v>
      </c>
      <c r="E37" s="753" t="s">
        <v>2515</v>
      </c>
      <c r="F37" s="753" t="s">
        <v>1158</v>
      </c>
      <c r="G37" s="753" t="s">
        <v>2516</v>
      </c>
      <c r="H37" s="753" t="s">
        <v>2173</v>
      </c>
      <c r="K37" s="753" t="s">
        <v>2514</v>
      </c>
      <c r="L37" s="753" t="s">
        <v>2515</v>
      </c>
      <c r="M37" s="753" t="s">
        <v>1158</v>
      </c>
      <c r="N37" s="753" t="s">
        <v>2516</v>
      </c>
      <c r="O37" s="753" t="s">
        <v>2173</v>
      </c>
      <c r="R37" s="753" t="s">
        <v>2514</v>
      </c>
      <c r="S37" s="753" t="s">
        <v>2515</v>
      </c>
      <c r="T37" s="753" t="s">
        <v>1158</v>
      </c>
      <c r="U37" s="753" t="s">
        <v>2516</v>
      </c>
      <c r="V37" s="753" t="s">
        <v>2173</v>
      </c>
      <c r="Y37" s="753" t="s">
        <v>2514</v>
      </c>
      <c r="Z37" s="753" t="s">
        <v>2515</v>
      </c>
      <c r="AA37" s="753" t="s">
        <v>1158</v>
      </c>
      <c r="AB37" s="753" t="s">
        <v>2516</v>
      </c>
      <c r="AC37" s="753" t="s">
        <v>2173</v>
      </c>
      <c r="AF37" s="753" t="s">
        <v>2514</v>
      </c>
      <c r="AG37" s="753" t="s">
        <v>2515</v>
      </c>
      <c r="AH37" s="753" t="s">
        <v>1158</v>
      </c>
      <c r="AI37" s="753" t="s">
        <v>2516</v>
      </c>
      <c r="AJ37" s="753" t="s">
        <v>2173</v>
      </c>
      <c r="BN37" s="751"/>
      <c r="BO37" s="752"/>
      <c r="BP37" s="752"/>
      <c r="BQ37" s="752"/>
      <c r="BR37" s="752"/>
      <c r="BS37" s="752"/>
      <c r="BT37" s="752"/>
      <c r="BU37" s="752"/>
      <c r="BV37" s="752"/>
      <c r="BW37" s="752"/>
      <c r="BX37" s="752"/>
      <c r="BY37" s="752"/>
      <c r="BZ37" s="752"/>
      <c r="CA37" s="752"/>
      <c r="CB37" s="752"/>
      <c r="CC37" s="752"/>
      <c r="CD37" s="752"/>
      <c r="CE37" s="752"/>
      <c r="CF37" s="752"/>
      <c r="CG37" s="752"/>
      <c r="CH37" s="752"/>
      <c r="CI37" s="752"/>
    </row>
    <row r="38" spans="2:88">
      <c r="D38" s="774" t="s">
        <v>2517</v>
      </c>
      <c r="E38" s="774" t="s">
        <v>2519</v>
      </c>
      <c r="F38" s="775"/>
      <c r="G38" s="778"/>
      <c r="H38" s="777">
        <f>F38*G38/1000</f>
        <v>0</v>
      </c>
      <c r="K38" s="774" t="s">
        <v>2517</v>
      </c>
      <c r="L38" s="774" t="s">
        <v>2519</v>
      </c>
      <c r="M38" s="775"/>
      <c r="N38" s="778"/>
      <c r="O38" s="777">
        <f>M38*N38/1000</f>
        <v>0</v>
      </c>
      <c r="R38" s="774" t="s">
        <v>2517</v>
      </c>
      <c r="S38" s="774" t="s">
        <v>2519</v>
      </c>
      <c r="T38" s="775"/>
      <c r="U38" s="778"/>
      <c r="V38" s="777">
        <f>T38*U38/1000</f>
        <v>0</v>
      </c>
      <c r="Y38" s="774" t="s">
        <v>2517</v>
      </c>
      <c r="Z38" s="774" t="s">
        <v>2519</v>
      </c>
      <c r="AA38" s="775"/>
      <c r="AB38" s="778"/>
      <c r="AC38" s="777">
        <f>AA38*AB38/1000</f>
        <v>0</v>
      </c>
      <c r="AF38" s="774" t="s">
        <v>2517</v>
      </c>
      <c r="AG38" s="774" t="s">
        <v>2519</v>
      </c>
      <c r="AH38" s="775"/>
      <c r="AI38" s="778"/>
      <c r="AJ38" s="777">
        <f>AH38*AI38/1000</f>
        <v>0</v>
      </c>
      <c r="BN38" s="751"/>
      <c r="BO38" s="752"/>
      <c r="BP38" s="752"/>
      <c r="BQ38" s="752"/>
      <c r="BR38" s="752"/>
      <c r="BS38" s="752"/>
      <c r="BT38" s="752"/>
      <c r="BU38" s="752"/>
      <c r="BV38" s="752"/>
      <c r="BW38" s="752"/>
      <c r="BX38" s="752"/>
      <c r="BY38" s="752"/>
      <c r="BZ38" s="752"/>
      <c r="CA38" s="752"/>
      <c r="CB38" s="752"/>
      <c r="CC38" s="752"/>
      <c r="CD38" s="752"/>
      <c r="CE38" s="752"/>
      <c r="CF38" s="752"/>
      <c r="CG38" s="752"/>
      <c r="CH38" s="752"/>
      <c r="CI38" s="752"/>
    </row>
    <row r="39" spans="2:88">
      <c r="D39" s="774" t="s">
        <v>1254</v>
      </c>
      <c r="E39" s="774" t="s">
        <v>2519</v>
      </c>
      <c r="F39" s="775"/>
      <c r="G39" s="778"/>
      <c r="H39" s="777">
        <f t="shared" ref="H39:H43" si="5">F39*G39/1000</f>
        <v>0</v>
      </c>
      <c r="K39" s="774" t="s">
        <v>1254</v>
      </c>
      <c r="L39" s="774" t="s">
        <v>2519</v>
      </c>
      <c r="M39" s="775"/>
      <c r="N39" s="778"/>
      <c r="O39" s="777">
        <f t="shared" ref="O39:O43" si="6">M39*N39/1000</f>
        <v>0</v>
      </c>
      <c r="R39" s="774" t="s">
        <v>1254</v>
      </c>
      <c r="S39" s="774" t="s">
        <v>2519</v>
      </c>
      <c r="T39" s="775"/>
      <c r="U39" s="778"/>
      <c r="V39" s="777">
        <f t="shared" ref="V39:V43" si="7">T39*U39/1000</f>
        <v>0</v>
      </c>
      <c r="Y39" s="774" t="s">
        <v>1254</v>
      </c>
      <c r="Z39" s="774" t="s">
        <v>2519</v>
      </c>
      <c r="AA39" s="775"/>
      <c r="AB39" s="778"/>
      <c r="AC39" s="777">
        <f t="shared" ref="AC39:AC43" si="8">AA39*AB39/1000</f>
        <v>0</v>
      </c>
      <c r="AF39" s="774" t="s">
        <v>1254</v>
      </c>
      <c r="AG39" s="774" t="s">
        <v>2519</v>
      </c>
      <c r="AH39" s="775"/>
      <c r="AI39" s="778"/>
      <c r="AJ39" s="777">
        <f t="shared" ref="AJ39:AJ43" si="9">AH39*AI39/1000</f>
        <v>0</v>
      </c>
      <c r="BN39" s="751"/>
      <c r="BO39" s="752"/>
      <c r="BP39" s="752"/>
      <c r="BQ39" s="752"/>
      <c r="BR39" s="752"/>
      <c r="BS39" s="752"/>
      <c r="BT39" s="752"/>
      <c r="BU39" s="752"/>
      <c r="BV39" s="752"/>
      <c r="BW39" s="752"/>
      <c r="BX39" s="752"/>
      <c r="BY39" s="752"/>
      <c r="BZ39" s="752"/>
      <c r="CA39" s="752"/>
      <c r="CB39" s="752"/>
      <c r="CC39" s="752"/>
      <c r="CD39" s="752"/>
      <c r="CE39" s="752"/>
      <c r="CF39" s="752"/>
      <c r="CG39" s="752"/>
      <c r="CH39" s="752"/>
      <c r="CI39" s="752"/>
    </row>
    <row r="40" spans="2:88">
      <c r="D40" s="774" t="s">
        <v>2521</v>
      </c>
      <c r="E40" s="774" t="s">
        <v>2519</v>
      </c>
      <c r="F40" s="775"/>
      <c r="G40" s="778"/>
      <c r="H40" s="777">
        <f t="shared" si="5"/>
        <v>0</v>
      </c>
      <c r="K40" s="774" t="s">
        <v>2521</v>
      </c>
      <c r="L40" s="774" t="s">
        <v>2519</v>
      </c>
      <c r="M40" s="775"/>
      <c r="N40" s="778"/>
      <c r="O40" s="777">
        <f t="shared" si="6"/>
        <v>0</v>
      </c>
      <c r="R40" s="774" t="s">
        <v>2521</v>
      </c>
      <c r="S40" s="774" t="s">
        <v>2519</v>
      </c>
      <c r="T40" s="775"/>
      <c r="U40" s="778"/>
      <c r="V40" s="777">
        <f t="shared" si="7"/>
        <v>0</v>
      </c>
      <c r="Y40" s="774" t="s">
        <v>2521</v>
      </c>
      <c r="Z40" s="774" t="s">
        <v>2519</v>
      </c>
      <c r="AA40" s="775"/>
      <c r="AB40" s="778"/>
      <c r="AC40" s="777">
        <f t="shared" si="8"/>
        <v>0</v>
      </c>
      <c r="AF40" s="774" t="s">
        <v>2521</v>
      </c>
      <c r="AG40" s="774" t="s">
        <v>2519</v>
      </c>
      <c r="AH40" s="775"/>
      <c r="AI40" s="778"/>
      <c r="AJ40" s="777">
        <f t="shared" si="9"/>
        <v>0</v>
      </c>
      <c r="BN40" s="751"/>
      <c r="BO40" s="752"/>
      <c r="BP40" s="752"/>
      <c r="BQ40" s="752"/>
      <c r="BR40" s="752"/>
      <c r="BS40" s="752"/>
      <c r="BT40" s="752"/>
      <c r="BU40" s="752"/>
      <c r="BV40" s="752"/>
      <c r="BW40" s="752"/>
      <c r="BX40" s="752"/>
      <c r="BY40" s="752"/>
      <c r="BZ40" s="752"/>
      <c r="CA40" s="752"/>
      <c r="CB40" s="752"/>
      <c r="CC40" s="752"/>
      <c r="CD40" s="752"/>
      <c r="CE40" s="752"/>
      <c r="CF40" s="752"/>
      <c r="CG40" s="752"/>
      <c r="CH40" s="752"/>
      <c r="CI40" s="752"/>
    </row>
    <row r="41" spans="2:88">
      <c r="D41" s="774" t="s">
        <v>2461</v>
      </c>
      <c r="E41" s="774" t="s">
        <v>2519</v>
      </c>
      <c r="F41" s="775"/>
      <c r="G41" s="778"/>
      <c r="H41" s="777">
        <f t="shared" si="5"/>
        <v>0</v>
      </c>
      <c r="K41" s="774" t="s">
        <v>2461</v>
      </c>
      <c r="L41" s="774" t="s">
        <v>2519</v>
      </c>
      <c r="M41" s="775"/>
      <c r="N41" s="778"/>
      <c r="O41" s="777">
        <f t="shared" si="6"/>
        <v>0</v>
      </c>
      <c r="R41" s="774" t="s">
        <v>2461</v>
      </c>
      <c r="S41" s="774" t="s">
        <v>2519</v>
      </c>
      <c r="T41" s="775"/>
      <c r="U41" s="778"/>
      <c r="V41" s="777">
        <f t="shared" si="7"/>
        <v>0</v>
      </c>
      <c r="Y41" s="774" t="s">
        <v>2461</v>
      </c>
      <c r="Z41" s="774" t="s">
        <v>2519</v>
      </c>
      <c r="AA41" s="775"/>
      <c r="AB41" s="778"/>
      <c r="AC41" s="777">
        <f t="shared" si="8"/>
        <v>0</v>
      </c>
      <c r="AF41" s="774" t="s">
        <v>2461</v>
      </c>
      <c r="AG41" s="774" t="s">
        <v>2519</v>
      </c>
      <c r="AH41" s="775"/>
      <c r="AI41" s="778"/>
      <c r="AJ41" s="777">
        <f t="shared" si="9"/>
        <v>0</v>
      </c>
      <c r="BN41" s="751"/>
      <c r="BO41" s="752"/>
      <c r="BP41" s="752"/>
      <c r="BQ41" s="752"/>
      <c r="BR41" s="752"/>
      <c r="BS41" s="752"/>
      <c r="BT41" s="752"/>
      <c r="BU41" s="752"/>
      <c r="BV41" s="752"/>
      <c r="BW41" s="752"/>
      <c r="BX41" s="752"/>
      <c r="BY41" s="752"/>
      <c r="BZ41" s="752"/>
      <c r="CA41" s="752"/>
      <c r="CB41" s="752"/>
      <c r="CC41" s="752"/>
      <c r="CD41" s="752"/>
      <c r="CE41" s="752"/>
      <c r="CF41" s="752"/>
      <c r="CG41" s="752"/>
      <c r="CH41" s="752"/>
      <c r="CI41" s="752"/>
    </row>
    <row r="42" spans="2:88">
      <c r="D42" s="774"/>
      <c r="E42" s="774"/>
      <c r="F42" s="776"/>
      <c r="G42" s="776"/>
      <c r="H42" s="777">
        <f t="shared" si="5"/>
        <v>0</v>
      </c>
      <c r="K42" s="774"/>
      <c r="L42" s="774"/>
      <c r="M42" s="776"/>
      <c r="N42" s="776"/>
      <c r="O42" s="777">
        <f t="shared" si="6"/>
        <v>0</v>
      </c>
      <c r="R42" s="774"/>
      <c r="S42" s="774"/>
      <c r="T42" s="776"/>
      <c r="U42" s="776"/>
      <c r="V42" s="777">
        <f t="shared" si="7"/>
        <v>0</v>
      </c>
      <c r="Y42" s="774"/>
      <c r="Z42" s="774"/>
      <c r="AA42" s="776"/>
      <c r="AB42" s="776"/>
      <c r="AC42" s="777">
        <f t="shared" si="8"/>
        <v>0</v>
      </c>
      <c r="AF42" s="774"/>
      <c r="AG42" s="774"/>
      <c r="AH42" s="776"/>
      <c r="AI42" s="776"/>
      <c r="AJ42" s="777">
        <f t="shared" si="9"/>
        <v>0</v>
      </c>
      <c r="BN42" s="751"/>
      <c r="BO42" s="752"/>
      <c r="BP42" s="752"/>
      <c r="BQ42" s="752"/>
      <c r="BR42" s="752"/>
      <c r="BS42" s="752"/>
      <c r="BT42" s="752"/>
      <c r="BU42" s="752"/>
      <c r="BV42" s="752"/>
      <c r="BW42" s="752"/>
      <c r="BX42" s="752"/>
      <c r="BY42" s="752"/>
      <c r="BZ42" s="752"/>
      <c r="CA42" s="752"/>
      <c r="CB42" s="752"/>
      <c r="CC42" s="752"/>
      <c r="CD42" s="752"/>
      <c r="CE42" s="752"/>
      <c r="CF42" s="752"/>
      <c r="CG42" s="752"/>
      <c r="CH42" s="752"/>
      <c r="CI42" s="752"/>
    </row>
    <row r="43" spans="2:88">
      <c r="D43" s="774"/>
      <c r="E43" s="774"/>
      <c r="F43" s="776"/>
      <c r="G43" s="776"/>
      <c r="H43" s="777">
        <f t="shared" si="5"/>
        <v>0</v>
      </c>
      <c r="K43" s="774"/>
      <c r="L43" s="774"/>
      <c r="M43" s="776"/>
      <c r="N43" s="776"/>
      <c r="O43" s="777">
        <f t="shared" si="6"/>
        <v>0</v>
      </c>
      <c r="R43" s="774"/>
      <c r="S43" s="774"/>
      <c r="T43" s="776"/>
      <c r="U43" s="776"/>
      <c r="V43" s="777">
        <f t="shared" si="7"/>
        <v>0</v>
      </c>
      <c r="Y43" s="774"/>
      <c r="Z43" s="774"/>
      <c r="AA43" s="776"/>
      <c r="AB43" s="776"/>
      <c r="AC43" s="777">
        <f t="shared" si="8"/>
        <v>0</v>
      </c>
      <c r="AF43" s="774"/>
      <c r="AG43" s="774"/>
      <c r="AH43" s="776"/>
      <c r="AI43" s="776"/>
      <c r="AJ43" s="777">
        <f t="shared" si="9"/>
        <v>0</v>
      </c>
      <c r="BN43" s="751"/>
      <c r="BO43" s="752"/>
      <c r="BP43" s="752"/>
      <c r="BQ43" s="752"/>
      <c r="BR43" s="752"/>
      <c r="BS43" s="752"/>
      <c r="BT43" s="752"/>
      <c r="BU43" s="752"/>
      <c r="BV43" s="752"/>
      <c r="BW43" s="752"/>
      <c r="BX43" s="752"/>
      <c r="BY43" s="752"/>
      <c r="BZ43" s="752"/>
      <c r="CA43" s="752"/>
      <c r="CB43" s="752"/>
      <c r="CC43" s="752"/>
      <c r="CD43" s="752"/>
      <c r="CE43" s="752"/>
      <c r="CF43" s="752"/>
      <c r="CG43" s="752"/>
      <c r="CH43" s="752"/>
      <c r="CI43" s="752"/>
    </row>
    <row r="44" spans="2:88">
      <c r="G44" s="772" t="s">
        <v>1055</v>
      </c>
      <c r="H44" s="777">
        <f>SUM(H38:H43)</f>
        <v>0</v>
      </c>
      <c r="N44" s="772" t="s">
        <v>1055</v>
      </c>
      <c r="O44" s="777">
        <f>SUM(O38:O43)</f>
        <v>0</v>
      </c>
      <c r="U44" s="772" t="s">
        <v>1055</v>
      </c>
      <c r="V44" s="777">
        <f>SUM(V38:V43)</f>
        <v>0</v>
      </c>
      <c r="AB44" s="772" t="s">
        <v>1055</v>
      </c>
      <c r="AC44" s="777">
        <f>SUM(AC38:AC43)</f>
        <v>0</v>
      </c>
      <c r="AI44" s="772" t="s">
        <v>1055</v>
      </c>
      <c r="AJ44" s="777">
        <f>SUM(AJ38:AJ43)</f>
        <v>0</v>
      </c>
      <c r="BN44" s="751"/>
      <c r="BO44" s="752"/>
      <c r="BP44" s="752"/>
      <c r="BQ44" s="752"/>
      <c r="BR44" s="752"/>
      <c r="BS44" s="752"/>
      <c r="BT44" s="752"/>
      <c r="BU44" s="752"/>
      <c r="BV44" s="752"/>
      <c r="BW44" s="752"/>
      <c r="BX44" s="752"/>
      <c r="BY44" s="752"/>
      <c r="BZ44" s="752"/>
      <c r="CA44" s="752"/>
      <c r="CB44" s="752"/>
      <c r="CC44" s="752"/>
      <c r="CD44" s="752"/>
      <c r="CE44" s="752"/>
      <c r="CF44" s="752"/>
      <c r="CG44" s="752"/>
      <c r="CH44" s="752"/>
      <c r="CI44" s="752"/>
    </row>
    <row r="45" spans="2:88">
      <c r="G45" s="772" t="s">
        <v>2522</v>
      </c>
      <c r="H45" s="1316">
        <v>1608</v>
      </c>
      <c r="N45" s="772" t="s">
        <v>2522</v>
      </c>
      <c r="O45" s="1316">
        <v>1608</v>
      </c>
      <c r="U45" s="772" t="s">
        <v>2522</v>
      </c>
      <c r="V45" s="1316">
        <v>1608</v>
      </c>
      <c r="AB45" s="772" t="s">
        <v>2522</v>
      </c>
      <c r="AC45" s="1316">
        <v>1608</v>
      </c>
      <c r="AI45" s="772" t="s">
        <v>2522</v>
      </c>
      <c r="AJ45" s="1316">
        <v>1608</v>
      </c>
      <c r="BN45" s="751"/>
      <c r="BO45" s="752"/>
      <c r="BP45" s="752"/>
      <c r="BQ45" s="752"/>
      <c r="BR45" s="752"/>
      <c r="BS45" s="752"/>
      <c r="BT45" s="752"/>
      <c r="BU45" s="752"/>
      <c r="BV45" s="752"/>
      <c r="BW45" s="752"/>
      <c r="BX45" s="752"/>
      <c r="BY45" s="752"/>
      <c r="BZ45" s="752"/>
      <c r="CA45" s="752"/>
      <c r="CB45" s="752"/>
      <c r="CC45" s="752"/>
      <c r="CD45" s="752"/>
      <c r="CE45" s="752"/>
      <c r="CF45" s="752"/>
      <c r="CG45" s="752"/>
      <c r="CH45" s="752"/>
      <c r="CI45" s="752"/>
    </row>
    <row r="46" spans="2:88">
      <c r="G46" s="772" t="s">
        <v>2523</v>
      </c>
      <c r="H46" s="780">
        <f>H44/H45-1</f>
        <v>-1</v>
      </c>
      <c r="N46" s="772" t="s">
        <v>2523</v>
      </c>
      <c r="O46" s="780">
        <f>O44/O45-1</f>
        <v>-1</v>
      </c>
      <c r="U46" s="772" t="s">
        <v>2523</v>
      </c>
      <c r="V46" s="780">
        <f>V44/V45-1</f>
        <v>-1</v>
      </c>
      <c r="AB46" s="772" t="s">
        <v>2523</v>
      </c>
      <c r="AC46" s="780">
        <f>AC44/AC45-1</f>
        <v>-1</v>
      </c>
      <c r="AI46" s="772" t="s">
        <v>2523</v>
      </c>
      <c r="AJ46" s="780">
        <f>AJ44/AJ45-1</f>
        <v>-1</v>
      </c>
      <c r="BN46" s="751"/>
      <c r="BO46" s="752"/>
      <c r="BP46" s="752"/>
      <c r="BQ46" s="752"/>
      <c r="BR46" s="752"/>
      <c r="BS46" s="752"/>
      <c r="BT46" s="752"/>
      <c r="BU46" s="752"/>
      <c r="BV46" s="752"/>
      <c r="BW46" s="752"/>
      <c r="BX46" s="752"/>
      <c r="BY46" s="752"/>
      <c r="BZ46" s="752"/>
      <c r="CA46" s="752"/>
      <c r="CB46" s="752"/>
      <c r="CC46" s="752"/>
      <c r="CD46" s="752"/>
      <c r="CE46" s="752"/>
      <c r="CF46" s="752"/>
      <c r="CG46" s="752"/>
      <c r="CH46" s="752"/>
      <c r="CI46" s="752"/>
    </row>
    <row r="47" spans="2:88">
      <c r="BN47" s="751"/>
      <c r="BO47" s="751"/>
      <c r="BP47" s="752"/>
      <c r="BQ47" s="752"/>
      <c r="BR47" s="752"/>
      <c r="BS47" s="752"/>
      <c r="BT47" s="752"/>
      <c r="BU47" s="752"/>
      <c r="BV47" s="752"/>
      <c r="BW47" s="752"/>
      <c r="BX47" s="752"/>
      <c r="BY47" s="752"/>
      <c r="BZ47" s="752"/>
      <c r="CA47" s="752"/>
      <c r="CB47" s="752"/>
      <c r="CC47" s="752"/>
      <c r="CD47" s="752"/>
      <c r="CE47" s="752"/>
      <c r="CF47" s="752"/>
      <c r="CG47" s="752"/>
      <c r="CH47" s="752"/>
      <c r="CI47" s="752"/>
      <c r="CJ47" s="752"/>
    </row>
    <row r="48" spans="2:88">
      <c r="D48" s="773" t="s">
        <v>2530</v>
      </c>
      <c r="K48" s="773" t="s">
        <v>2531</v>
      </c>
      <c r="R48" s="773" t="s">
        <v>2532</v>
      </c>
      <c r="Y48" s="773" t="s">
        <v>2533</v>
      </c>
      <c r="AF48" s="773" t="s">
        <v>2534</v>
      </c>
      <c r="BN48" s="751"/>
      <c r="BO48" s="751"/>
      <c r="BP48" s="752"/>
      <c r="BQ48" s="752"/>
      <c r="BR48" s="752"/>
      <c r="BS48" s="752"/>
      <c r="BT48" s="752"/>
      <c r="BU48" s="752"/>
      <c r="BV48" s="752"/>
      <c r="BW48" s="752"/>
      <c r="BX48" s="752"/>
      <c r="BY48" s="752"/>
      <c r="BZ48" s="752"/>
      <c r="CA48" s="752"/>
      <c r="CB48" s="752"/>
      <c r="CC48" s="752"/>
      <c r="CD48" s="752"/>
      <c r="CE48" s="752"/>
      <c r="CF48" s="752"/>
      <c r="CG48" s="752"/>
      <c r="CH48" s="752"/>
      <c r="CI48" s="752"/>
      <c r="CJ48" s="752"/>
    </row>
    <row r="49" spans="4:88">
      <c r="BN49" s="751"/>
      <c r="BO49" s="751"/>
      <c r="BP49" s="752"/>
      <c r="BQ49" s="752"/>
      <c r="BR49" s="752"/>
      <c r="BS49" s="752"/>
      <c r="BT49" s="752"/>
      <c r="BU49" s="752"/>
      <c r="BV49" s="752"/>
      <c r="BW49" s="752"/>
      <c r="BX49" s="752"/>
      <c r="BY49" s="752"/>
      <c r="BZ49" s="752"/>
      <c r="CA49" s="752"/>
      <c r="CB49" s="752"/>
      <c r="CC49" s="752"/>
      <c r="CD49" s="752"/>
      <c r="CE49" s="752"/>
      <c r="CF49" s="752"/>
      <c r="CG49" s="752"/>
      <c r="CH49" s="752"/>
      <c r="CI49" s="752"/>
      <c r="CJ49" s="752"/>
    </row>
    <row r="50" spans="4:88">
      <c r="D50" s="753" t="s">
        <v>2535</v>
      </c>
      <c r="E50" s="753" t="s">
        <v>2536</v>
      </c>
      <c r="F50" s="753" t="s">
        <v>2537</v>
      </c>
      <c r="G50" s="753" t="s">
        <v>2538</v>
      </c>
      <c r="K50" s="753" t="s">
        <v>2535</v>
      </c>
      <c r="L50" s="753" t="s">
        <v>2536</v>
      </c>
      <c r="M50" s="753" t="s">
        <v>2537</v>
      </c>
      <c r="N50" s="753" t="s">
        <v>2538</v>
      </c>
      <c r="R50" s="753" t="s">
        <v>2535</v>
      </c>
      <c r="S50" s="753" t="s">
        <v>2536</v>
      </c>
      <c r="T50" s="753" t="s">
        <v>2537</v>
      </c>
      <c r="U50" s="753" t="s">
        <v>2538</v>
      </c>
      <c r="Y50" s="753" t="s">
        <v>2535</v>
      </c>
      <c r="Z50" s="753" t="s">
        <v>2536</v>
      </c>
      <c r="AA50" s="753" t="s">
        <v>2537</v>
      </c>
      <c r="AB50" s="753" t="s">
        <v>2538</v>
      </c>
      <c r="AF50" s="753" t="s">
        <v>2535</v>
      </c>
      <c r="AG50" s="753" t="s">
        <v>2536</v>
      </c>
      <c r="AH50" s="753" t="s">
        <v>2537</v>
      </c>
      <c r="AI50" s="753" t="s">
        <v>2538</v>
      </c>
      <c r="BN50" s="751"/>
      <c r="BO50" s="751"/>
      <c r="BP50" s="752"/>
      <c r="BQ50" s="752"/>
      <c r="BR50" s="752"/>
      <c r="BS50" s="752"/>
      <c r="BT50" s="752"/>
      <c r="BU50" s="752"/>
      <c r="BV50" s="752"/>
      <c r="BW50" s="752"/>
      <c r="BX50" s="752"/>
      <c r="BY50" s="752"/>
      <c r="BZ50" s="752"/>
      <c r="CA50" s="752"/>
      <c r="CB50" s="752"/>
      <c r="CC50" s="752"/>
      <c r="CD50" s="752"/>
      <c r="CE50" s="752"/>
      <c r="CF50" s="752"/>
      <c r="CG50" s="752"/>
      <c r="CH50" s="752"/>
      <c r="CI50" s="752"/>
      <c r="CJ50" s="752"/>
    </row>
    <row r="51" spans="4:88">
      <c r="D51" s="775"/>
      <c r="E51" s="775"/>
      <c r="F51" s="775"/>
      <c r="G51" s="774"/>
      <c r="K51" s="775"/>
      <c r="L51" s="775"/>
      <c r="M51" s="775"/>
      <c r="N51" s="774"/>
      <c r="R51" s="775"/>
      <c r="S51" s="775"/>
      <c r="T51" s="775"/>
      <c r="U51" s="774"/>
      <c r="Y51" s="775"/>
      <c r="Z51" s="775"/>
      <c r="AA51" s="775"/>
      <c r="AB51" s="774"/>
      <c r="AF51" s="775"/>
      <c r="AG51" s="775"/>
      <c r="AH51" s="775"/>
      <c r="AI51" s="774"/>
      <c r="BN51" s="751"/>
      <c r="BO51" s="751"/>
      <c r="BP51" s="752"/>
      <c r="BQ51" s="752"/>
      <c r="BR51" s="752"/>
      <c r="BS51" s="752"/>
      <c r="BT51" s="752"/>
      <c r="BU51" s="752"/>
      <c r="BV51" s="752"/>
      <c r="BW51" s="752"/>
      <c r="BX51" s="752"/>
      <c r="BY51" s="752"/>
      <c r="BZ51" s="752"/>
      <c r="CA51" s="752"/>
      <c r="CB51" s="752"/>
      <c r="CC51" s="752"/>
      <c r="CD51" s="752"/>
      <c r="CE51" s="752"/>
      <c r="CF51" s="752"/>
      <c r="CG51" s="752"/>
      <c r="CH51" s="752"/>
      <c r="CI51" s="752"/>
      <c r="CJ51" s="752"/>
    </row>
    <row r="52" spans="4:88">
      <c r="D52" s="775"/>
      <c r="E52" s="775"/>
      <c r="F52" s="775"/>
      <c r="G52" s="774"/>
      <c r="K52" s="775"/>
      <c r="L52" s="775"/>
      <c r="M52" s="775"/>
      <c r="N52" s="774"/>
      <c r="R52" s="775"/>
      <c r="S52" s="775"/>
      <c r="T52" s="775"/>
      <c r="U52" s="774"/>
      <c r="Y52" s="775"/>
      <c r="Z52" s="775"/>
      <c r="AA52" s="775"/>
      <c r="AB52" s="774"/>
      <c r="AF52" s="775"/>
      <c r="AG52" s="775"/>
      <c r="AH52" s="775"/>
      <c r="AI52" s="774"/>
      <c r="BN52" s="751"/>
      <c r="BO52" s="751"/>
      <c r="BP52" s="752"/>
      <c r="BQ52" s="752"/>
      <c r="BR52" s="752"/>
      <c r="BS52" s="752"/>
      <c r="BT52" s="752"/>
      <c r="BU52" s="752"/>
      <c r="BV52" s="752"/>
      <c r="BW52" s="752"/>
      <c r="BX52" s="752"/>
      <c r="BY52" s="752"/>
      <c r="BZ52" s="752"/>
      <c r="CA52" s="752"/>
      <c r="CB52" s="752"/>
      <c r="CC52" s="752"/>
      <c r="CD52" s="752"/>
      <c r="CE52" s="752"/>
      <c r="CF52" s="752"/>
      <c r="CG52" s="752"/>
      <c r="CH52" s="752"/>
      <c r="CI52" s="752"/>
      <c r="CJ52" s="752"/>
    </row>
    <row r="53" spans="4:88">
      <c r="D53" s="775"/>
      <c r="E53" s="775"/>
      <c r="F53" s="775"/>
      <c r="G53" s="774"/>
      <c r="K53" s="775"/>
      <c r="L53" s="775"/>
      <c r="M53" s="775"/>
      <c r="N53" s="774"/>
      <c r="R53" s="775"/>
      <c r="S53" s="775"/>
      <c r="T53" s="775"/>
      <c r="U53" s="774"/>
      <c r="Y53" s="775"/>
      <c r="Z53" s="775"/>
      <c r="AA53" s="775"/>
      <c r="AB53" s="774"/>
      <c r="AF53" s="775"/>
      <c r="AG53" s="775"/>
      <c r="AH53" s="775"/>
      <c r="AI53" s="774"/>
      <c r="BN53" s="751"/>
      <c r="BO53" s="751"/>
      <c r="BP53" s="752"/>
      <c r="BQ53" s="752"/>
      <c r="BR53" s="752"/>
      <c r="BS53" s="752"/>
      <c r="BT53" s="752"/>
      <c r="BU53" s="752"/>
      <c r="BV53" s="752"/>
      <c r="BW53" s="752"/>
      <c r="BX53" s="752"/>
      <c r="BY53" s="752"/>
      <c r="BZ53" s="752"/>
      <c r="CA53" s="752"/>
      <c r="CB53" s="752"/>
      <c r="CC53" s="752"/>
      <c r="CD53" s="752"/>
      <c r="CE53" s="752"/>
      <c r="CF53" s="752"/>
      <c r="CG53" s="752"/>
      <c r="CH53" s="752"/>
      <c r="CI53" s="752"/>
      <c r="CJ53" s="752"/>
    </row>
    <row r="54" spans="4:88">
      <c r="D54" s="775"/>
      <c r="E54" s="775"/>
      <c r="F54" s="775"/>
      <c r="G54" s="774"/>
      <c r="K54" s="775"/>
      <c r="L54" s="775"/>
      <c r="M54" s="775"/>
      <c r="N54" s="774"/>
      <c r="R54" s="775"/>
      <c r="S54" s="775"/>
      <c r="T54" s="775"/>
      <c r="U54" s="774"/>
      <c r="Y54" s="775"/>
      <c r="Z54" s="775"/>
      <c r="AA54" s="775"/>
      <c r="AB54" s="774"/>
      <c r="AF54" s="775"/>
      <c r="AG54" s="775"/>
      <c r="AH54" s="775"/>
      <c r="AI54" s="774"/>
      <c r="BN54" s="751"/>
      <c r="BO54" s="751"/>
      <c r="BP54" s="752"/>
      <c r="BQ54" s="752"/>
      <c r="BR54" s="752"/>
      <c r="BS54" s="752"/>
      <c r="BT54" s="752"/>
      <c r="BU54" s="752"/>
      <c r="BV54" s="752"/>
      <c r="BW54" s="752"/>
      <c r="BX54" s="752"/>
      <c r="BY54" s="752"/>
      <c r="BZ54" s="752"/>
      <c r="CA54" s="752"/>
      <c r="CB54" s="752"/>
      <c r="CC54" s="752"/>
      <c r="CD54" s="752"/>
      <c r="CE54" s="752"/>
      <c r="CF54" s="752"/>
      <c r="CG54" s="752"/>
      <c r="CH54" s="752"/>
      <c r="CI54" s="752"/>
      <c r="CJ54" s="752"/>
    </row>
    <row r="55" spans="4:88">
      <c r="D55" s="775"/>
      <c r="E55" s="775"/>
      <c r="F55" s="775"/>
      <c r="G55" s="774"/>
      <c r="K55" s="775"/>
      <c r="L55" s="775"/>
      <c r="M55" s="775"/>
      <c r="N55" s="774"/>
      <c r="R55" s="775"/>
      <c r="S55" s="775"/>
      <c r="T55" s="775"/>
      <c r="U55" s="774"/>
      <c r="Y55" s="775"/>
      <c r="Z55" s="775"/>
      <c r="AA55" s="775"/>
      <c r="AB55" s="774"/>
      <c r="AF55" s="775"/>
      <c r="AG55" s="775"/>
      <c r="AH55" s="775"/>
      <c r="AI55" s="774"/>
      <c r="BN55" s="751"/>
      <c r="BO55" s="751"/>
      <c r="BP55" s="752"/>
      <c r="BQ55" s="752"/>
      <c r="BR55" s="752"/>
      <c r="BS55" s="752"/>
      <c r="BT55" s="752"/>
      <c r="BU55" s="752"/>
      <c r="BV55" s="752"/>
      <c r="BW55" s="752"/>
      <c r="BX55" s="752"/>
      <c r="BY55" s="752"/>
      <c r="BZ55" s="752"/>
      <c r="CA55" s="752"/>
      <c r="CB55" s="752"/>
      <c r="CC55" s="752"/>
      <c r="CD55" s="752"/>
      <c r="CE55" s="752"/>
      <c r="CF55" s="752"/>
      <c r="CG55" s="752"/>
      <c r="CH55" s="752"/>
      <c r="CI55" s="752"/>
      <c r="CJ55" s="752"/>
    </row>
    <row r="56" spans="4:88">
      <c r="D56" s="775"/>
      <c r="E56" s="775"/>
      <c r="F56" s="775"/>
      <c r="G56" s="774"/>
      <c r="K56" s="775"/>
      <c r="L56" s="775"/>
      <c r="M56" s="775"/>
      <c r="N56" s="774"/>
      <c r="R56" s="775"/>
      <c r="S56" s="775"/>
      <c r="T56" s="775"/>
      <c r="U56" s="774"/>
      <c r="Y56" s="775"/>
      <c r="Z56" s="775"/>
      <c r="AA56" s="775"/>
      <c r="AB56" s="774"/>
      <c r="AF56" s="775"/>
      <c r="AG56" s="775"/>
      <c r="AH56" s="775"/>
      <c r="AI56" s="774"/>
      <c r="BN56" s="751"/>
      <c r="BO56" s="751"/>
      <c r="BP56" s="752"/>
      <c r="BQ56" s="752"/>
      <c r="BR56" s="752"/>
      <c r="BS56" s="752"/>
      <c r="BT56" s="752"/>
      <c r="BU56" s="752"/>
      <c r="BV56" s="752"/>
      <c r="BW56" s="752"/>
      <c r="BX56" s="752"/>
      <c r="BY56" s="752"/>
      <c r="BZ56" s="752"/>
      <c r="CA56" s="752"/>
      <c r="CB56" s="752"/>
      <c r="CC56" s="752"/>
      <c r="CD56" s="752"/>
      <c r="CE56" s="752"/>
      <c r="CF56" s="752"/>
      <c r="CG56" s="752"/>
      <c r="CH56" s="752"/>
      <c r="CI56" s="752"/>
      <c r="CJ56" s="752"/>
    </row>
    <row r="57" spans="4:88">
      <c r="D57" s="775"/>
      <c r="E57" s="775"/>
      <c r="F57" s="775"/>
      <c r="G57" s="774"/>
      <c r="K57" s="775"/>
      <c r="L57" s="775"/>
      <c r="M57" s="775"/>
      <c r="N57" s="774"/>
      <c r="R57" s="775"/>
      <c r="S57" s="775"/>
      <c r="T57" s="775"/>
      <c r="U57" s="774"/>
      <c r="Y57" s="775"/>
      <c r="Z57" s="775"/>
      <c r="AA57" s="775"/>
      <c r="AB57" s="774"/>
      <c r="AF57" s="775"/>
      <c r="AG57" s="775"/>
      <c r="AH57" s="775"/>
      <c r="AI57" s="774"/>
      <c r="BN57" s="751"/>
      <c r="BO57" s="751"/>
      <c r="BP57" s="752"/>
      <c r="BQ57" s="752"/>
      <c r="BR57" s="752"/>
      <c r="BS57" s="752"/>
      <c r="BT57" s="752"/>
      <c r="BU57" s="752"/>
      <c r="BV57" s="752"/>
      <c r="BW57" s="752"/>
      <c r="BX57" s="752"/>
      <c r="BY57" s="752"/>
      <c r="BZ57" s="752"/>
      <c r="CA57" s="752"/>
      <c r="CB57" s="752"/>
      <c r="CC57" s="752"/>
      <c r="CD57" s="752"/>
      <c r="CE57" s="752"/>
      <c r="CF57" s="752"/>
      <c r="CG57" s="752"/>
      <c r="CH57" s="752"/>
      <c r="CI57" s="752"/>
      <c r="CJ57" s="752"/>
    </row>
    <row r="58" spans="4:88">
      <c r="D58" s="775"/>
      <c r="E58" s="775"/>
      <c r="F58" s="775"/>
      <c r="G58" s="774"/>
      <c r="K58" s="775"/>
      <c r="L58" s="775"/>
      <c r="M58" s="775"/>
      <c r="N58" s="774"/>
      <c r="R58" s="775"/>
      <c r="S58" s="775"/>
      <c r="T58" s="775"/>
      <c r="U58" s="774"/>
      <c r="Y58" s="775"/>
      <c r="Z58" s="775"/>
      <c r="AA58" s="775"/>
      <c r="AB58" s="774"/>
      <c r="AF58" s="775"/>
      <c r="AG58" s="775"/>
      <c r="AH58" s="775"/>
      <c r="AI58" s="774"/>
      <c r="BN58" s="751"/>
      <c r="BO58" s="751"/>
      <c r="BP58" s="752"/>
      <c r="BQ58" s="752"/>
      <c r="BR58" s="752"/>
      <c r="BS58" s="752"/>
      <c r="BT58" s="752"/>
      <c r="BU58" s="752"/>
      <c r="BV58" s="752"/>
      <c r="BW58" s="752"/>
      <c r="BX58" s="752"/>
      <c r="BY58" s="752"/>
      <c r="BZ58" s="752"/>
      <c r="CA58" s="752"/>
      <c r="CB58" s="752"/>
      <c r="CC58" s="752"/>
      <c r="CD58" s="752"/>
      <c r="CE58" s="752"/>
      <c r="CF58" s="752"/>
      <c r="CG58" s="752"/>
      <c r="CH58" s="752"/>
      <c r="CI58" s="752"/>
      <c r="CJ58" s="752"/>
    </row>
    <row r="59" spans="4:88">
      <c r="D59" s="775"/>
      <c r="E59" s="775"/>
      <c r="F59" s="775"/>
      <c r="G59" s="774"/>
      <c r="K59" s="775"/>
      <c r="L59" s="775"/>
      <c r="M59" s="775"/>
      <c r="N59" s="774"/>
      <c r="R59" s="775"/>
      <c r="S59" s="775"/>
      <c r="T59" s="775"/>
      <c r="U59" s="774"/>
      <c r="Y59" s="775"/>
      <c r="Z59" s="775"/>
      <c r="AA59" s="775"/>
      <c r="AB59" s="774"/>
      <c r="AF59" s="775"/>
      <c r="AG59" s="775"/>
      <c r="AH59" s="775"/>
      <c r="AI59" s="774"/>
      <c r="BN59" s="751"/>
      <c r="BO59" s="751"/>
      <c r="BP59" s="752"/>
      <c r="BQ59" s="752"/>
      <c r="BR59" s="752"/>
      <c r="BS59" s="752"/>
      <c r="BT59" s="752"/>
      <c r="BU59" s="752"/>
      <c r="BV59" s="752"/>
      <c r="BW59" s="752"/>
      <c r="BX59" s="752"/>
      <c r="BY59" s="752"/>
      <c r="BZ59" s="752"/>
      <c r="CA59" s="752"/>
      <c r="CB59" s="752"/>
      <c r="CC59" s="752"/>
      <c r="CD59" s="752"/>
      <c r="CE59" s="752"/>
      <c r="CF59" s="752"/>
      <c r="CG59" s="752"/>
      <c r="CH59" s="752"/>
      <c r="CI59" s="752"/>
      <c r="CJ59" s="752"/>
    </row>
    <row r="60" spans="4:88">
      <c r="D60" s="775"/>
      <c r="E60" s="775"/>
      <c r="F60" s="775"/>
      <c r="G60" s="774"/>
      <c r="K60" s="775"/>
      <c r="L60" s="775"/>
      <c r="M60" s="775"/>
      <c r="N60" s="774"/>
      <c r="R60" s="775"/>
      <c r="S60" s="775"/>
      <c r="T60" s="775"/>
      <c r="U60" s="774"/>
      <c r="Y60" s="775"/>
      <c r="Z60" s="775"/>
      <c r="AA60" s="775"/>
      <c r="AB60" s="774"/>
      <c r="AF60" s="775"/>
      <c r="AG60" s="775"/>
      <c r="AH60" s="775"/>
      <c r="AI60" s="774"/>
      <c r="BN60" s="751"/>
      <c r="BO60" s="751"/>
      <c r="BP60" s="752"/>
      <c r="BQ60" s="752"/>
      <c r="BR60" s="752"/>
      <c r="BS60" s="752"/>
      <c r="BT60" s="752"/>
      <c r="BU60" s="752"/>
      <c r="BV60" s="752"/>
      <c r="BW60" s="752"/>
      <c r="BX60" s="752"/>
      <c r="BY60" s="752"/>
      <c r="BZ60" s="752"/>
      <c r="CA60" s="752"/>
      <c r="CB60" s="752"/>
      <c r="CC60" s="752"/>
      <c r="CD60" s="752"/>
      <c r="CE60" s="752"/>
      <c r="CF60" s="752"/>
      <c r="CG60" s="752"/>
      <c r="CH60" s="752"/>
      <c r="CI60" s="752"/>
      <c r="CJ60" s="752"/>
    </row>
    <row r="61" spans="4:88">
      <c r="D61" s="775"/>
      <c r="E61" s="775"/>
      <c r="F61" s="775"/>
      <c r="G61" s="774"/>
      <c r="K61" s="775"/>
      <c r="L61" s="775"/>
      <c r="M61" s="775"/>
      <c r="N61" s="774"/>
      <c r="R61" s="775"/>
      <c r="S61" s="775"/>
      <c r="T61" s="775"/>
      <c r="U61" s="774"/>
      <c r="Y61" s="775"/>
      <c r="Z61" s="775"/>
      <c r="AA61" s="775"/>
      <c r="AB61" s="774"/>
      <c r="AF61" s="775"/>
      <c r="AG61" s="775"/>
      <c r="AH61" s="775"/>
      <c r="AI61" s="774"/>
      <c r="BN61" s="751"/>
      <c r="BO61" s="751"/>
      <c r="BP61" s="752"/>
      <c r="BQ61" s="752"/>
      <c r="BR61" s="752"/>
      <c r="BS61" s="752"/>
      <c r="BT61" s="752"/>
      <c r="BU61" s="752"/>
      <c r="BV61" s="752"/>
      <c r="BW61" s="752"/>
      <c r="BX61" s="752"/>
      <c r="BY61" s="752"/>
      <c r="BZ61" s="752"/>
      <c r="CA61" s="752"/>
      <c r="CB61" s="752"/>
      <c r="CC61" s="752"/>
      <c r="CD61" s="752"/>
      <c r="CE61" s="752"/>
      <c r="CF61" s="752"/>
      <c r="CG61" s="752"/>
      <c r="CH61" s="752"/>
      <c r="CI61" s="752"/>
      <c r="CJ61" s="752"/>
    </row>
    <row r="62" spans="4:88">
      <c r="D62" s="775"/>
      <c r="E62" s="775"/>
      <c r="F62" s="775"/>
      <c r="G62" s="774"/>
      <c r="K62" s="775"/>
      <c r="L62" s="775"/>
      <c r="M62" s="775"/>
      <c r="N62" s="774"/>
      <c r="R62" s="775"/>
      <c r="S62" s="775"/>
      <c r="T62" s="775"/>
      <c r="U62" s="774"/>
      <c r="Y62" s="775"/>
      <c r="Z62" s="775"/>
      <c r="AA62" s="775"/>
      <c r="AB62" s="774"/>
      <c r="AF62" s="775"/>
      <c r="AG62" s="775"/>
      <c r="AH62" s="775"/>
      <c r="AI62" s="774"/>
      <c r="BN62" s="751"/>
      <c r="BO62" s="751"/>
      <c r="BP62" s="752"/>
      <c r="BQ62" s="752"/>
      <c r="BR62" s="752"/>
      <c r="BS62" s="752"/>
      <c r="BT62" s="752"/>
      <c r="BU62" s="752"/>
      <c r="BV62" s="752"/>
      <c r="BW62" s="752"/>
      <c r="BX62" s="752"/>
      <c r="BY62" s="752"/>
      <c r="BZ62" s="752"/>
      <c r="CA62" s="752"/>
      <c r="CB62" s="752"/>
      <c r="CC62" s="752"/>
      <c r="CD62" s="752"/>
      <c r="CE62" s="752"/>
      <c r="CF62" s="752"/>
      <c r="CG62" s="752"/>
      <c r="CH62" s="752"/>
      <c r="CI62" s="752"/>
      <c r="CJ62" s="752"/>
    </row>
    <row r="63" spans="4:88">
      <c r="D63" s="775"/>
      <c r="E63" s="775"/>
      <c r="F63" s="775"/>
      <c r="G63" s="774"/>
      <c r="K63" s="775"/>
      <c r="L63" s="775"/>
      <c r="M63" s="775"/>
      <c r="N63" s="774"/>
      <c r="R63" s="775"/>
      <c r="S63" s="775"/>
      <c r="T63" s="775"/>
      <c r="U63" s="774"/>
      <c r="Y63" s="775"/>
      <c r="Z63" s="775"/>
      <c r="AA63" s="775"/>
      <c r="AB63" s="774"/>
      <c r="AF63" s="775"/>
      <c r="AG63" s="775"/>
      <c r="AH63" s="775"/>
      <c r="AI63" s="774"/>
      <c r="BN63" s="751"/>
      <c r="BO63" s="751"/>
      <c r="BP63" s="752"/>
      <c r="BQ63" s="752"/>
      <c r="BR63" s="752"/>
      <c r="BS63" s="752"/>
      <c r="BT63" s="752"/>
      <c r="BU63" s="752"/>
      <c r="BV63" s="752"/>
      <c r="BW63" s="752"/>
      <c r="BX63" s="752"/>
      <c r="BY63" s="752"/>
      <c r="BZ63" s="752"/>
      <c r="CA63" s="752"/>
      <c r="CB63" s="752"/>
      <c r="CC63" s="752"/>
      <c r="CD63" s="752"/>
      <c r="CE63" s="752"/>
      <c r="CF63" s="752"/>
      <c r="CG63" s="752"/>
      <c r="CH63" s="752"/>
      <c r="CI63" s="752"/>
      <c r="CJ63" s="752"/>
    </row>
    <row r="64" spans="4:88">
      <c r="D64" s="775"/>
      <c r="E64" s="775"/>
      <c r="F64" s="775"/>
      <c r="G64" s="774"/>
      <c r="K64" s="775"/>
      <c r="L64" s="775"/>
      <c r="M64" s="775"/>
      <c r="N64" s="774"/>
      <c r="R64" s="775"/>
      <c r="S64" s="775"/>
      <c r="T64" s="775"/>
      <c r="U64" s="774"/>
      <c r="Y64" s="775"/>
      <c r="Z64" s="775"/>
      <c r="AA64" s="775"/>
      <c r="AB64" s="774"/>
      <c r="AF64" s="775"/>
      <c r="AG64" s="775"/>
      <c r="AH64" s="775"/>
      <c r="AI64" s="774"/>
      <c r="BN64" s="751"/>
      <c r="BO64" s="751"/>
      <c r="BP64" s="752"/>
      <c r="BQ64" s="752"/>
      <c r="BR64" s="752"/>
      <c r="BS64" s="752"/>
      <c r="BT64" s="752"/>
      <c r="BU64" s="752"/>
      <c r="BV64" s="752"/>
      <c r="BW64" s="752"/>
      <c r="BX64" s="752"/>
      <c r="BY64" s="752"/>
      <c r="BZ64" s="752"/>
      <c r="CA64" s="752"/>
      <c r="CB64" s="752"/>
      <c r="CC64" s="752"/>
      <c r="CD64" s="752"/>
      <c r="CE64" s="752"/>
      <c r="CF64" s="752"/>
      <c r="CG64" s="752"/>
      <c r="CH64" s="752"/>
      <c r="CI64" s="752"/>
      <c r="CJ64" s="752"/>
    </row>
    <row r="65" spans="4:88">
      <c r="D65" s="775"/>
      <c r="E65" s="775"/>
      <c r="F65" s="775"/>
      <c r="G65" s="774"/>
      <c r="K65" s="775"/>
      <c r="L65" s="775"/>
      <c r="M65" s="775"/>
      <c r="N65" s="774"/>
      <c r="R65" s="775"/>
      <c r="S65" s="775"/>
      <c r="T65" s="775"/>
      <c r="U65" s="774"/>
      <c r="Y65" s="775"/>
      <c r="Z65" s="775"/>
      <c r="AA65" s="775"/>
      <c r="AB65" s="774"/>
      <c r="AF65" s="775"/>
      <c r="AG65" s="775"/>
      <c r="AH65" s="775"/>
      <c r="AI65" s="774"/>
      <c r="BN65" s="751"/>
      <c r="BO65" s="751"/>
      <c r="BP65" s="752"/>
      <c r="BQ65" s="752"/>
      <c r="BR65" s="752"/>
      <c r="BS65" s="752"/>
      <c r="BT65" s="752"/>
      <c r="BU65" s="752"/>
      <c r="BV65" s="752"/>
      <c r="BW65" s="752"/>
      <c r="BX65" s="752"/>
      <c r="BY65" s="752"/>
      <c r="BZ65" s="752"/>
      <c r="CA65" s="752"/>
      <c r="CB65" s="752"/>
      <c r="CC65" s="752"/>
      <c r="CD65" s="752"/>
      <c r="CE65" s="752"/>
      <c r="CF65" s="752"/>
      <c r="CG65" s="752"/>
      <c r="CH65" s="752"/>
      <c r="CI65" s="752"/>
      <c r="CJ65" s="752"/>
    </row>
    <row r="66" spans="4:88">
      <c r="D66" s="775"/>
      <c r="E66" s="775"/>
      <c r="F66" s="775"/>
      <c r="G66" s="774"/>
      <c r="K66" s="775"/>
      <c r="L66" s="775"/>
      <c r="M66" s="775"/>
      <c r="N66" s="774"/>
      <c r="R66" s="775"/>
      <c r="S66" s="775"/>
      <c r="T66" s="775"/>
      <c r="U66" s="774"/>
      <c r="Y66" s="775"/>
      <c r="Z66" s="775"/>
      <c r="AA66" s="775"/>
      <c r="AB66" s="774"/>
      <c r="AF66" s="775"/>
      <c r="AG66" s="775"/>
      <c r="AH66" s="775"/>
      <c r="AI66" s="774"/>
      <c r="BN66" s="751"/>
      <c r="BO66" s="751"/>
      <c r="BP66" s="752"/>
      <c r="BQ66" s="752"/>
      <c r="BR66" s="752"/>
      <c r="BS66" s="752"/>
      <c r="BT66" s="752"/>
      <c r="BU66" s="752"/>
      <c r="BV66" s="752"/>
      <c r="BW66" s="752"/>
      <c r="BX66" s="752"/>
      <c r="BY66" s="752"/>
      <c r="BZ66" s="752"/>
      <c r="CA66" s="752"/>
      <c r="CB66" s="752"/>
      <c r="CC66" s="752"/>
      <c r="CD66" s="752"/>
      <c r="CE66" s="752"/>
      <c r="CF66" s="752"/>
      <c r="CG66" s="752"/>
      <c r="CH66" s="752"/>
      <c r="CI66" s="752"/>
      <c r="CJ66" s="752"/>
    </row>
    <row r="67" spans="4:88">
      <c r="D67" s="775"/>
      <c r="E67" s="775"/>
      <c r="F67" s="775"/>
      <c r="G67" s="774"/>
      <c r="K67" s="775"/>
      <c r="L67" s="775"/>
      <c r="M67" s="775"/>
      <c r="N67" s="774"/>
      <c r="R67" s="775"/>
      <c r="S67" s="775"/>
      <c r="T67" s="775"/>
      <c r="U67" s="774"/>
      <c r="Y67" s="775"/>
      <c r="Z67" s="775"/>
      <c r="AA67" s="775"/>
      <c r="AB67" s="774"/>
      <c r="AF67" s="775"/>
      <c r="AG67" s="775"/>
      <c r="AH67" s="775"/>
      <c r="AI67" s="774"/>
      <c r="BN67" s="751"/>
      <c r="BO67" s="751"/>
      <c r="BP67" s="752"/>
      <c r="BQ67" s="752"/>
      <c r="BR67" s="752"/>
      <c r="BS67" s="752"/>
      <c r="BT67" s="752"/>
      <c r="BU67" s="752"/>
      <c r="BV67" s="752"/>
      <c r="BW67" s="752"/>
      <c r="BX67" s="752"/>
      <c r="BY67" s="752"/>
      <c r="BZ67" s="752"/>
      <c r="CA67" s="752"/>
      <c r="CB67" s="752"/>
      <c r="CC67" s="752"/>
      <c r="CD67" s="752"/>
      <c r="CE67" s="752"/>
      <c r="CF67" s="752"/>
      <c r="CG67" s="752"/>
      <c r="CH67" s="752"/>
      <c r="CI67" s="752"/>
      <c r="CJ67" s="752"/>
    </row>
    <row r="68" spans="4:88">
      <c r="D68" s="775"/>
      <c r="E68" s="775"/>
      <c r="F68" s="775"/>
      <c r="G68" s="774"/>
      <c r="K68" s="775"/>
      <c r="L68" s="775"/>
      <c r="M68" s="775"/>
      <c r="N68" s="774"/>
      <c r="R68" s="775"/>
      <c r="S68" s="775"/>
      <c r="T68" s="775"/>
      <c r="U68" s="774"/>
      <c r="Y68" s="775"/>
      <c r="Z68" s="775"/>
      <c r="AA68" s="775"/>
      <c r="AB68" s="774"/>
      <c r="AF68" s="775"/>
      <c r="AG68" s="775"/>
      <c r="AH68" s="775"/>
      <c r="AI68" s="774"/>
      <c r="BN68" s="751"/>
      <c r="BO68" s="751"/>
      <c r="BP68" s="752"/>
      <c r="BQ68" s="752"/>
      <c r="BR68" s="752"/>
      <c r="BS68" s="752"/>
      <c r="BT68" s="752"/>
      <c r="BU68" s="752"/>
      <c r="BV68" s="752"/>
      <c r="BW68" s="752"/>
      <c r="BX68" s="752"/>
      <c r="BY68" s="752"/>
      <c r="BZ68" s="752"/>
      <c r="CA68" s="752"/>
      <c r="CB68" s="752"/>
      <c r="CC68" s="752"/>
      <c r="CD68" s="752"/>
      <c r="CE68" s="752"/>
      <c r="CF68" s="752"/>
      <c r="CG68" s="752"/>
      <c r="CH68" s="752"/>
      <c r="CI68" s="752"/>
      <c r="CJ68" s="752"/>
    </row>
    <row r="69" spans="4:88">
      <c r="D69" s="775"/>
      <c r="E69" s="775"/>
      <c r="F69" s="775"/>
      <c r="G69" s="774"/>
      <c r="K69" s="775"/>
      <c r="L69" s="775"/>
      <c r="M69" s="775"/>
      <c r="N69" s="774"/>
      <c r="R69" s="775"/>
      <c r="S69" s="775"/>
      <c r="T69" s="775"/>
      <c r="U69" s="774"/>
      <c r="Y69" s="775"/>
      <c r="Z69" s="775"/>
      <c r="AA69" s="775"/>
      <c r="AB69" s="774"/>
      <c r="AF69" s="775"/>
      <c r="AG69" s="775"/>
      <c r="AH69" s="775"/>
      <c r="AI69" s="774"/>
      <c r="BN69" s="751"/>
      <c r="BO69" s="751"/>
      <c r="BP69" s="752"/>
      <c r="BQ69" s="752"/>
      <c r="BR69" s="752"/>
      <c r="BS69" s="752"/>
      <c r="BT69" s="752"/>
      <c r="BU69" s="752"/>
      <c r="BV69" s="752"/>
      <c r="BW69" s="752"/>
      <c r="BX69" s="752"/>
      <c r="BY69" s="752"/>
      <c r="BZ69" s="752"/>
      <c r="CA69" s="752"/>
      <c r="CB69" s="752"/>
      <c r="CC69" s="752"/>
      <c r="CD69" s="752"/>
      <c r="CE69" s="752"/>
      <c r="CF69" s="752"/>
      <c r="CG69" s="752"/>
      <c r="CH69" s="752"/>
      <c r="CI69" s="752"/>
      <c r="CJ69" s="752"/>
    </row>
    <row r="70" spans="4:88">
      <c r="D70" s="775"/>
      <c r="E70" s="775"/>
      <c r="F70" s="775"/>
      <c r="G70" s="774"/>
      <c r="K70" s="775"/>
      <c r="L70" s="775"/>
      <c r="M70" s="775"/>
      <c r="N70" s="774"/>
      <c r="R70" s="775"/>
      <c r="S70" s="775"/>
      <c r="T70" s="775"/>
      <c r="U70" s="774"/>
      <c r="Y70" s="775"/>
      <c r="Z70" s="775"/>
      <c r="AA70" s="775"/>
      <c r="AB70" s="774"/>
      <c r="AF70" s="775"/>
      <c r="AG70" s="775"/>
      <c r="AH70" s="775"/>
      <c r="AI70" s="774"/>
      <c r="BN70" s="751"/>
      <c r="BO70" s="751"/>
      <c r="BP70" s="752"/>
      <c r="BQ70" s="752"/>
      <c r="BR70" s="752"/>
      <c r="BS70" s="752"/>
      <c r="BT70" s="752"/>
      <c r="BU70" s="752"/>
      <c r="BV70" s="752"/>
      <c r="BW70" s="752"/>
      <c r="BX70" s="752"/>
      <c r="BY70" s="752"/>
      <c r="BZ70" s="752"/>
      <c r="CA70" s="752"/>
      <c r="CB70" s="752"/>
      <c r="CC70" s="752"/>
      <c r="CD70" s="752"/>
      <c r="CE70" s="752"/>
      <c r="CF70" s="752"/>
      <c r="CG70" s="752"/>
      <c r="CH70" s="752"/>
      <c r="CI70" s="752"/>
      <c r="CJ70" s="752"/>
    </row>
    <row r="71" spans="4:88">
      <c r="D71" s="775"/>
      <c r="E71" s="775"/>
      <c r="F71" s="775"/>
      <c r="G71" s="774"/>
      <c r="K71" s="775"/>
      <c r="L71" s="775"/>
      <c r="M71" s="775"/>
      <c r="N71" s="774"/>
      <c r="R71" s="775"/>
      <c r="S71" s="775"/>
      <c r="T71" s="775"/>
      <c r="U71" s="774"/>
      <c r="Y71" s="775"/>
      <c r="Z71" s="775"/>
      <c r="AA71" s="775"/>
      <c r="AB71" s="774"/>
      <c r="AF71" s="775"/>
      <c r="AG71" s="775"/>
      <c r="AH71" s="775"/>
      <c r="AI71" s="774"/>
      <c r="BN71" s="751"/>
      <c r="BO71" s="751"/>
      <c r="BP71" s="752"/>
      <c r="BQ71" s="752"/>
      <c r="BR71" s="752"/>
      <c r="BS71" s="752"/>
      <c r="BT71" s="752"/>
      <c r="BU71" s="752"/>
      <c r="BV71" s="752"/>
      <c r="BW71" s="752"/>
      <c r="BX71" s="752"/>
      <c r="BY71" s="752"/>
      <c r="BZ71" s="752"/>
      <c r="CA71" s="752"/>
      <c r="CB71" s="752"/>
      <c r="CC71" s="752"/>
      <c r="CD71" s="752"/>
      <c r="CE71" s="752"/>
      <c r="CF71" s="752"/>
      <c r="CG71" s="752"/>
      <c r="CH71" s="752"/>
      <c r="CI71" s="752"/>
      <c r="CJ71" s="752"/>
    </row>
    <row r="72" spans="4:88">
      <c r="D72" s="775"/>
      <c r="E72" s="775"/>
      <c r="F72" s="775"/>
      <c r="G72" s="774"/>
      <c r="K72" s="775"/>
      <c r="L72" s="775"/>
      <c r="M72" s="775"/>
      <c r="N72" s="774"/>
      <c r="R72" s="775"/>
      <c r="S72" s="775"/>
      <c r="T72" s="775"/>
      <c r="U72" s="774"/>
      <c r="Y72" s="775"/>
      <c r="Z72" s="775"/>
      <c r="AA72" s="775"/>
      <c r="AB72" s="774"/>
      <c r="AF72" s="775"/>
      <c r="AG72" s="775"/>
      <c r="AH72" s="775"/>
      <c r="AI72" s="774"/>
      <c r="BN72" s="751"/>
      <c r="BO72" s="751"/>
      <c r="BP72" s="752"/>
      <c r="BQ72" s="752"/>
      <c r="BR72" s="752"/>
      <c r="BS72" s="752"/>
      <c r="BT72" s="752"/>
      <c r="BU72" s="752"/>
      <c r="BV72" s="752"/>
      <c r="BW72" s="752"/>
      <c r="BX72" s="752"/>
      <c r="BY72" s="752"/>
      <c r="BZ72" s="752"/>
      <c r="CA72" s="752"/>
      <c r="CB72" s="752"/>
      <c r="CC72" s="752"/>
      <c r="CD72" s="752"/>
      <c r="CE72" s="752"/>
      <c r="CF72" s="752"/>
      <c r="CG72" s="752"/>
      <c r="CH72" s="752"/>
      <c r="CI72" s="752"/>
      <c r="CJ72" s="752"/>
    </row>
    <row r="73" spans="4:88">
      <c r="D73" s="775"/>
      <c r="E73" s="775"/>
      <c r="F73" s="775"/>
      <c r="G73" s="774"/>
      <c r="K73" s="775"/>
      <c r="L73" s="775"/>
      <c r="M73" s="775"/>
      <c r="N73" s="774"/>
      <c r="R73" s="775"/>
      <c r="S73" s="775"/>
      <c r="T73" s="775"/>
      <c r="U73" s="774"/>
      <c r="Y73" s="775"/>
      <c r="Z73" s="775"/>
      <c r="AA73" s="775"/>
      <c r="AB73" s="774"/>
      <c r="AF73" s="775"/>
      <c r="AG73" s="775"/>
      <c r="AH73" s="775"/>
      <c r="AI73" s="774"/>
      <c r="BN73" s="751"/>
      <c r="BO73" s="751"/>
      <c r="BP73" s="752"/>
      <c r="BQ73" s="752"/>
      <c r="BR73" s="752"/>
      <c r="BS73" s="752"/>
      <c r="BT73" s="752"/>
      <c r="BU73" s="752"/>
      <c r="BV73" s="752"/>
      <c r="BW73" s="752"/>
      <c r="BX73" s="752"/>
      <c r="BY73" s="752"/>
      <c r="BZ73" s="752"/>
      <c r="CA73" s="752"/>
      <c r="CB73" s="752"/>
      <c r="CC73" s="752"/>
      <c r="CD73" s="752"/>
      <c r="CE73" s="752"/>
      <c r="CF73" s="752"/>
      <c r="CG73" s="752"/>
      <c r="CH73" s="752"/>
      <c r="CI73" s="752"/>
      <c r="CJ73" s="752"/>
    </row>
    <row r="74" spans="4:88">
      <c r="D74" s="775"/>
      <c r="E74" s="775"/>
      <c r="F74" s="775"/>
      <c r="G74" s="774"/>
      <c r="K74" s="775"/>
      <c r="L74" s="775"/>
      <c r="M74" s="775"/>
      <c r="N74" s="774"/>
      <c r="R74" s="775"/>
      <c r="S74" s="775"/>
      <c r="T74" s="775"/>
      <c r="U74" s="774"/>
      <c r="Y74" s="775"/>
      <c r="Z74" s="775"/>
      <c r="AA74" s="775"/>
      <c r="AB74" s="774"/>
      <c r="AF74" s="775"/>
      <c r="AG74" s="775"/>
      <c r="AH74" s="775"/>
      <c r="AI74" s="774"/>
      <c r="BN74" s="751"/>
      <c r="BO74" s="751"/>
      <c r="BP74" s="751"/>
      <c r="BQ74" s="752"/>
      <c r="BR74" s="752"/>
      <c r="BS74" s="752"/>
      <c r="BT74" s="752"/>
      <c r="BU74" s="752"/>
      <c r="BV74" s="752"/>
      <c r="BW74" s="752"/>
      <c r="BX74" s="752"/>
      <c r="BY74" s="752"/>
      <c r="BZ74" s="752"/>
      <c r="CA74" s="752"/>
      <c r="CB74" s="752"/>
      <c r="CC74" s="752"/>
      <c r="CD74" s="752"/>
      <c r="CE74" s="752"/>
      <c r="CF74" s="752"/>
      <c r="CG74" s="752"/>
      <c r="CH74" s="752"/>
      <c r="CI74" s="752"/>
      <c r="CJ74" s="752"/>
    </row>
    <row r="75" spans="4:88">
      <c r="D75" s="775"/>
      <c r="E75" s="775"/>
      <c r="F75" s="775"/>
      <c r="G75" s="774"/>
      <c r="K75" s="775"/>
      <c r="L75" s="775"/>
      <c r="M75" s="775"/>
      <c r="N75" s="774"/>
      <c r="R75" s="775"/>
      <c r="S75" s="775"/>
      <c r="T75" s="775"/>
      <c r="U75" s="774"/>
      <c r="X75" s="752"/>
      <c r="Y75" s="775"/>
      <c r="Z75" s="775"/>
      <c r="AA75" s="775"/>
      <c r="AB75" s="774"/>
      <c r="AE75" s="752"/>
      <c r="AF75" s="775"/>
      <c r="AG75" s="775"/>
      <c r="AH75" s="775"/>
      <c r="AI75" s="774"/>
      <c r="AL75" s="752"/>
      <c r="AM75" s="752"/>
      <c r="AN75" s="752"/>
      <c r="AO75" s="752"/>
      <c r="AP75" s="752"/>
      <c r="BN75" s="751"/>
      <c r="BO75" s="751"/>
      <c r="BP75" s="751"/>
      <c r="BQ75" s="751"/>
      <c r="BR75" s="751"/>
      <c r="BS75" s="751"/>
      <c r="BT75" s="751"/>
      <c r="BU75" s="751"/>
      <c r="BV75" s="751"/>
      <c r="BW75" s="751"/>
      <c r="BX75" s="751"/>
      <c r="BY75" s="751"/>
      <c r="BZ75" s="751"/>
      <c r="CA75" s="751"/>
      <c r="CB75" s="751"/>
      <c r="CC75" s="751"/>
      <c r="CD75" s="751"/>
      <c r="CE75" s="751"/>
      <c r="CF75" s="751"/>
      <c r="CG75" s="751"/>
    </row>
    <row r="76" spans="4:88">
      <c r="D76" s="775"/>
      <c r="E76" s="775"/>
      <c r="F76" s="775"/>
      <c r="G76" s="774"/>
      <c r="K76" s="775"/>
      <c r="L76" s="775"/>
      <c r="M76" s="775"/>
      <c r="N76" s="774"/>
      <c r="R76" s="775"/>
      <c r="S76" s="775"/>
      <c r="T76" s="775"/>
      <c r="U76" s="774"/>
      <c r="X76" s="752"/>
      <c r="Y76" s="775"/>
      <c r="Z76" s="775"/>
      <c r="AA76" s="775"/>
      <c r="AB76" s="774"/>
      <c r="AE76" s="752"/>
      <c r="AF76" s="775"/>
      <c r="AG76" s="775"/>
      <c r="AH76" s="775"/>
      <c r="AI76" s="774"/>
      <c r="AL76" s="752"/>
      <c r="AM76" s="752"/>
      <c r="AN76" s="752"/>
      <c r="AO76" s="752"/>
      <c r="AP76" s="752"/>
      <c r="BN76" s="751"/>
      <c r="BO76" s="751"/>
      <c r="BP76" s="751"/>
      <c r="BQ76" s="751"/>
      <c r="BR76" s="751"/>
      <c r="BS76" s="751"/>
      <c r="BT76" s="751"/>
      <c r="BU76" s="751"/>
      <c r="BV76" s="751"/>
      <c r="BW76" s="751"/>
      <c r="BX76" s="751"/>
      <c r="BY76" s="751"/>
      <c r="BZ76" s="751"/>
      <c r="CA76" s="751"/>
      <c r="CB76" s="751"/>
      <c r="CC76" s="751"/>
      <c r="CD76" s="751"/>
      <c r="CE76" s="751"/>
      <c r="CF76" s="751"/>
      <c r="CG76" s="751"/>
    </row>
    <row r="77" spans="4:88">
      <c r="D77" s="775"/>
      <c r="E77" s="775"/>
      <c r="F77" s="775"/>
      <c r="G77" s="774"/>
      <c r="K77" s="775"/>
      <c r="L77" s="775"/>
      <c r="M77" s="775"/>
      <c r="N77" s="774"/>
      <c r="R77" s="775"/>
      <c r="S77" s="775"/>
      <c r="T77" s="775"/>
      <c r="U77" s="774"/>
      <c r="X77" s="752"/>
      <c r="Y77" s="775"/>
      <c r="Z77" s="775"/>
      <c r="AA77" s="775"/>
      <c r="AB77" s="774"/>
      <c r="AE77" s="752"/>
      <c r="AF77" s="775"/>
      <c r="AG77" s="775"/>
      <c r="AH77" s="775"/>
      <c r="AI77" s="774"/>
      <c r="AL77" s="752"/>
      <c r="AM77" s="752"/>
      <c r="AN77" s="752"/>
      <c r="AO77" s="752"/>
      <c r="AP77" s="752"/>
      <c r="BN77" s="751"/>
      <c r="BO77" s="751"/>
      <c r="BP77" s="751"/>
      <c r="BQ77" s="751"/>
      <c r="BR77" s="751"/>
      <c r="BS77" s="751"/>
      <c r="BT77" s="751"/>
      <c r="BU77" s="751"/>
      <c r="BV77" s="751"/>
      <c r="BW77" s="751"/>
      <c r="BX77" s="751"/>
      <c r="BY77" s="751"/>
      <c r="BZ77" s="751"/>
      <c r="CA77" s="751"/>
      <c r="CB77" s="751"/>
      <c r="CC77" s="751"/>
      <c r="CD77" s="751"/>
      <c r="CE77" s="751"/>
      <c r="CF77" s="751"/>
      <c r="CG77" s="751"/>
    </row>
    <row r="78" spans="4:88">
      <c r="D78" s="781" t="s">
        <v>2539</v>
      </c>
      <c r="E78" s="782">
        <f>SUM(E51:E77)</f>
        <v>0</v>
      </c>
      <c r="F78" s="781" t="s">
        <v>2540</v>
      </c>
      <c r="G78" s="777">
        <f>SUMIF(G51:G77,"Yes",E51:E77)</f>
        <v>0</v>
      </c>
      <c r="K78" s="781" t="s">
        <v>2539</v>
      </c>
      <c r="L78" s="777">
        <f>SUM(L51:L77)</f>
        <v>0</v>
      </c>
      <c r="M78" s="781" t="s">
        <v>2540</v>
      </c>
      <c r="N78" s="777">
        <f>SUMIF(N51:N77,"Yes",L51:L77)</f>
        <v>0</v>
      </c>
      <c r="R78" s="781" t="s">
        <v>2539</v>
      </c>
      <c r="S78" s="777">
        <f>SUM(S51:S77)</f>
        <v>0</v>
      </c>
      <c r="T78" s="781" t="s">
        <v>2540</v>
      </c>
      <c r="U78" s="777">
        <f>SUMIF(U51:U77,"Yes",S51:S77)</f>
        <v>0</v>
      </c>
      <c r="X78" s="752"/>
      <c r="Y78" s="781" t="s">
        <v>2539</v>
      </c>
      <c r="Z78" s="777">
        <f>SUM(Z51:Z77)</f>
        <v>0</v>
      </c>
      <c r="AA78" s="781" t="s">
        <v>2540</v>
      </c>
      <c r="AB78" s="777">
        <f>SUMIF(AB51:AB77,"Yes",Z51:Z77)</f>
        <v>0</v>
      </c>
      <c r="AE78" s="752"/>
      <c r="AF78" s="781" t="s">
        <v>2539</v>
      </c>
      <c r="AG78" s="777">
        <f>SUM(AG51:AG77)</f>
        <v>0</v>
      </c>
      <c r="AH78" s="781" t="s">
        <v>2540</v>
      </c>
      <c r="AI78" s="777">
        <f>SUMIF(AI51:AI77,"Yes",AG51:AG77)</f>
        <v>0</v>
      </c>
      <c r="AL78" s="752"/>
      <c r="AM78" s="752"/>
      <c r="AN78" s="752"/>
      <c r="AO78" s="752"/>
      <c r="AP78" s="752"/>
      <c r="BN78" s="751"/>
      <c r="BO78" s="751"/>
      <c r="BP78" s="751"/>
      <c r="BQ78" s="751"/>
      <c r="BR78" s="751"/>
      <c r="BS78" s="751"/>
      <c r="BT78" s="751"/>
      <c r="BU78" s="751"/>
      <c r="BV78" s="751"/>
      <c r="BW78" s="751"/>
      <c r="BX78" s="751"/>
      <c r="BY78" s="751"/>
      <c r="BZ78" s="751"/>
      <c r="CA78" s="751"/>
      <c r="CB78" s="751"/>
      <c r="CC78" s="751"/>
      <c r="CD78" s="751"/>
      <c r="CE78" s="751"/>
      <c r="CF78" s="751"/>
      <c r="CG78" s="751"/>
    </row>
    <row r="79" spans="4:88" ht="14.25">
      <c r="D79" s="781" t="s">
        <v>2541</v>
      </c>
      <c r="E79" s="783" t="e">
        <f>G78/E78</f>
        <v>#DIV/0!</v>
      </c>
      <c r="F79" s="781"/>
      <c r="K79" s="781" t="s">
        <v>2541</v>
      </c>
      <c r="L79" s="783" t="e">
        <f>N78/L78</f>
        <v>#DIV/0!</v>
      </c>
      <c r="M79" s="781"/>
      <c r="R79" s="781" t="s">
        <v>2541</v>
      </c>
      <c r="S79" s="783" t="e">
        <f>U78/S78</f>
        <v>#DIV/0!</v>
      </c>
      <c r="T79" s="781"/>
      <c r="X79" s="752"/>
      <c r="Y79" s="781" t="s">
        <v>2541</v>
      </c>
      <c r="Z79" s="783" t="e">
        <f>AB78/Z78</f>
        <v>#DIV/0!</v>
      </c>
      <c r="AA79" s="781"/>
      <c r="AE79" s="752"/>
      <c r="AF79" s="781" t="s">
        <v>2541</v>
      </c>
      <c r="AG79" s="783" t="e">
        <f>AI78/AG78</f>
        <v>#DIV/0!</v>
      </c>
      <c r="AH79" s="781"/>
      <c r="AL79" s="752"/>
      <c r="AM79" s="752"/>
      <c r="AN79" s="752"/>
      <c r="AO79" s="752"/>
      <c r="AP79" s="752"/>
      <c r="BN79" s="751"/>
      <c r="BO79" s="751"/>
      <c r="BP79" s="751"/>
      <c r="BQ79" s="751"/>
      <c r="BR79" s="751"/>
      <c r="BS79" s="751"/>
      <c r="BT79" s="751"/>
      <c r="BU79" s="751"/>
      <c r="BV79" s="751"/>
      <c r="BW79" s="751"/>
      <c r="BX79" s="751"/>
      <c r="BY79" s="751"/>
      <c r="BZ79" s="751"/>
      <c r="CA79" s="751"/>
      <c r="CB79" s="751"/>
      <c r="CC79" s="751"/>
      <c r="CD79" s="751"/>
      <c r="CE79" s="751"/>
      <c r="CF79" s="751"/>
      <c r="CG79" s="751"/>
    </row>
    <row r="80" spans="4:88">
      <c r="D80" s="781" t="s">
        <v>2542</v>
      </c>
      <c r="E80" s="782">
        <f>E78+E115</f>
        <v>0</v>
      </c>
      <c r="K80" s="781" t="s">
        <v>2542</v>
      </c>
      <c r="L80" s="777">
        <f>L78+L115</f>
        <v>0</v>
      </c>
      <c r="R80" s="781" t="s">
        <v>2542</v>
      </c>
      <c r="S80" s="777">
        <f>S78+S115</f>
        <v>0</v>
      </c>
      <c r="X80" s="752"/>
      <c r="Y80" s="781" t="s">
        <v>2542</v>
      </c>
      <c r="Z80" s="777">
        <f>Z78+Z115</f>
        <v>0</v>
      </c>
      <c r="AE80" s="752"/>
      <c r="AF80" s="781" t="s">
        <v>2542</v>
      </c>
      <c r="AG80" s="777">
        <f>AG78+AG115</f>
        <v>0</v>
      </c>
      <c r="AL80" s="752"/>
      <c r="AM80" s="752"/>
      <c r="AN80" s="752"/>
      <c r="AO80" s="752"/>
      <c r="AP80" s="752"/>
      <c r="BN80" s="751"/>
      <c r="BO80" s="751"/>
      <c r="BP80" s="751"/>
      <c r="BQ80" s="751"/>
      <c r="BR80" s="751"/>
      <c r="BS80" s="751"/>
      <c r="BT80" s="751"/>
      <c r="BU80" s="751"/>
      <c r="BV80" s="751"/>
      <c r="BW80" s="751"/>
      <c r="BX80" s="751"/>
      <c r="BY80" s="751"/>
      <c r="BZ80" s="751"/>
      <c r="CA80" s="751"/>
      <c r="CB80" s="751"/>
      <c r="CC80" s="751"/>
      <c r="CD80" s="751"/>
      <c r="CE80" s="751"/>
      <c r="CF80" s="751"/>
      <c r="CG80" s="751"/>
    </row>
    <row r="81" spans="4:88">
      <c r="D81" s="781" t="s">
        <v>2543</v>
      </c>
      <c r="E81" s="784" t="e">
        <f>E78/E80</f>
        <v>#DIV/0!</v>
      </c>
      <c r="K81" s="781" t="s">
        <v>2543</v>
      </c>
      <c r="L81" s="784" t="e">
        <f>L78/L80</f>
        <v>#DIV/0!</v>
      </c>
      <c r="R81" s="781" t="s">
        <v>2543</v>
      </c>
      <c r="S81" s="784" t="e">
        <f>S78/S80</f>
        <v>#DIV/0!</v>
      </c>
      <c r="X81" s="752"/>
      <c r="Y81" s="781" t="s">
        <v>2543</v>
      </c>
      <c r="Z81" s="784" t="e">
        <f>Z78/Z80</f>
        <v>#DIV/0!</v>
      </c>
      <c r="AE81" s="752"/>
      <c r="AF81" s="781" t="s">
        <v>2543</v>
      </c>
      <c r="AG81" s="784" t="e">
        <f>AG78/AG80</f>
        <v>#DIV/0!</v>
      </c>
      <c r="AL81" s="752"/>
      <c r="AM81" s="752"/>
      <c r="AN81" s="752"/>
      <c r="AO81" s="752"/>
      <c r="AP81" s="752"/>
      <c r="BN81" s="751"/>
      <c r="BO81" s="751"/>
      <c r="BP81" s="751"/>
      <c r="BQ81" s="751"/>
      <c r="BR81" s="751"/>
      <c r="BS81" s="751"/>
      <c r="BT81" s="751"/>
      <c r="BU81" s="751"/>
      <c r="BV81" s="751"/>
      <c r="BW81" s="751"/>
      <c r="BX81" s="751"/>
      <c r="BY81" s="751"/>
      <c r="BZ81" s="751"/>
      <c r="CA81" s="751"/>
      <c r="CB81" s="751"/>
      <c r="CC81" s="751"/>
      <c r="CD81" s="751"/>
      <c r="CE81" s="751"/>
      <c r="CF81" s="751"/>
      <c r="CG81" s="751"/>
    </row>
    <row r="82" spans="4:88">
      <c r="D82" s="772" t="s">
        <v>2544</v>
      </c>
      <c r="E82" s="785" t="e">
        <f>E81*E79+(1-E81)*E116</f>
        <v>#DIV/0!</v>
      </c>
      <c r="K82" s="772" t="s">
        <v>2544</v>
      </c>
      <c r="L82" s="785" t="e">
        <f>L81*L79+(1-L81)*L116</f>
        <v>#DIV/0!</v>
      </c>
      <c r="R82" s="772" t="s">
        <v>2544</v>
      </c>
      <c r="S82" s="785" t="e">
        <f>S81*S79+(1-S81)*S116</f>
        <v>#DIV/0!</v>
      </c>
      <c r="X82" s="752"/>
      <c r="Y82" s="772" t="s">
        <v>2544</v>
      </c>
      <c r="Z82" s="785" t="e">
        <f>Z81*Z79+(1-Z81)*Z116</f>
        <v>#DIV/0!</v>
      </c>
      <c r="AE82" s="752"/>
      <c r="AF82" s="772" t="s">
        <v>2544</v>
      </c>
      <c r="AG82" s="785" t="e">
        <f>AG81*AG79+(1-AG81)*AG116</f>
        <v>#DIV/0!</v>
      </c>
      <c r="AL82" s="752"/>
      <c r="AM82" s="752"/>
      <c r="AN82" s="752"/>
      <c r="AO82" s="752"/>
      <c r="AP82" s="752"/>
      <c r="BN82" s="751"/>
      <c r="BO82" s="751"/>
      <c r="BP82" s="751"/>
      <c r="BQ82" s="751"/>
      <c r="BR82" s="751"/>
      <c r="BS82" s="751"/>
      <c r="BT82" s="751"/>
      <c r="BU82" s="751"/>
      <c r="BV82" s="751"/>
      <c r="BW82" s="751"/>
      <c r="BX82" s="751"/>
      <c r="BY82" s="751"/>
      <c r="BZ82" s="751"/>
      <c r="CA82" s="751"/>
      <c r="CB82" s="751"/>
      <c r="CC82" s="751"/>
      <c r="CD82" s="751"/>
      <c r="CE82" s="751"/>
      <c r="CF82" s="751"/>
      <c r="CG82" s="751"/>
    </row>
    <row r="83" spans="4:88">
      <c r="T83" s="786"/>
      <c r="U83" s="786"/>
      <c r="V83" s="786"/>
      <c r="W83" s="752"/>
      <c r="X83" s="752"/>
      <c r="Y83" s="752"/>
      <c r="Z83" s="752"/>
      <c r="AA83" s="752"/>
      <c r="AB83" s="752"/>
      <c r="AC83" s="752"/>
      <c r="AD83" s="752"/>
      <c r="AE83" s="752"/>
      <c r="AF83" s="752"/>
      <c r="AG83" s="752"/>
      <c r="AH83" s="752"/>
      <c r="AI83" s="752"/>
      <c r="AJ83" s="752"/>
      <c r="AK83" s="752"/>
      <c r="AL83" s="752"/>
      <c r="AM83" s="752"/>
      <c r="AN83" s="752"/>
      <c r="AO83" s="752"/>
      <c r="AP83" s="752"/>
      <c r="BN83" s="751"/>
      <c r="BO83" s="751"/>
      <c r="BP83" s="751"/>
      <c r="BQ83" s="751"/>
      <c r="BR83" s="751"/>
      <c r="BS83" s="751"/>
      <c r="BT83" s="751"/>
      <c r="BU83" s="751"/>
      <c r="BV83" s="751"/>
      <c r="BW83" s="751"/>
      <c r="BX83" s="751"/>
      <c r="BY83" s="751"/>
      <c r="BZ83" s="751"/>
      <c r="CA83" s="751"/>
      <c r="CB83" s="751"/>
      <c r="CC83" s="751"/>
      <c r="CD83" s="751"/>
      <c r="CE83" s="751"/>
      <c r="CF83" s="751"/>
      <c r="CG83" s="751"/>
    </row>
    <row r="84" spans="4:88">
      <c r="T84" s="786"/>
      <c r="U84" s="786"/>
      <c r="V84" s="786"/>
      <c r="W84" s="752"/>
      <c r="X84" s="752"/>
      <c r="Y84" s="752"/>
      <c r="Z84" s="752"/>
      <c r="AA84" s="752"/>
      <c r="AB84" s="752"/>
      <c r="AC84" s="752"/>
      <c r="AD84" s="752"/>
      <c r="AE84" s="752"/>
      <c r="AF84" s="752"/>
      <c r="AG84" s="752"/>
      <c r="AH84" s="752"/>
      <c r="AI84" s="752"/>
      <c r="AJ84" s="752"/>
      <c r="AK84" s="752"/>
      <c r="AL84" s="752"/>
      <c r="AM84" s="752"/>
      <c r="AN84" s="752"/>
      <c r="AO84" s="752"/>
      <c r="AP84" s="752"/>
      <c r="BN84" s="751"/>
      <c r="BO84" s="751"/>
      <c r="BP84" s="751"/>
      <c r="BQ84" s="751"/>
      <c r="BR84" s="751"/>
      <c r="BS84" s="751"/>
      <c r="BT84" s="751"/>
      <c r="BU84" s="751"/>
      <c r="BV84" s="751"/>
      <c r="BW84" s="751"/>
      <c r="BX84" s="751"/>
      <c r="BY84" s="751"/>
      <c r="BZ84" s="751"/>
      <c r="CA84" s="751"/>
      <c r="CB84" s="751"/>
      <c r="CC84" s="751"/>
      <c r="CD84" s="751"/>
      <c r="CE84" s="751"/>
      <c r="CF84" s="751"/>
      <c r="CG84" s="751"/>
    </row>
    <row r="85" spans="4:88">
      <c r="D85" s="773" t="s">
        <v>2545</v>
      </c>
      <c r="K85" s="773" t="s">
        <v>2546</v>
      </c>
      <c r="R85" s="773" t="s">
        <v>2547</v>
      </c>
      <c r="Y85" s="773" t="s">
        <v>2548</v>
      </c>
      <c r="AF85" s="773" t="s">
        <v>2549</v>
      </c>
      <c r="BN85" s="751"/>
      <c r="BO85" s="751"/>
      <c r="BP85" s="752"/>
      <c r="BQ85" s="752"/>
      <c r="BR85" s="752"/>
      <c r="BS85" s="752"/>
      <c r="BT85" s="752"/>
      <c r="BU85" s="752"/>
      <c r="BV85" s="752"/>
      <c r="BW85" s="752"/>
      <c r="BX85" s="752"/>
      <c r="BY85" s="752"/>
      <c r="BZ85" s="752"/>
      <c r="CA85" s="752"/>
      <c r="CB85" s="752"/>
      <c r="CC85" s="752"/>
      <c r="CD85" s="752"/>
      <c r="CE85" s="752"/>
      <c r="CF85" s="752"/>
      <c r="CG85" s="752"/>
      <c r="CH85" s="752"/>
      <c r="CI85" s="752"/>
      <c r="CJ85" s="752"/>
    </row>
    <row r="86" spans="4:88">
      <c r="BN86" s="751"/>
      <c r="BO86" s="751"/>
      <c r="BP86" s="752"/>
      <c r="BQ86" s="752"/>
      <c r="BR86" s="752"/>
      <c r="BS86" s="752"/>
      <c r="BT86" s="752"/>
      <c r="BU86" s="752"/>
      <c r="BV86" s="752"/>
      <c r="BW86" s="752"/>
      <c r="BX86" s="752"/>
      <c r="BY86" s="752"/>
      <c r="BZ86" s="752"/>
      <c r="CA86" s="752"/>
      <c r="CB86" s="752"/>
      <c r="CC86" s="752"/>
      <c r="CD86" s="752"/>
      <c r="CE86" s="752"/>
      <c r="CF86" s="752"/>
      <c r="CG86" s="752"/>
      <c r="CH86" s="752"/>
      <c r="CI86" s="752"/>
      <c r="CJ86" s="752"/>
    </row>
    <row r="87" spans="4:88">
      <c r="D87" s="753" t="s">
        <v>2535</v>
      </c>
      <c r="E87" s="753" t="s">
        <v>2536</v>
      </c>
      <c r="F87" s="753" t="s">
        <v>2537</v>
      </c>
      <c r="G87" s="753" t="s">
        <v>2538</v>
      </c>
      <c r="K87" s="753" t="s">
        <v>2535</v>
      </c>
      <c r="L87" s="753" t="s">
        <v>2536</v>
      </c>
      <c r="M87" s="753" t="s">
        <v>2537</v>
      </c>
      <c r="N87" s="753" t="s">
        <v>2538</v>
      </c>
      <c r="O87" s="753" t="s">
        <v>2516</v>
      </c>
      <c r="P87" s="753" t="s">
        <v>2173</v>
      </c>
      <c r="R87" s="753" t="s">
        <v>2535</v>
      </c>
      <c r="S87" s="753" t="s">
        <v>2536</v>
      </c>
      <c r="T87" s="753" t="s">
        <v>2537</v>
      </c>
      <c r="U87" s="753" t="s">
        <v>2538</v>
      </c>
      <c r="V87" s="753" t="s">
        <v>2516</v>
      </c>
      <c r="W87" s="753" t="s">
        <v>2173</v>
      </c>
      <c r="Y87" s="753" t="s">
        <v>2535</v>
      </c>
      <c r="Z87" s="753" t="s">
        <v>2536</v>
      </c>
      <c r="AA87" s="753" t="s">
        <v>2537</v>
      </c>
      <c r="AB87" s="753" t="s">
        <v>2538</v>
      </c>
      <c r="AC87" s="753" t="s">
        <v>2516</v>
      </c>
      <c r="AD87" s="753" t="s">
        <v>2173</v>
      </c>
      <c r="AF87" s="753" t="s">
        <v>2535</v>
      </c>
      <c r="AG87" s="753" t="s">
        <v>2536</v>
      </c>
      <c r="AH87" s="753" t="s">
        <v>2537</v>
      </c>
      <c r="AI87" s="753" t="s">
        <v>2538</v>
      </c>
      <c r="AJ87" s="753" t="s">
        <v>2516</v>
      </c>
      <c r="AK87" s="753" t="s">
        <v>2173</v>
      </c>
      <c r="BN87" s="751"/>
      <c r="BO87" s="751"/>
      <c r="BP87" s="752"/>
      <c r="BQ87" s="752"/>
      <c r="BR87" s="752"/>
      <c r="BS87" s="752"/>
      <c r="BT87" s="752"/>
      <c r="BU87" s="752"/>
      <c r="BV87" s="752"/>
      <c r="BW87" s="752"/>
      <c r="BX87" s="752"/>
      <c r="BY87" s="752"/>
      <c r="BZ87" s="752"/>
      <c r="CA87" s="752"/>
      <c r="CB87" s="752"/>
      <c r="CC87" s="752"/>
      <c r="CD87" s="752"/>
      <c r="CE87" s="752"/>
      <c r="CF87" s="752"/>
      <c r="CG87" s="752"/>
      <c r="CH87" s="752"/>
      <c r="CI87" s="752"/>
      <c r="CJ87" s="752"/>
    </row>
    <row r="88" spans="4:88">
      <c r="D88" s="775"/>
      <c r="E88" s="775"/>
      <c r="F88" s="775"/>
      <c r="G88" s="774"/>
      <c r="K88" s="775"/>
      <c r="L88" s="775"/>
      <c r="M88" s="775"/>
      <c r="N88" s="774"/>
      <c r="O88" s="775"/>
      <c r="P88" s="777">
        <f>O88*L88</f>
        <v>0</v>
      </c>
      <c r="R88" s="775"/>
      <c r="S88" s="775"/>
      <c r="T88" s="775"/>
      <c r="U88" s="774"/>
      <c r="V88" s="775"/>
      <c r="W88" s="777">
        <f>V88*S88</f>
        <v>0</v>
      </c>
      <c r="Y88" s="775"/>
      <c r="Z88" s="775"/>
      <c r="AA88" s="775"/>
      <c r="AB88" s="774"/>
      <c r="AC88" s="775"/>
      <c r="AD88" s="777">
        <f>AC88*Z88</f>
        <v>0</v>
      </c>
      <c r="AF88" s="775"/>
      <c r="AG88" s="775"/>
      <c r="AH88" s="775"/>
      <c r="AI88" s="774"/>
      <c r="AJ88" s="775"/>
      <c r="AK88" s="777">
        <f>AJ88*AG88</f>
        <v>0</v>
      </c>
      <c r="BN88" s="751"/>
      <c r="BO88" s="751"/>
      <c r="BP88" s="752"/>
      <c r="BQ88" s="752"/>
      <c r="BR88" s="752"/>
      <c r="BS88" s="752"/>
      <c r="BT88" s="752"/>
      <c r="BU88" s="752"/>
      <c r="BV88" s="752"/>
      <c r="BW88" s="752"/>
      <c r="BX88" s="752"/>
      <c r="BY88" s="752"/>
      <c r="BZ88" s="752"/>
      <c r="CA88" s="752"/>
      <c r="CB88" s="752"/>
      <c r="CC88" s="752"/>
      <c r="CD88" s="752"/>
      <c r="CE88" s="752"/>
      <c r="CF88" s="752"/>
      <c r="CG88" s="752"/>
      <c r="CH88" s="752"/>
      <c r="CI88" s="752"/>
      <c r="CJ88" s="752"/>
    </row>
    <row r="89" spans="4:88">
      <c r="D89" s="775"/>
      <c r="E89" s="775"/>
      <c r="F89" s="775"/>
      <c r="G89" s="774"/>
      <c r="K89" s="775"/>
      <c r="L89" s="775"/>
      <c r="M89" s="775"/>
      <c r="N89" s="774"/>
      <c r="O89" s="775"/>
      <c r="P89" s="777">
        <f t="shared" ref="P89:P114" si="10">O89*L89</f>
        <v>0</v>
      </c>
      <c r="R89" s="775"/>
      <c r="S89" s="775"/>
      <c r="T89" s="775"/>
      <c r="U89" s="774"/>
      <c r="V89" s="775"/>
      <c r="W89" s="777">
        <f t="shared" ref="W89:W114" si="11">V89*S89</f>
        <v>0</v>
      </c>
      <c r="Y89" s="775"/>
      <c r="Z89" s="775"/>
      <c r="AA89" s="775"/>
      <c r="AB89" s="774"/>
      <c r="AC89" s="775"/>
      <c r="AD89" s="777">
        <f t="shared" ref="AD89:AD114" si="12">AC89*Z89</f>
        <v>0</v>
      </c>
      <c r="AF89" s="775"/>
      <c r="AG89" s="775"/>
      <c r="AH89" s="775"/>
      <c r="AI89" s="774"/>
      <c r="AJ89" s="775"/>
      <c r="AK89" s="777">
        <f t="shared" ref="AK89:AK114" si="13">AJ89*AG89</f>
        <v>0</v>
      </c>
      <c r="BN89" s="751"/>
      <c r="BO89" s="751"/>
      <c r="BP89" s="752"/>
      <c r="BQ89" s="752"/>
      <c r="BR89" s="752"/>
      <c r="BS89" s="752"/>
      <c r="BT89" s="752"/>
      <c r="BU89" s="752"/>
      <c r="BV89" s="752"/>
      <c r="BW89" s="752"/>
      <c r="BX89" s="752"/>
      <c r="BY89" s="752"/>
      <c r="BZ89" s="752"/>
      <c r="CA89" s="752"/>
      <c r="CB89" s="752"/>
      <c r="CC89" s="752"/>
      <c r="CD89" s="752"/>
      <c r="CE89" s="752"/>
      <c r="CF89" s="752"/>
      <c r="CG89" s="752"/>
      <c r="CH89" s="752"/>
      <c r="CI89" s="752"/>
      <c r="CJ89" s="752"/>
    </row>
    <row r="90" spans="4:88">
      <c r="D90" s="775"/>
      <c r="E90" s="775"/>
      <c r="F90" s="775"/>
      <c r="G90" s="774"/>
      <c r="K90" s="775"/>
      <c r="L90" s="775"/>
      <c r="M90" s="775"/>
      <c r="N90" s="774"/>
      <c r="O90" s="775"/>
      <c r="P90" s="777">
        <f t="shared" si="10"/>
        <v>0</v>
      </c>
      <c r="R90" s="775"/>
      <c r="S90" s="775"/>
      <c r="T90" s="775"/>
      <c r="U90" s="774"/>
      <c r="V90" s="775"/>
      <c r="W90" s="777">
        <f t="shared" si="11"/>
        <v>0</v>
      </c>
      <c r="Y90" s="775"/>
      <c r="Z90" s="775"/>
      <c r="AA90" s="775"/>
      <c r="AB90" s="774"/>
      <c r="AC90" s="775"/>
      <c r="AD90" s="777">
        <f t="shared" si="12"/>
        <v>0</v>
      </c>
      <c r="AF90" s="775"/>
      <c r="AG90" s="775"/>
      <c r="AH90" s="775"/>
      <c r="AI90" s="774"/>
      <c r="AJ90" s="775"/>
      <c r="AK90" s="777">
        <f t="shared" si="13"/>
        <v>0</v>
      </c>
      <c r="BN90" s="751"/>
      <c r="BO90" s="751"/>
      <c r="BP90" s="752"/>
      <c r="BQ90" s="752"/>
      <c r="BR90" s="752"/>
      <c r="BS90" s="752"/>
      <c r="BT90" s="752"/>
      <c r="BU90" s="752"/>
      <c r="BV90" s="752"/>
      <c r="BW90" s="752"/>
      <c r="BX90" s="752"/>
      <c r="BY90" s="752"/>
      <c r="BZ90" s="752"/>
      <c r="CA90" s="752"/>
      <c r="CB90" s="752"/>
      <c r="CC90" s="752"/>
      <c r="CD90" s="752"/>
      <c r="CE90" s="752"/>
      <c r="CF90" s="752"/>
      <c r="CG90" s="752"/>
      <c r="CH90" s="752"/>
      <c r="CI90" s="752"/>
      <c r="CJ90" s="752"/>
    </row>
    <row r="91" spans="4:88">
      <c r="D91" s="775"/>
      <c r="E91" s="775"/>
      <c r="F91" s="775"/>
      <c r="G91" s="774"/>
      <c r="K91" s="775"/>
      <c r="L91" s="775"/>
      <c r="M91" s="775"/>
      <c r="N91" s="774"/>
      <c r="O91" s="775"/>
      <c r="P91" s="777">
        <f t="shared" si="10"/>
        <v>0</v>
      </c>
      <c r="R91" s="775"/>
      <c r="S91" s="775"/>
      <c r="T91" s="775"/>
      <c r="U91" s="774"/>
      <c r="V91" s="775"/>
      <c r="W91" s="777">
        <f t="shared" si="11"/>
        <v>0</v>
      </c>
      <c r="Y91" s="775"/>
      <c r="Z91" s="775"/>
      <c r="AA91" s="775"/>
      <c r="AB91" s="774"/>
      <c r="AC91" s="775"/>
      <c r="AD91" s="777">
        <f t="shared" si="12"/>
        <v>0</v>
      </c>
      <c r="AF91" s="775"/>
      <c r="AG91" s="775"/>
      <c r="AH91" s="775"/>
      <c r="AI91" s="774"/>
      <c r="AJ91" s="775"/>
      <c r="AK91" s="777">
        <f t="shared" si="13"/>
        <v>0</v>
      </c>
      <c r="BN91" s="751"/>
      <c r="BO91" s="751"/>
      <c r="BP91" s="752"/>
      <c r="BQ91" s="752"/>
      <c r="BR91" s="752"/>
      <c r="BS91" s="752"/>
      <c r="BT91" s="752"/>
      <c r="BU91" s="752"/>
      <c r="BV91" s="752"/>
      <c r="BW91" s="752"/>
      <c r="BX91" s="752"/>
      <c r="BY91" s="752"/>
      <c r="BZ91" s="752"/>
      <c r="CA91" s="752"/>
      <c r="CB91" s="752"/>
      <c r="CC91" s="752"/>
      <c r="CD91" s="752"/>
      <c r="CE91" s="752"/>
      <c r="CF91" s="752"/>
      <c r="CG91" s="752"/>
      <c r="CH91" s="752"/>
      <c r="CI91" s="752"/>
      <c r="CJ91" s="752"/>
    </row>
    <row r="92" spans="4:88">
      <c r="D92" s="775"/>
      <c r="E92" s="775"/>
      <c r="F92" s="775"/>
      <c r="G92" s="774"/>
      <c r="K92" s="775"/>
      <c r="L92" s="775"/>
      <c r="M92" s="775"/>
      <c r="N92" s="774"/>
      <c r="O92" s="775"/>
      <c r="P92" s="777">
        <f t="shared" si="10"/>
        <v>0</v>
      </c>
      <c r="R92" s="775"/>
      <c r="S92" s="775"/>
      <c r="T92" s="775"/>
      <c r="U92" s="774"/>
      <c r="V92" s="775"/>
      <c r="W92" s="777">
        <f t="shared" si="11"/>
        <v>0</v>
      </c>
      <c r="Y92" s="775"/>
      <c r="Z92" s="775"/>
      <c r="AA92" s="775"/>
      <c r="AB92" s="774"/>
      <c r="AC92" s="775"/>
      <c r="AD92" s="777">
        <f t="shared" si="12"/>
        <v>0</v>
      </c>
      <c r="AF92" s="775"/>
      <c r="AG92" s="775"/>
      <c r="AH92" s="775"/>
      <c r="AI92" s="774"/>
      <c r="AJ92" s="775"/>
      <c r="AK92" s="777">
        <f t="shared" si="13"/>
        <v>0</v>
      </c>
      <c r="BN92" s="751"/>
      <c r="BO92" s="751"/>
      <c r="BP92" s="752"/>
      <c r="BQ92" s="752"/>
      <c r="BR92" s="752"/>
      <c r="BS92" s="752"/>
      <c r="BT92" s="752"/>
      <c r="BU92" s="752"/>
      <c r="BV92" s="752"/>
      <c r="BW92" s="752"/>
      <c r="BX92" s="752"/>
      <c r="BY92" s="752"/>
      <c r="BZ92" s="752"/>
      <c r="CA92" s="752"/>
      <c r="CB92" s="752"/>
      <c r="CC92" s="752"/>
      <c r="CD92" s="752"/>
      <c r="CE92" s="752"/>
      <c r="CF92" s="752"/>
      <c r="CG92" s="752"/>
      <c r="CH92" s="752"/>
      <c r="CI92" s="752"/>
      <c r="CJ92" s="752"/>
    </row>
    <row r="93" spans="4:88">
      <c r="D93" s="775"/>
      <c r="E93" s="775"/>
      <c r="F93" s="775"/>
      <c r="G93" s="774"/>
      <c r="K93" s="775"/>
      <c r="L93" s="775"/>
      <c r="M93" s="775"/>
      <c r="N93" s="774"/>
      <c r="O93" s="775"/>
      <c r="P93" s="777">
        <f t="shared" si="10"/>
        <v>0</v>
      </c>
      <c r="R93" s="775"/>
      <c r="S93" s="775"/>
      <c r="T93" s="775"/>
      <c r="U93" s="774"/>
      <c r="V93" s="775"/>
      <c r="W93" s="777">
        <f t="shared" si="11"/>
        <v>0</v>
      </c>
      <c r="Y93" s="775"/>
      <c r="Z93" s="775"/>
      <c r="AA93" s="775"/>
      <c r="AB93" s="774"/>
      <c r="AC93" s="775"/>
      <c r="AD93" s="777">
        <f t="shared" si="12"/>
        <v>0</v>
      </c>
      <c r="AF93" s="775"/>
      <c r="AG93" s="775"/>
      <c r="AH93" s="775"/>
      <c r="AI93" s="774"/>
      <c r="AJ93" s="775"/>
      <c r="AK93" s="777">
        <f t="shared" si="13"/>
        <v>0</v>
      </c>
      <c r="BN93" s="751"/>
      <c r="BO93" s="751"/>
      <c r="BP93" s="752"/>
      <c r="BQ93" s="752"/>
      <c r="BR93" s="752"/>
      <c r="BS93" s="752"/>
      <c r="BT93" s="752"/>
      <c r="BU93" s="752"/>
      <c r="BV93" s="752"/>
      <c r="BW93" s="752"/>
      <c r="BX93" s="752"/>
      <c r="BY93" s="752"/>
      <c r="BZ93" s="752"/>
      <c r="CA93" s="752"/>
      <c r="CB93" s="752"/>
      <c r="CC93" s="752"/>
      <c r="CD93" s="752"/>
      <c r="CE93" s="752"/>
      <c r="CF93" s="752"/>
      <c r="CG93" s="752"/>
      <c r="CH93" s="752"/>
      <c r="CI93" s="752"/>
      <c r="CJ93" s="752"/>
    </row>
    <row r="94" spans="4:88">
      <c r="D94" s="775"/>
      <c r="E94" s="775"/>
      <c r="F94" s="775"/>
      <c r="G94" s="774"/>
      <c r="K94" s="775"/>
      <c r="L94" s="775"/>
      <c r="M94" s="775"/>
      <c r="N94" s="774"/>
      <c r="O94" s="775"/>
      <c r="P94" s="777">
        <f t="shared" si="10"/>
        <v>0</v>
      </c>
      <c r="R94" s="775"/>
      <c r="S94" s="775"/>
      <c r="T94" s="775"/>
      <c r="U94" s="774"/>
      <c r="V94" s="775"/>
      <c r="W94" s="777">
        <f t="shared" si="11"/>
        <v>0</v>
      </c>
      <c r="Y94" s="775"/>
      <c r="Z94" s="775"/>
      <c r="AA94" s="775"/>
      <c r="AB94" s="774"/>
      <c r="AC94" s="775"/>
      <c r="AD94" s="777">
        <f t="shared" si="12"/>
        <v>0</v>
      </c>
      <c r="AF94" s="775"/>
      <c r="AG94" s="775"/>
      <c r="AH94" s="775"/>
      <c r="AI94" s="774"/>
      <c r="AJ94" s="775"/>
      <c r="AK94" s="777">
        <f t="shared" si="13"/>
        <v>0</v>
      </c>
      <c r="BN94" s="751"/>
      <c r="BO94" s="751"/>
      <c r="BP94" s="752"/>
      <c r="BQ94" s="752"/>
      <c r="BR94" s="752"/>
      <c r="BS94" s="752"/>
      <c r="BT94" s="752"/>
      <c r="BU94" s="752"/>
      <c r="BV94" s="752"/>
      <c r="BW94" s="752"/>
      <c r="BX94" s="752"/>
      <c r="BY94" s="752"/>
      <c r="BZ94" s="752"/>
      <c r="CA94" s="752"/>
      <c r="CB94" s="752"/>
      <c r="CC94" s="752"/>
      <c r="CD94" s="752"/>
      <c r="CE94" s="752"/>
      <c r="CF94" s="752"/>
      <c r="CG94" s="752"/>
      <c r="CH94" s="752"/>
      <c r="CI94" s="752"/>
      <c r="CJ94" s="752"/>
    </row>
    <row r="95" spans="4:88">
      <c r="D95" s="775"/>
      <c r="E95" s="775"/>
      <c r="F95" s="775"/>
      <c r="G95" s="774"/>
      <c r="K95" s="775"/>
      <c r="L95" s="775"/>
      <c r="M95" s="775"/>
      <c r="N95" s="774"/>
      <c r="O95" s="775"/>
      <c r="P95" s="777">
        <f t="shared" si="10"/>
        <v>0</v>
      </c>
      <c r="R95" s="775"/>
      <c r="S95" s="775"/>
      <c r="T95" s="775"/>
      <c r="U95" s="774"/>
      <c r="V95" s="775"/>
      <c r="W95" s="777">
        <f t="shared" si="11"/>
        <v>0</v>
      </c>
      <c r="Y95" s="775"/>
      <c r="Z95" s="775"/>
      <c r="AA95" s="775"/>
      <c r="AB95" s="774"/>
      <c r="AC95" s="775"/>
      <c r="AD95" s="777">
        <f t="shared" si="12"/>
        <v>0</v>
      </c>
      <c r="AF95" s="775"/>
      <c r="AG95" s="775"/>
      <c r="AH95" s="775"/>
      <c r="AI95" s="774"/>
      <c r="AJ95" s="775"/>
      <c r="AK95" s="777">
        <f t="shared" si="13"/>
        <v>0</v>
      </c>
      <c r="BN95" s="751"/>
      <c r="BO95" s="751"/>
      <c r="BP95" s="752"/>
      <c r="BQ95" s="752"/>
      <c r="BR95" s="752"/>
      <c r="BS95" s="752"/>
      <c r="BT95" s="752"/>
      <c r="BU95" s="752"/>
      <c r="BV95" s="752"/>
      <c r="BW95" s="752"/>
      <c r="BX95" s="752"/>
      <c r="BY95" s="752"/>
      <c r="BZ95" s="752"/>
      <c r="CA95" s="752"/>
      <c r="CB95" s="752"/>
      <c r="CC95" s="752"/>
      <c r="CD95" s="752"/>
      <c r="CE95" s="752"/>
      <c r="CF95" s="752"/>
      <c r="CG95" s="752"/>
      <c r="CH95" s="752"/>
      <c r="CI95" s="752"/>
      <c r="CJ95" s="752"/>
    </row>
    <row r="96" spans="4:88">
      <c r="D96" s="775"/>
      <c r="E96" s="775"/>
      <c r="F96" s="775"/>
      <c r="G96" s="774"/>
      <c r="K96" s="775"/>
      <c r="L96" s="775"/>
      <c r="M96" s="775"/>
      <c r="N96" s="774"/>
      <c r="O96" s="775"/>
      <c r="P96" s="777">
        <f t="shared" si="10"/>
        <v>0</v>
      </c>
      <c r="R96" s="775"/>
      <c r="S96" s="775"/>
      <c r="T96" s="775"/>
      <c r="U96" s="774"/>
      <c r="V96" s="775"/>
      <c r="W96" s="777">
        <f t="shared" si="11"/>
        <v>0</v>
      </c>
      <c r="Y96" s="775"/>
      <c r="Z96" s="775"/>
      <c r="AA96" s="775"/>
      <c r="AB96" s="774"/>
      <c r="AC96" s="775"/>
      <c r="AD96" s="777">
        <f t="shared" si="12"/>
        <v>0</v>
      </c>
      <c r="AF96" s="775"/>
      <c r="AG96" s="775"/>
      <c r="AH96" s="775"/>
      <c r="AI96" s="774"/>
      <c r="AJ96" s="775"/>
      <c r="AK96" s="777">
        <f t="shared" si="13"/>
        <v>0</v>
      </c>
      <c r="BN96" s="751"/>
      <c r="BO96" s="751"/>
      <c r="BP96" s="752"/>
      <c r="BQ96" s="752"/>
      <c r="BR96" s="752"/>
      <c r="BS96" s="752"/>
      <c r="BT96" s="752"/>
      <c r="BU96" s="752"/>
      <c r="BV96" s="752"/>
      <c r="BW96" s="752"/>
      <c r="BX96" s="752"/>
      <c r="BY96" s="752"/>
      <c r="BZ96" s="752"/>
      <c r="CA96" s="752"/>
      <c r="CB96" s="752"/>
      <c r="CC96" s="752"/>
      <c r="CD96" s="752"/>
      <c r="CE96" s="752"/>
      <c r="CF96" s="752"/>
      <c r="CG96" s="752"/>
      <c r="CH96" s="752"/>
      <c r="CI96" s="752"/>
      <c r="CJ96" s="752"/>
    </row>
    <row r="97" spans="4:88">
      <c r="D97" s="775"/>
      <c r="E97" s="775"/>
      <c r="F97" s="775"/>
      <c r="G97" s="774"/>
      <c r="K97" s="775"/>
      <c r="L97" s="775"/>
      <c r="M97" s="775"/>
      <c r="N97" s="774"/>
      <c r="O97" s="775"/>
      <c r="P97" s="777">
        <f t="shared" si="10"/>
        <v>0</v>
      </c>
      <c r="R97" s="775"/>
      <c r="S97" s="775"/>
      <c r="T97" s="775"/>
      <c r="U97" s="774"/>
      <c r="V97" s="775"/>
      <c r="W97" s="777">
        <f t="shared" si="11"/>
        <v>0</v>
      </c>
      <c r="Y97" s="775"/>
      <c r="Z97" s="775"/>
      <c r="AA97" s="775"/>
      <c r="AB97" s="774"/>
      <c r="AC97" s="775"/>
      <c r="AD97" s="777">
        <f t="shared" si="12"/>
        <v>0</v>
      </c>
      <c r="AF97" s="775"/>
      <c r="AG97" s="775"/>
      <c r="AH97" s="775"/>
      <c r="AI97" s="774"/>
      <c r="AJ97" s="775"/>
      <c r="AK97" s="777">
        <f t="shared" si="13"/>
        <v>0</v>
      </c>
      <c r="BN97" s="751"/>
      <c r="BO97" s="751"/>
      <c r="BP97" s="752"/>
      <c r="BQ97" s="752"/>
      <c r="BR97" s="752"/>
      <c r="BS97" s="752"/>
      <c r="BT97" s="752"/>
      <c r="BU97" s="752"/>
      <c r="BV97" s="752"/>
      <c r="BW97" s="752"/>
      <c r="BX97" s="752"/>
      <c r="BY97" s="752"/>
      <c r="BZ97" s="752"/>
      <c r="CA97" s="752"/>
      <c r="CB97" s="752"/>
      <c r="CC97" s="752"/>
      <c r="CD97" s="752"/>
      <c r="CE97" s="752"/>
      <c r="CF97" s="752"/>
      <c r="CG97" s="752"/>
      <c r="CH97" s="752"/>
      <c r="CI97" s="752"/>
      <c r="CJ97" s="752"/>
    </row>
    <row r="98" spans="4:88">
      <c r="D98" s="775"/>
      <c r="E98" s="775"/>
      <c r="F98" s="775"/>
      <c r="G98" s="774"/>
      <c r="K98" s="775"/>
      <c r="L98" s="775"/>
      <c r="M98" s="775"/>
      <c r="N98" s="774"/>
      <c r="O98" s="775"/>
      <c r="P98" s="777">
        <f t="shared" si="10"/>
        <v>0</v>
      </c>
      <c r="R98" s="775"/>
      <c r="S98" s="775"/>
      <c r="T98" s="775"/>
      <c r="U98" s="774"/>
      <c r="V98" s="775"/>
      <c r="W98" s="777">
        <f t="shared" si="11"/>
        <v>0</v>
      </c>
      <c r="Y98" s="775"/>
      <c r="Z98" s="775"/>
      <c r="AA98" s="775"/>
      <c r="AB98" s="774"/>
      <c r="AC98" s="775"/>
      <c r="AD98" s="777">
        <f t="shared" si="12"/>
        <v>0</v>
      </c>
      <c r="AF98" s="775"/>
      <c r="AG98" s="775"/>
      <c r="AH98" s="775"/>
      <c r="AI98" s="774"/>
      <c r="AJ98" s="775"/>
      <c r="AK98" s="777">
        <f t="shared" si="13"/>
        <v>0</v>
      </c>
      <c r="BN98" s="751"/>
      <c r="BO98" s="751"/>
      <c r="BP98" s="752"/>
      <c r="BQ98" s="752"/>
      <c r="BR98" s="752"/>
      <c r="BS98" s="752"/>
      <c r="BT98" s="752"/>
      <c r="BU98" s="752"/>
      <c r="BV98" s="752"/>
      <c r="BW98" s="752"/>
      <c r="BX98" s="752"/>
      <c r="BY98" s="752"/>
      <c r="BZ98" s="752"/>
      <c r="CA98" s="752"/>
      <c r="CB98" s="752"/>
      <c r="CC98" s="752"/>
      <c r="CD98" s="752"/>
      <c r="CE98" s="752"/>
      <c r="CF98" s="752"/>
      <c r="CG98" s="752"/>
      <c r="CH98" s="752"/>
      <c r="CI98" s="752"/>
      <c r="CJ98" s="752"/>
    </row>
    <row r="99" spans="4:88">
      <c r="D99" s="775"/>
      <c r="E99" s="775"/>
      <c r="F99" s="775"/>
      <c r="G99" s="774"/>
      <c r="K99" s="775"/>
      <c r="L99" s="775"/>
      <c r="M99" s="775"/>
      <c r="N99" s="774"/>
      <c r="O99" s="775"/>
      <c r="P99" s="777">
        <f t="shared" si="10"/>
        <v>0</v>
      </c>
      <c r="R99" s="775"/>
      <c r="S99" s="775"/>
      <c r="T99" s="775"/>
      <c r="U99" s="774"/>
      <c r="V99" s="775"/>
      <c r="W99" s="777">
        <f t="shared" si="11"/>
        <v>0</v>
      </c>
      <c r="Y99" s="775"/>
      <c r="Z99" s="775"/>
      <c r="AA99" s="775"/>
      <c r="AB99" s="774"/>
      <c r="AC99" s="775"/>
      <c r="AD99" s="777">
        <f t="shared" si="12"/>
        <v>0</v>
      </c>
      <c r="AF99" s="775"/>
      <c r="AG99" s="775"/>
      <c r="AH99" s="775"/>
      <c r="AI99" s="774"/>
      <c r="AJ99" s="775"/>
      <c r="AK99" s="777">
        <f t="shared" si="13"/>
        <v>0</v>
      </c>
      <c r="BN99" s="751"/>
      <c r="BO99" s="751"/>
      <c r="BP99" s="752"/>
      <c r="BQ99" s="752"/>
      <c r="BR99" s="752"/>
      <c r="BS99" s="752"/>
      <c r="BT99" s="752"/>
      <c r="BU99" s="752"/>
      <c r="BV99" s="752"/>
      <c r="BW99" s="752"/>
      <c r="BX99" s="752"/>
      <c r="BY99" s="752"/>
      <c r="BZ99" s="752"/>
      <c r="CA99" s="752"/>
      <c r="CB99" s="752"/>
      <c r="CC99" s="752"/>
      <c r="CD99" s="752"/>
      <c r="CE99" s="752"/>
      <c r="CF99" s="752"/>
      <c r="CG99" s="752"/>
      <c r="CH99" s="752"/>
      <c r="CI99" s="752"/>
      <c r="CJ99" s="752"/>
    </row>
    <row r="100" spans="4:88">
      <c r="D100" s="775"/>
      <c r="E100" s="775"/>
      <c r="F100" s="775"/>
      <c r="G100" s="774"/>
      <c r="K100" s="775"/>
      <c r="L100" s="775"/>
      <c r="M100" s="775"/>
      <c r="N100" s="774"/>
      <c r="O100" s="775"/>
      <c r="P100" s="777">
        <f t="shared" si="10"/>
        <v>0</v>
      </c>
      <c r="R100" s="775"/>
      <c r="S100" s="775"/>
      <c r="T100" s="775"/>
      <c r="U100" s="774"/>
      <c r="V100" s="775"/>
      <c r="W100" s="777">
        <f t="shared" si="11"/>
        <v>0</v>
      </c>
      <c r="Y100" s="775"/>
      <c r="Z100" s="775"/>
      <c r="AA100" s="775"/>
      <c r="AB100" s="774"/>
      <c r="AC100" s="775"/>
      <c r="AD100" s="777">
        <f t="shared" si="12"/>
        <v>0</v>
      </c>
      <c r="AF100" s="775"/>
      <c r="AG100" s="775"/>
      <c r="AH100" s="775"/>
      <c r="AI100" s="774"/>
      <c r="AJ100" s="775"/>
      <c r="AK100" s="777">
        <f t="shared" si="13"/>
        <v>0</v>
      </c>
      <c r="BN100" s="751"/>
      <c r="BO100" s="751"/>
      <c r="BP100" s="752"/>
      <c r="BQ100" s="752"/>
      <c r="BR100" s="752"/>
      <c r="BS100" s="752"/>
      <c r="BT100" s="752"/>
      <c r="BU100" s="752"/>
      <c r="BV100" s="752"/>
      <c r="BW100" s="752"/>
      <c r="BX100" s="752"/>
      <c r="BY100" s="752"/>
      <c r="BZ100" s="752"/>
      <c r="CA100" s="752"/>
      <c r="CB100" s="752"/>
      <c r="CC100" s="752"/>
      <c r="CD100" s="752"/>
      <c r="CE100" s="752"/>
      <c r="CF100" s="752"/>
      <c r="CG100" s="752"/>
      <c r="CH100" s="752"/>
      <c r="CI100" s="752"/>
      <c r="CJ100" s="752"/>
    </row>
    <row r="101" spans="4:88">
      <c r="D101" s="775"/>
      <c r="E101" s="775"/>
      <c r="F101" s="775"/>
      <c r="G101" s="774"/>
      <c r="K101" s="775"/>
      <c r="L101" s="775"/>
      <c r="M101" s="775"/>
      <c r="N101" s="774"/>
      <c r="O101" s="775"/>
      <c r="P101" s="777">
        <f t="shared" si="10"/>
        <v>0</v>
      </c>
      <c r="R101" s="775"/>
      <c r="S101" s="775"/>
      <c r="T101" s="775"/>
      <c r="U101" s="774"/>
      <c r="V101" s="775"/>
      <c r="W101" s="777">
        <f t="shared" si="11"/>
        <v>0</v>
      </c>
      <c r="Y101" s="775"/>
      <c r="Z101" s="775"/>
      <c r="AA101" s="775"/>
      <c r="AB101" s="774"/>
      <c r="AC101" s="775"/>
      <c r="AD101" s="777">
        <f t="shared" si="12"/>
        <v>0</v>
      </c>
      <c r="AF101" s="775"/>
      <c r="AG101" s="775"/>
      <c r="AH101" s="775"/>
      <c r="AI101" s="774"/>
      <c r="AJ101" s="775"/>
      <c r="AK101" s="777">
        <f t="shared" si="13"/>
        <v>0</v>
      </c>
      <c r="BN101" s="751"/>
      <c r="BO101" s="751"/>
      <c r="BP101" s="752"/>
      <c r="BQ101" s="752"/>
      <c r="BR101" s="752"/>
      <c r="BS101" s="752"/>
      <c r="BT101" s="752"/>
      <c r="BU101" s="752"/>
      <c r="BV101" s="752"/>
      <c r="BW101" s="752"/>
      <c r="BX101" s="752"/>
      <c r="BY101" s="752"/>
      <c r="BZ101" s="752"/>
      <c r="CA101" s="752"/>
      <c r="CB101" s="752"/>
      <c r="CC101" s="752"/>
      <c r="CD101" s="752"/>
      <c r="CE101" s="752"/>
      <c r="CF101" s="752"/>
      <c r="CG101" s="752"/>
      <c r="CH101" s="752"/>
      <c r="CI101" s="752"/>
      <c r="CJ101" s="752"/>
    </row>
    <row r="102" spans="4:88">
      <c r="D102" s="775"/>
      <c r="E102" s="775"/>
      <c r="F102" s="775"/>
      <c r="G102" s="774"/>
      <c r="K102" s="775"/>
      <c r="L102" s="775"/>
      <c r="M102" s="775"/>
      <c r="N102" s="774"/>
      <c r="O102" s="775"/>
      <c r="P102" s="777">
        <f t="shared" si="10"/>
        <v>0</v>
      </c>
      <c r="R102" s="775"/>
      <c r="S102" s="775"/>
      <c r="T102" s="775"/>
      <c r="U102" s="774"/>
      <c r="V102" s="775"/>
      <c r="W102" s="777">
        <f t="shared" si="11"/>
        <v>0</v>
      </c>
      <c r="Y102" s="775"/>
      <c r="Z102" s="775"/>
      <c r="AA102" s="775"/>
      <c r="AB102" s="774"/>
      <c r="AC102" s="775"/>
      <c r="AD102" s="777">
        <f t="shared" si="12"/>
        <v>0</v>
      </c>
      <c r="AF102" s="775"/>
      <c r="AG102" s="775"/>
      <c r="AH102" s="775"/>
      <c r="AI102" s="774"/>
      <c r="AJ102" s="775"/>
      <c r="AK102" s="777">
        <f t="shared" si="13"/>
        <v>0</v>
      </c>
      <c r="BN102" s="751"/>
      <c r="BO102" s="751"/>
      <c r="BP102" s="752"/>
      <c r="BQ102" s="752"/>
      <c r="BR102" s="752"/>
      <c r="BS102" s="752"/>
      <c r="BT102" s="752"/>
      <c r="BU102" s="752"/>
      <c r="BV102" s="752"/>
      <c r="BW102" s="752"/>
      <c r="BX102" s="752"/>
      <c r="BY102" s="752"/>
      <c r="BZ102" s="752"/>
      <c r="CA102" s="752"/>
      <c r="CB102" s="752"/>
      <c r="CC102" s="752"/>
      <c r="CD102" s="752"/>
      <c r="CE102" s="752"/>
      <c r="CF102" s="752"/>
      <c r="CG102" s="752"/>
      <c r="CH102" s="752"/>
      <c r="CI102" s="752"/>
      <c r="CJ102" s="752"/>
    </row>
    <row r="103" spans="4:88">
      <c r="D103" s="775"/>
      <c r="E103" s="775"/>
      <c r="F103" s="775"/>
      <c r="G103" s="774"/>
      <c r="K103" s="775"/>
      <c r="L103" s="775"/>
      <c r="M103" s="775"/>
      <c r="N103" s="774"/>
      <c r="O103" s="775"/>
      <c r="P103" s="777">
        <f t="shared" si="10"/>
        <v>0</v>
      </c>
      <c r="R103" s="775"/>
      <c r="S103" s="775"/>
      <c r="T103" s="775"/>
      <c r="U103" s="774"/>
      <c r="V103" s="775"/>
      <c r="W103" s="777">
        <f t="shared" si="11"/>
        <v>0</v>
      </c>
      <c r="Y103" s="775"/>
      <c r="Z103" s="775"/>
      <c r="AA103" s="775"/>
      <c r="AB103" s="774"/>
      <c r="AC103" s="775"/>
      <c r="AD103" s="777">
        <f t="shared" si="12"/>
        <v>0</v>
      </c>
      <c r="AF103" s="775"/>
      <c r="AG103" s="775"/>
      <c r="AH103" s="775"/>
      <c r="AI103" s="774"/>
      <c r="AJ103" s="775"/>
      <c r="AK103" s="777">
        <f t="shared" si="13"/>
        <v>0</v>
      </c>
      <c r="BN103" s="751"/>
      <c r="BO103" s="751"/>
      <c r="BP103" s="752"/>
      <c r="BQ103" s="752"/>
      <c r="BR103" s="752"/>
      <c r="BS103" s="752"/>
      <c r="BT103" s="752"/>
      <c r="BU103" s="752"/>
      <c r="BV103" s="752"/>
      <c r="BW103" s="752"/>
      <c r="BX103" s="752"/>
      <c r="BY103" s="752"/>
      <c r="BZ103" s="752"/>
      <c r="CA103" s="752"/>
      <c r="CB103" s="752"/>
      <c r="CC103" s="752"/>
      <c r="CD103" s="752"/>
      <c r="CE103" s="752"/>
      <c r="CF103" s="752"/>
      <c r="CG103" s="752"/>
      <c r="CH103" s="752"/>
      <c r="CI103" s="752"/>
      <c r="CJ103" s="752"/>
    </row>
    <row r="104" spans="4:88">
      <c r="D104" s="775"/>
      <c r="E104" s="775"/>
      <c r="F104" s="775"/>
      <c r="G104" s="774"/>
      <c r="K104" s="775"/>
      <c r="L104" s="775"/>
      <c r="M104" s="775"/>
      <c r="N104" s="774"/>
      <c r="O104" s="775"/>
      <c r="P104" s="777">
        <f t="shared" si="10"/>
        <v>0</v>
      </c>
      <c r="R104" s="775"/>
      <c r="S104" s="775"/>
      <c r="T104" s="775"/>
      <c r="U104" s="774"/>
      <c r="V104" s="775"/>
      <c r="W104" s="777">
        <f t="shared" si="11"/>
        <v>0</v>
      </c>
      <c r="Y104" s="775"/>
      <c r="Z104" s="775"/>
      <c r="AA104" s="775"/>
      <c r="AB104" s="774"/>
      <c r="AC104" s="775"/>
      <c r="AD104" s="777">
        <f t="shared" si="12"/>
        <v>0</v>
      </c>
      <c r="AF104" s="775"/>
      <c r="AG104" s="775"/>
      <c r="AH104" s="775"/>
      <c r="AI104" s="774"/>
      <c r="AJ104" s="775"/>
      <c r="AK104" s="777">
        <f t="shared" si="13"/>
        <v>0</v>
      </c>
      <c r="BN104" s="751"/>
      <c r="BO104" s="751"/>
      <c r="BP104" s="752"/>
      <c r="BQ104" s="752"/>
      <c r="BR104" s="752"/>
      <c r="BS104" s="752"/>
      <c r="BT104" s="752"/>
      <c r="BU104" s="752"/>
      <c r="BV104" s="752"/>
      <c r="BW104" s="752"/>
      <c r="BX104" s="752"/>
      <c r="BY104" s="752"/>
      <c r="BZ104" s="752"/>
      <c r="CA104" s="752"/>
      <c r="CB104" s="752"/>
      <c r="CC104" s="752"/>
      <c r="CD104" s="752"/>
      <c r="CE104" s="752"/>
      <c r="CF104" s="752"/>
      <c r="CG104" s="752"/>
      <c r="CH104" s="752"/>
      <c r="CI104" s="752"/>
      <c r="CJ104" s="752"/>
    </row>
    <row r="105" spans="4:88">
      <c r="D105" s="775"/>
      <c r="E105" s="775"/>
      <c r="F105" s="775"/>
      <c r="G105" s="774"/>
      <c r="K105" s="775"/>
      <c r="L105" s="775"/>
      <c r="M105" s="775"/>
      <c r="N105" s="774"/>
      <c r="O105" s="775"/>
      <c r="P105" s="777">
        <f t="shared" si="10"/>
        <v>0</v>
      </c>
      <c r="R105" s="775"/>
      <c r="S105" s="775"/>
      <c r="T105" s="775"/>
      <c r="U105" s="774"/>
      <c r="V105" s="775"/>
      <c r="W105" s="777">
        <f t="shared" si="11"/>
        <v>0</v>
      </c>
      <c r="Y105" s="775"/>
      <c r="Z105" s="775"/>
      <c r="AA105" s="775"/>
      <c r="AB105" s="774"/>
      <c r="AC105" s="775"/>
      <c r="AD105" s="777">
        <f t="shared" si="12"/>
        <v>0</v>
      </c>
      <c r="AF105" s="775"/>
      <c r="AG105" s="775"/>
      <c r="AH105" s="775"/>
      <c r="AI105" s="774"/>
      <c r="AJ105" s="775"/>
      <c r="AK105" s="777">
        <f t="shared" si="13"/>
        <v>0</v>
      </c>
      <c r="BN105" s="751"/>
      <c r="BO105" s="751"/>
      <c r="BP105" s="752"/>
      <c r="BQ105" s="752"/>
      <c r="BR105" s="752"/>
      <c r="BS105" s="752"/>
      <c r="BT105" s="752"/>
      <c r="BU105" s="752"/>
      <c r="BV105" s="752"/>
      <c r="BW105" s="752"/>
      <c r="BX105" s="752"/>
      <c r="BY105" s="752"/>
      <c r="BZ105" s="752"/>
      <c r="CA105" s="752"/>
      <c r="CB105" s="752"/>
      <c r="CC105" s="752"/>
      <c r="CD105" s="752"/>
      <c r="CE105" s="752"/>
      <c r="CF105" s="752"/>
      <c r="CG105" s="752"/>
      <c r="CH105" s="752"/>
      <c r="CI105" s="752"/>
      <c r="CJ105" s="752"/>
    </row>
    <row r="106" spans="4:88">
      <c r="D106" s="775"/>
      <c r="E106" s="775"/>
      <c r="F106" s="775"/>
      <c r="G106" s="774"/>
      <c r="K106" s="775"/>
      <c r="L106" s="775"/>
      <c r="M106" s="775"/>
      <c r="N106" s="774"/>
      <c r="O106" s="775"/>
      <c r="P106" s="777">
        <f t="shared" si="10"/>
        <v>0</v>
      </c>
      <c r="R106" s="775"/>
      <c r="S106" s="775"/>
      <c r="T106" s="775"/>
      <c r="U106" s="774"/>
      <c r="V106" s="775"/>
      <c r="W106" s="777">
        <f t="shared" si="11"/>
        <v>0</v>
      </c>
      <c r="Y106" s="775"/>
      <c r="Z106" s="775"/>
      <c r="AA106" s="775"/>
      <c r="AB106" s="774"/>
      <c r="AC106" s="775"/>
      <c r="AD106" s="777">
        <f t="shared" si="12"/>
        <v>0</v>
      </c>
      <c r="AF106" s="775"/>
      <c r="AG106" s="775"/>
      <c r="AH106" s="775"/>
      <c r="AI106" s="774"/>
      <c r="AJ106" s="775"/>
      <c r="AK106" s="777">
        <f t="shared" si="13"/>
        <v>0</v>
      </c>
      <c r="BN106" s="751"/>
      <c r="BO106" s="751"/>
      <c r="BP106" s="752"/>
      <c r="BQ106" s="752"/>
      <c r="BR106" s="752"/>
      <c r="BS106" s="752"/>
      <c r="BT106" s="752"/>
      <c r="BU106" s="752"/>
      <c r="BV106" s="752"/>
      <c r="BW106" s="752"/>
      <c r="BX106" s="752"/>
      <c r="BY106" s="752"/>
      <c r="BZ106" s="752"/>
      <c r="CA106" s="752"/>
      <c r="CB106" s="752"/>
      <c r="CC106" s="752"/>
      <c r="CD106" s="752"/>
      <c r="CE106" s="752"/>
      <c r="CF106" s="752"/>
      <c r="CG106" s="752"/>
      <c r="CH106" s="752"/>
      <c r="CI106" s="752"/>
      <c r="CJ106" s="752"/>
    </row>
    <row r="107" spans="4:88">
      <c r="D107" s="775"/>
      <c r="E107" s="775"/>
      <c r="F107" s="775"/>
      <c r="G107" s="774"/>
      <c r="K107" s="775"/>
      <c r="L107" s="775"/>
      <c r="M107" s="775"/>
      <c r="N107" s="774"/>
      <c r="O107" s="775"/>
      <c r="P107" s="777">
        <f t="shared" si="10"/>
        <v>0</v>
      </c>
      <c r="R107" s="775"/>
      <c r="S107" s="775"/>
      <c r="T107" s="775"/>
      <c r="U107" s="774"/>
      <c r="V107" s="775"/>
      <c r="W107" s="777">
        <f t="shared" si="11"/>
        <v>0</v>
      </c>
      <c r="Y107" s="775"/>
      <c r="Z107" s="775"/>
      <c r="AA107" s="775"/>
      <c r="AB107" s="774"/>
      <c r="AC107" s="775"/>
      <c r="AD107" s="777">
        <f t="shared" si="12"/>
        <v>0</v>
      </c>
      <c r="AF107" s="775"/>
      <c r="AG107" s="775"/>
      <c r="AH107" s="775"/>
      <c r="AI107" s="774"/>
      <c r="AJ107" s="775"/>
      <c r="AK107" s="777">
        <f t="shared" si="13"/>
        <v>0</v>
      </c>
      <c r="BN107" s="751"/>
      <c r="BO107" s="751"/>
      <c r="BP107" s="752"/>
      <c r="BQ107" s="752"/>
      <c r="BR107" s="752"/>
      <c r="BS107" s="752"/>
      <c r="BT107" s="752"/>
      <c r="BU107" s="752"/>
      <c r="BV107" s="752"/>
      <c r="BW107" s="752"/>
      <c r="BX107" s="752"/>
      <c r="BY107" s="752"/>
      <c r="BZ107" s="752"/>
      <c r="CA107" s="752"/>
      <c r="CB107" s="752"/>
      <c r="CC107" s="752"/>
      <c r="CD107" s="752"/>
      <c r="CE107" s="752"/>
      <c r="CF107" s="752"/>
      <c r="CG107" s="752"/>
      <c r="CH107" s="752"/>
      <c r="CI107" s="752"/>
      <c r="CJ107" s="752"/>
    </row>
    <row r="108" spans="4:88">
      <c r="D108" s="775"/>
      <c r="E108" s="775"/>
      <c r="F108" s="775"/>
      <c r="G108" s="774"/>
      <c r="K108" s="775"/>
      <c r="L108" s="775"/>
      <c r="M108" s="775"/>
      <c r="N108" s="774"/>
      <c r="O108" s="775"/>
      <c r="P108" s="777">
        <f t="shared" si="10"/>
        <v>0</v>
      </c>
      <c r="R108" s="775"/>
      <c r="S108" s="775"/>
      <c r="T108" s="775"/>
      <c r="U108" s="774"/>
      <c r="V108" s="775"/>
      <c r="W108" s="777">
        <f t="shared" si="11"/>
        <v>0</v>
      </c>
      <c r="Y108" s="775"/>
      <c r="Z108" s="775"/>
      <c r="AA108" s="775"/>
      <c r="AB108" s="774"/>
      <c r="AC108" s="775"/>
      <c r="AD108" s="777">
        <f t="shared" si="12"/>
        <v>0</v>
      </c>
      <c r="AF108" s="775"/>
      <c r="AG108" s="775"/>
      <c r="AH108" s="775"/>
      <c r="AI108" s="774"/>
      <c r="AJ108" s="775"/>
      <c r="AK108" s="777">
        <f t="shared" si="13"/>
        <v>0</v>
      </c>
      <c r="BN108" s="751"/>
      <c r="BO108" s="751"/>
      <c r="BP108" s="752"/>
      <c r="BQ108" s="752"/>
      <c r="BR108" s="752"/>
      <c r="BS108" s="752"/>
      <c r="BT108" s="752"/>
      <c r="BU108" s="752"/>
      <c r="BV108" s="752"/>
      <c r="BW108" s="752"/>
      <c r="BX108" s="752"/>
      <c r="BY108" s="752"/>
      <c r="BZ108" s="752"/>
      <c r="CA108" s="752"/>
      <c r="CB108" s="752"/>
      <c r="CC108" s="752"/>
      <c r="CD108" s="752"/>
      <c r="CE108" s="752"/>
      <c r="CF108" s="752"/>
      <c r="CG108" s="752"/>
      <c r="CH108" s="752"/>
      <c r="CI108" s="752"/>
      <c r="CJ108" s="752"/>
    </row>
    <row r="109" spans="4:88">
      <c r="D109" s="775"/>
      <c r="E109" s="775"/>
      <c r="F109" s="775"/>
      <c r="G109" s="774"/>
      <c r="K109" s="775"/>
      <c r="L109" s="775"/>
      <c r="M109" s="775"/>
      <c r="N109" s="774"/>
      <c r="O109" s="775"/>
      <c r="P109" s="777">
        <f t="shared" si="10"/>
        <v>0</v>
      </c>
      <c r="R109" s="775"/>
      <c r="S109" s="775"/>
      <c r="T109" s="775"/>
      <c r="U109" s="774"/>
      <c r="V109" s="775"/>
      <c r="W109" s="777">
        <f t="shared" si="11"/>
        <v>0</v>
      </c>
      <c r="Y109" s="775"/>
      <c r="Z109" s="775"/>
      <c r="AA109" s="775"/>
      <c r="AB109" s="774"/>
      <c r="AC109" s="775"/>
      <c r="AD109" s="777">
        <f t="shared" si="12"/>
        <v>0</v>
      </c>
      <c r="AF109" s="775"/>
      <c r="AG109" s="775"/>
      <c r="AH109" s="775"/>
      <c r="AI109" s="774"/>
      <c r="AJ109" s="775"/>
      <c r="AK109" s="777">
        <f t="shared" si="13"/>
        <v>0</v>
      </c>
      <c r="BN109" s="751"/>
      <c r="BO109" s="751"/>
      <c r="BP109" s="752"/>
      <c r="BQ109" s="752"/>
      <c r="BR109" s="752"/>
      <c r="BS109" s="752"/>
      <c r="BT109" s="752"/>
      <c r="BU109" s="752"/>
      <c r="BV109" s="752"/>
      <c r="BW109" s="752"/>
      <c r="BX109" s="752"/>
      <c r="BY109" s="752"/>
      <c r="BZ109" s="752"/>
      <c r="CA109" s="752"/>
      <c r="CB109" s="752"/>
      <c r="CC109" s="752"/>
      <c r="CD109" s="752"/>
      <c r="CE109" s="752"/>
      <c r="CF109" s="752"/>
      <c r="CG109" s="752"/>
      <c r="CH109" s="752"/>
      <c r="CI109" s="752"/>
      <c r="CJ109" s="752"/>
    </row>
    <row r="110" spans="4:88">
      <c r="D110" s="775"/>
      <c r="E110" s="775"/>
      <c r="F110" s="775"/>
      <c r="G110" s="774"/>
      <c r="K110" s="775"/>
      <c r="L110" s="775"/>
      <c r="M110" s="775"/>
      <c r="N110" s="774"/>
      <c r="O110" s="775"/>
      <c r="P110" s="777">
        <f t="shared" si="10"/>
        <v>0</v>
      </c>
      <c r="R110" s="775"/>
      <c r="S110" s="775"/>
      <c r="T110" s="775"/>
      <c r="U110" s="774"/>
      <c r="V110" s="775"/>
      <c r="W110" s="777">
        <f t="shared" si="11"/>
        <v>0</v>
      </c>
      <c r="Y110" s="775"/>
      <c r="Z110" s="775"/>
      <c r="AA110" s="775"/>
      <c r="AB110" s="774"/>
      <c r="AC110" s="775"/>
      <c r="AD110" s="777">
        <f t="shared" si="12"/>
        <v>0</v>
      </c>
      <c r="AF110" s="775"/>
      <c r="AG110" s="775"/>
      <c r="AH110" s="775"/>
      <c r="AI110" s="774"/>
      <c r="AJ110" s="775"/>
      <c r="AK110" s="777">
        <f t="shared" si="13"/>
        <v>0</v>
      </c>
      <c r="BN110" s="751"/>
      <c r="BO110" s="751"/>
      <c r="BP110" s="752"/>
      <c r="BQ110" s="752"/>
      <c r="BR110" s="752"/>
      <c r="BS110" s="752"/>
      <c r="BT110" s="752"/>
      <c r="BU110" s="752"/>
      <c r="BV110" s="752"/>
      <c r="BW110" s="752"/>
      <c r="BX110" s="752"/>
      <c r="BY110" s="752"/>
      <c r="BZ110" s="752"/>
      <c r="CA110" s="752"/>
      <c r="CB110" s="752"/>
      <c r="CC110" s="752"/>
      <c r="CD110" s="752"/>
      <c r="CE110" s="752"/>
      <c r="CF110" s="752"/>
      <c r="CG110" s="752"/>
      <c r="CH110" s="752"/>
      <c r="CI110" s="752"/>
      <c r="CJ110" s="752"/>
    </row>
    <row r="111" spans="4:88">
      <c r="D111" s="775"/>
      <c r="E111" s="775"/>
      <c r="F111" s="775"/>
      <c r="G111" s="774"/>
      <c r="K111" s="775"/>
      <c r="L111" s="775"/>
      <c r="M111" s="775"/>
      <c r="N111" s="774"/>
      <c r="O111" s="775"/>
      <c r="P111" s="777">
        <f t="shared" si="10"/>
        <v>0</v>
      </c>
      <c r="R111" s="775"/>
      <c r="S111" s="775"/>
      <c r="T111" s="775"/>
      <c r="U111" s="774"/>
      <c r="V111" s="775"/>
      <c r="W111" s="777">
        <f t="shared" si="11"/>
        <v>0</v>
      </c>
      <c r="Y111" s="775"/>
      <c r="Z111" s="775"/>
      <c r="AA111" s="775"/>
      <c r="AB111" s="774"/>
      <c r="AC111" s="775"/>
      <c r="AD111" s="777">
        <f t="shared" si="12"/>
        <v>0</v>
      </c>
      <c r="AF111" s="775"/>
      <c r="AG111" s="775"/>
      <c r="AH111" s="775"/>
      <c r="AI111" s="774"/>
      <c r="AJ111" s="775"/>
      <c r="AK111" s="777">
        <f t="shared" si="13"/>
        <v>0</v>
      </c>
      <c r="BN111" s="751"/>
      <c r="BO111" s="751"/>
      <c r="BP111" s="751"/>
      <c r="BQ111" s="752"/>
      <c r="BR111" s="752"/>
      <c r="BS111" s="752"/>
      <c r="BT111" s="752"/>
      <c r="BU111" s="752"/>
      <c r="BV111" s="752"/>
      <c r="BW111" s="752"/>
      <c r="BX111" s="752"/>
      <c r="BY111" s="752"/>
      <c r="BZ111" s="752"/>
      <c r="CA111" s="752"/>
      <c r="CB111" s="752"/>
      <c r="CC111" s="752"/>
      <c r="CD111" s="752"/>
      <c r="CE111" s="752"/>
      <c r="CF111" s="752"/>
      <c r="CG111" s="752"/>
      <c r="CH111" s="752"/>
      <c r="CI111" s="752"/>
      <c r="CJ111" s="752"/>
    </row>
    <row r="112" spans="4:88">
      <c r="D112" s="775"/>
      <c r="E112" s="775"/>
      <c r="F112" s="775"/>
      <c r="G112" s="774"/>
      <c r="K112" s="775"/>
      <c r="L112" s="775"/>
      <c r="M112" s="775"/>
      <c r="N112" s="774"/>
      <c r="O112" s="775"/>
      <c r="P112" s="777">
        <f t="shared" si="10"/>
        <v>0</v>
      </c>
      <c r="R112" s="775"/>
      <c r="S112" s="775"/>
      <c r="T112" s="775"/>
      <c r="U112" s="774"/>
      <c r="V112" s="775"/>
      <c r="W112" s="777">
        <f t="shared" si="11"/>
        <v>0</v>
      </c>
      <c r="X112" s="752"/>
      <c r="Y112" s="775"/>
      <c r="Z112" s="775"/>
      <c r="AA112" s="775"/>
      <c r="AB112" s="774"/>
      <c r="AC112" s="775"/>
      <c r="AD112" s="777">
        <f t="shared" si="12"/>
        <v>0</v>
      </c>
      <c r="AE112" s="752"/>
      <c r="AF112" s="775"/>
      <c r="AG112" s="775"/>
      <c r="AH112" s="775"/>
      <c r="AI112" s="774"/>
      <c r="AJ112" s="775"/>
      <c r="AK112" s="777">
        <f t="shared" si="13"/>
        <v>0</v>
      </c>
      <c r="AL112" s="752"/>
      <c r="AM112" s="752"/>
      <c r="AN112" s="752"/>
      <c r="AO112" s="752"/>
      <c r="AP112" s="752"/>
      <c r="BN112" s="751"/>
      <c r="BO112" s="751"/>
      <c r="BP112" s="751"/>
      <c r="BQ112" s="751"/>
      <c r="BR112" s="751"/>
      <c r="BS112" s="751"/>
      <c r="BT112" s="751"/>
      <c r="BU112" s="751"/>
      <c r="BV112" s="751"/>
      <c r="BW112" s="751"/>
      <c r="BX112" s="751"/>
      <c r="BY112" s="751"/>
      <c r="BZ112" s="751"/>
      <c r="CA112" s="751"/>
      <c r="CB112" s="751"/>
      <c r="CC112" s="751"/>
      <c r="CD112" s="751"/>
      <c r="CE112" s="751"/>
      <c r="CF112" s="751"/>
      <c r="CG112" s="751"/>
    </row>
    <row r="113" spans="4:85">
      <c r="D113" s="775"/>
      <c r="E113" s="775"/>
      <c r="F113" s="775"/>
      <c r="G113" s="774"/>
      <c r="K113" s="775"/>
      <c r="L113" s="775"/>
      <c r="M113" s="775"/>
      <c r="N113" s="774"/>
      <c r="O113" s="775"/>
      <c r="P113" s="777">
        <f t="shared" si="10"/>
        <v>0</v>
      </c>
      <c r="R113" s="775"/>
      <c r="S113" s="775"/>
      <c r="T113" s="775"/>
      <c r="U113" s="774"/>
      <c r="V113" s="775"/>
      <c r="W113" s="777">
        <f t="shared" si="11"/>
        <v>0</v>
      </c>
      <c r="X113" s="752"/>
      <c r="Y113" s="775"/>
      <c r="Z113" s="775"/>
      <c r="AA113" s="775"/>
      <c r="AB113" s="774"/>
      <c r="AC113" s="775"/>
      <c r="AD113" s="777">
        <f t="shared" si="12"/>
        <v>0</v>
      </c>
      <c r="AE113" s="752"/>
      <c r="AF113" s="775"/>
      <c r="AG113" s="775"/>
      <c r="AH113" s="775"/>
      <c r="AI113" s="774"/>
      <c r="AJ113" s="775"/>
      <c r="AK113" s="777">
        <f t="shared" si="13"/>
        <v>0</v>
      </c>
      <c r="AL113" s="752"/>
      <c r="AM113" s="752"/>
      <c r="AN113" s="752"/>
      <c r="AO113" s="752"/>
      <c r="AP113" s="752"/>
      <c r="BN113" s="751"/>
      <c r="BO113" s="751"/>
      <c r="BP113" s="751"/>
      <c r="BQ113" s="751"/>
      <c r="BR113" s="751"/>
      <c r="BS113" s="751"/>
      <c r="BT113" s="751"/>
      <c r="BU113" s="751"/>
      <c r="BV113" s="751"/>
      <c r="BW113" s="751"/>
      <c r="BX113" s="751"/>
      <c r="BY113" s="751"/>
      <c r="BZ113" s="751"/>
      <c r="CA113" s="751"/>
      <c r="CB113" s="751"/>
      <c r="CC113" s="751"/>
      <c r="CD113" s="751"/>
      <c r="CE113" s="751"/>
      <c r="CF113" s="751"/>
      <c r="CG113" s="751"/>
    </row>
    <row r="114" spans="4:85">
      <c r="D114" s="775"/>
      <c r="E114" s="775"/>
      <c r="F114" s="775"/>
      <c r="G114" s="774"/>
      <c r="K114" s="775"/>
      <c r="L114" s="775"/>
      <c r="M114" s="775"/>
      <c r="N114" s="774"/>
      <c r="O114" s="775"/>
      <c r="P114" s="777">
        <f t="shared" si="10"/>
        <v>0</v>
      </c>
      <c r="R114" s="775"/>
      <c r="S114" s="775"/>
      <c r="T114" s="775"/>
      <c r="U114" s="774"/>
      <c r="V114" s="775"/>
      <c r="W114" s="777">
        <f t="shared" si="11"/>
        <v>0</v>
      </c>
      <c r="X114" s="752"/>
      <c r="Y114" s="775"/>
      <c r="Z114" s="775"/>
      <c r="AA114" s="775"/>
      <c r="AB114" s="774"/>
      <c r="AC114" s="775"/>
      <c r="AD114" s="777">
        <f t="shared" si="12"/>
        <v>0</v>
      </c>
      <c r="AE114" s="752"/>
      <c r="AF114" s="775"/>
      <c r="AG114" s="775"/>
      <c r="AH114" s="775"/>
      <c r="AI114" s="774"/>
      <c r="AJ114" s="775"/>
      <c r="AK114" s="777">
        <f t="shared" si="13"/>
        <v>0</v>
      </c>
      <c r="AL114" s="752"/>
      <c r="AM114" s="752"/>
      <c r="AN114" s="752"/>
      <c r="AO114" s="752"/>
      <c r="AP114" s="752"/>
      <c r="BN114" s="751"/>
      <c r="BO114" s="751"/>
      <c r="BP114" s="751"/>
      <c r="BQ114" s="751"/>
      <c r="BR114" s="751"/>
      <c r="BS114" s="751"/>
      <c r="BT114" s="751"/>
      <c r="BU114" s="751"/>
      <c r="BV114" s="751"/>
      <c r="BW114" s="751"/>
      <c r="BX114" s="751"/>
      <c r="BY114" s="751"/>
      <c r="BZ114" s="751"/>
      <c r="CA114" s="751"/>
      <c r="CB114" s="751"/>
      <c r="CC114" s="751"/>
      <c r="CD114" s="751"/>
      <c r="CE114" s="751"/>
      <c r="CF114" s="751"/>
      <c r="CG114" s="751"/>
    </row>
    <row r="115" spans="4:85">
      <c r="D115" s="781" t="s">
        <v>2550</v>
      </c>
      <c r="E115" s="782">
        <f>SUM(E88:E114)</f>
        <v>0</v>
      </c>
      <c r="F115" s="781" t="s">
        <v>2540</v>
      </c>
      <c r="G115" s="777">
        <f>SUMIF(G88:G114,"Yes",E88:E114)</f>
        <v>0</v>
      </c>
      <c r="K115" s="781" t="s">
        <v>2539</v>
      </c>
      <c r="L115" s="777">
        <f>SUM(L88:L114)</f>
        <v>0</v>
      </c>
      <c r="M115" s="781" t="s">
        <v>2540</v>
      </c>
      <c r="N115" s="777">
        <f>SUMIF(N88:N114,"Yes",L88:L114)</f>
        <v>0</v>
      </c>
      <c r="O115" s="772" t="s">
        <v>2551</v>
      </c>
      <c r="P115" s="777">
        <f>SUM(P109:P114)</f>
        <v>0</v>
      </c>
      <c r="R115" s="781" t="s">
        <v>2539</v>
      </c>
      <c r="S115" s="777">
        <f>SUM(S88:S114)</f>
        <v>0</v>
      </c>
      <c r="T115" s="781" t="s">
        <v>2540</v>
      </c>
      <c r="U115" s="777">
        <f>SUMIF(U88:U114,"Yes",S88:S114)</f>
        <v>0</v>
      </c>
      <c r="V115" s="772" t="s">
        <v>2551</v>
      </c>
      <c r="W115" s="777">
        <f>SUM(W109:W114)</f>
        <v>0</v>
      </c>
      <c r="X115" s="752"/>
      <c r="Y115" s="781" t="s">
        <v>2539</v>
      </c>
      <c r="Z115" s="777">
        <f>SUM(Z88:Z114)</f>
        <v>0</v>
      </c>
      <c r="AA115" s="781" t="s">
        <v>2540</v>
      </c>
      <c r="AB115" s="777">
        <f>SUMIF(AB88:AB114,"Yes",Z88:Z114)</f>
        <v>0</v>
      </c>
      <c r="AC115" s="772" t="s">
        <v>2551</v>
      </c>
      <c r="AD115" s="777">
        <f>SUM(AD109:AD114)</f>
        <v>0</v>
      </c>
      <c r="AE115" s="752"/>
      <c r="AF115" s="781" t="s">
        <v>2539</v>
      </c>
      <c r="AG115" s="777">
        <f>SUM(AG88:AG114)</f>
        <v>0</v>
      </c>
      <c r="AH115" s="781" t="s">
        <v>2540</v>
      </c>
      <c r="AI115" s="777">
        <f>SUMIF(AI88:AI114,"Yes",AG88:AG114)</f>
        <v>0</v>
      </c>
      <c r="AJ115" s="772" t="s">
        <v>2551</v>
      </c>
      <c r="AK115" s="777">
        <f>SUM(AK109:AK114)</f>
        <v>0</v>
      </c>
      <c r="AL115" s="752"/>
      <c r="AM115" s="752"/>
      <c r="AN115" s="752"/>
      <c r="AO115" s="752"/>
      <c r="AP115" s="752"/>
      <c r="BN115" s="751"/>
      <c r="BO115" s="751"/>
      <c r="BP115" s="751"/>
      <c r="BQ115" s="751"/>
      <c r="BR115" s="751"/>
      <c r="BS115" s="751"/>
      <c r="BT115" s="751"/>
      <c r="BU115" s="751"/>
      <c r="BV115" s="751"/>
      <c r="BW115" s="751"/>
      <c r="BX115" s="751"/>
      <c r="BY115" s="751"/>
      <c r="BZ115" s="751"/>
      <c r="CA115" s="751"/>
      <c r="CB115" s="751"/>
      <c r="CC115" s="751"/>
      <c r="CD115" s="751"/>
      <c r="CE115" s="751"/>
      <c r="CF115" s="751"/>
      <c r="CG115" s="751"/>
    </row>
    <row r="116" spans="4:85" ht="14.25">
      <c r="D116" s="781" t="s">
        <v>2552</v>
      </c>
      <c r="E116" s="787" t="e">
        <f>G115/E115</f>
        <v>#DIV/0!</v>
      </c>
      <c r="F116" s="781"/>
      <c r="K116" s="781" t="s">
        <v>2541</v>
      </c>
      <c r="L116" s="783" t="e">
        <f>N115/L115</f>
        <v>#DIV/0!</v>
      </c>
      <c r="M116" s="781"/>
      <c r="R116" s="781" t="s">
        <v>2541</v>
      </c>
      <c r="S116" s="783" t="e">
        <f>U115/S115</f>
        <v>#DIV/0!</v>
      </c>
      <c r="T116" s="781"/>
      <c r="X116" s="752"/>
      <c r="Y116" s="781" t="s">
        <v>2541</v>
      </c>
      <c r="Z116" s="783" t="e">
        <f>AB115/Z115</f>
        <v>#DIV/0!</v>
      </c>
      <c r="AA116" s="781"/>
      <c r="AE116" s="752"/>
      <c r="AF116" s="781" t="s">
        <v>2541</v>
      </c>
      <c r="AG116" s="783" t="e">
        <f>AI115/AG115</f>
        <v>#DIV/0!</v>
      </c>
      <c r="AH116" s="781"/>
      <c r="AL116" s="752"/>
      <c r="AM116" s="752"/>
      <c r="AN116" s="752"/>
      <c r="AO116" s="752"/>
      <c r="AP116" s="752"/>
      <c r="BN116" s="751"/>
      <c r="BO116" s="751"/>
      <c r="BP116" s="751"/>
      <c r="BQ116" s="751"/>
      <c r="BR116" s="751"/>
      <c r="BS116" s="751"/>
      <c r="BT116" s="751"/>
      <c r="BU116" s="751"/>
      <c r="BV116" s="751"/>
      <c r="BW116" s="751"/>
      <c r="BX116" s="751"/>
      <c r="BY116" s="751"/>
      <c r="BZ116" s="751"/>
      <c r="CA116" s="751"/>
      <c r="CB116" s="751"/>
      <c r="CC116" s="751"/>
      <c r="CD116" s="751"/>
      <c r="CE116" s="751"/>
      <c r="CF116" s="751"/>
      <c r="CG116" s="751"/>
    </row>
    <row r="117" spans="4:85">
      <c r="D117" s="781" t="s">
        <v>2553</v>
      </c>
      <c r="E117" s="1317">
        <v>54.6</v>
      </c>
      <c r="K117" s="781" t="s">
        <v>2553</v>
      </c>
      <c r="L117" s="1317">
        <v>54.6</v>
      </c>
      <c r="R117" s="781" t="s">
        <v>2553</v>
      </c>
      <c r="S117" s="1317">
        <v>54.6</v>
      </c>
      <c r="T117" s="786"/>
      <c r="U117" s="786"/>
      <c r="V117" s="786"/>
      <c r="W117" s="786"/>
      <c r="X117" s="786"/>
      <c r="Y117" s="781" t="s">
        <v>2553</v>
      </c>
      <c r="Z117" s="1317">
        <v>54.6</v>
      </c>
      <c r="AA117" s="786"/>
      <c r="AB117" s="786"/>
      <c r="AC117" s="786"/>
      <c r="AD117" s="786"/>
      <c r="AE117" s="786"/>
      <c r="AF117" s="781" t="s">
        <v>2553</v>
      </c>
      <c r="AG117" s="1317">
        <v>54.6</v>
      </c>
      <c r="AH117" s="786"/>
      <c r="AI117" s="786"/>
      <c r="AJ117" s="786"/>
      <c r="AK117" s="786"/>
      <c r="AL117" s="786"/>
      <c r="AM117" s="786"/>
      <c r="BN117" s="751"/>
      <c r="BO117" s="751"/>
      <c r="BP117" s="751"/>
      <c r="BQ117" s="751"/>
      <c r="BR117" s="751"/>
      <c r="BS117" s="751"/>
      <c r="BT117" s="751"/>
      <c r="BU117" s="751"/>
      <c r="BV117" s="751"/>
      <c r="BW117" s="751"/>
      <c r="BX117" s="751"/>
      <c r="BY117" s="751"/>
      <c r="BZ117" s="751"/>
      <c r="CA117" s="751"/>
      <c r="CB117" s="751"/>
      <c r="CC117" s="751"/>
      <c r="CD117" s="751"/>
      <c r="CE117" s="751"/>
      <c r="CF117" s="751"/>
      <c r="CG117" s="751"/>
    </row>
    <row r="118" spans="4:85">
      <c r="D118" s="772" t="s">
        <v>2554</v>
      </c>
      <c r="E118" s="788">
        <f>E115/E117-1</f>
        <v>-1</v>
      </c>
      <c r="K118" s="772" t="s">
        <v>2554</v>
      </c>
      <c r="L118" s="788">
        <f>L115/L117-1</f>
        <v>-1</v>
      </c>
      <c r="R118" s="772" t="s">
        <v>2554</v>
      </c>
      <c r="S118" s="785">
        <f>S115/S117-1</f>
        <v>-1</v>
      </c>
      <c r="T118" s="786"/>
      <c r="U118" s="786"/>
      <c r="V118" s="786"/>
      <c r="W118" s="786"/>
      <c r="X118" s="786"/>
      <c r="Y118" s="772" t="s">
        <v>2554</v>
      </c>
      <c r="Z118" s="785">
        <f>Z115/Z117-1</f>
        <v>-1</v>
      </c>
      <c r="AA118" s="786"/>
      <c r="AB118" s="786"/>
      <c r="AC118" s="786"/>
      <c r="AD118" s="786"/>
      <c r="AE118" s="786"/>
      <c r="AF118" s="772" t="s">
        <v>2554</v>
      </c>
      <c r="AG118" s="785">
        <f>AG115/AG117-1</f>
        <v>-1</v>
      </c>
      <c r="AH118" s="786"/>
      <c r="AI118" s="786"/>
      <c r="AJ118" s="786"/>
      <c r="AK118" s="786"/>
      <c r="AL118" s="786"/>
      <c r="AM118" s="786"/>
      <c r="BN118" s="751"/>
      <c r="BO118" s="751"/>
      <c r="BP118" s="751"/>
      <c r="BQ118" s="751"/>
      <c r="BR118" s="751"/>
      <c r="BS118" s="751"/>
      <c r="BT118" s="751"/>
      <c r="BU118" s="751"/>
      <c r="BV118" s="751"/>
      <c r="BW118" s="751"/>
      <c r="BX118" s="751"/>
      <c r="BY118" s="751"/>
      <c r="BZ118" s="751"/>
      <c r="CA118" s="751"/>
      <c r="CB118" s="751"/>
      <c r="CC118" s="751"/>
      <c r="CD118" s="751"/>
      <c r="CE118" s="751"/>
      <c r="CF118" s="751"/>
      <c r="CG118" s="751"/>
    </row>
    <row r="119" spans="4:85">
      <c r="F119" s="789"/>
      <c r="T119" s="786"/>
      <c r="U119" s="786"/>
      <c r="V119" s="786"/>
      <c r="W119" s="786"/>
      <c r="X119" s="786"/>
      <c r="Y119" s="786"/>
      <c r="Z119" s="786"/>
      <c r="AA119" s="786"/>
      <c r="AB119" s="786"/>
      <c r="AC119" s="786"/>
      <c r="AD119" s="786"/>
      <c r="AE119" s="786"/>
      <c r="AF119" s="786"/>
      <c r="AG119" s="786"/>
      <c r="AH119" s="786"/>
      <c r="AI119" s="786"/>
      <c r="AJ119" s="786"/>
      <c r="AK119" s="786"/>
      <c r="AL119" s="786"/>
      <c r="AM119" s="786"/>
      <c r="BN119" s="751"/>
      <c r="BO119" s="751"/>
      <c r="BP119" s="751"/>
      <c r="BQ119" s="751"/>
      <c r="BR119" s="751"/>
      <c r="BS119" s="751"/>
      <c r="BT119" s="751"/>
      <c r="BU119" s="751"/>
      <c r="BV119" s="751"/>
      <c r="BW119" s="751"/>
      <c r="BX119" s="751"/>
      <c r="BY119" s="751"/>
      <c r="BZ119" s="751"/>
      <c r="CA119" s="751"/>
      <c r="CB119" s="751"/>
      <c r="CC119" s="751"/>
      <c r="CD119" s="751"/>
      <c r="CE119" s="751"/>
      <c r="CF119" s="751"/>
      <c r="CG119" s="751"/>
    </row>
    <row r="120" spans="4:85">
      <c r="T120" s="786"/>
      <c r="U120" s="786"/>
      <c r="V120" s="786"/>
      <c r="W120" s="786"/>
      <c r="X120" s="786"/>
      <c r="Y120" s="786"/>
      <c r="Z120" s="786"/>
      <c r="AA120" s="786"/>
      <c r="AB120" s="786"/>
      <c r="AC120" s="786"/>
      <c r="AD120" s="786"/>
      <c r="AE120" s="786"/>
      <c r="AF120" s="786"/>
      <c r="AG120" s="786"/>
      <c r="AH120" s="786"/>
      <c r="AI120" s="786"/>
      <c r="AJ120" s="786"/>
      <c r="AK120" s="786"/>
      <c r="AL120" s="786"/>
      <c r="AM120" s="786"/>
      <c r="BN120" s="751"/>
      <c r="BO120" s="751"/>
      <c r="BP120" s="751"/>
      <c r="BQ120" s="751"/>
      <c r="BR120" s="751"/>
      <c r="BS120" s="751"/>
      <c r="BT120" s="751"/>
      <c r="BU120" s="751"/>
      <c r="BV120" s="751"/>
      <c r="BW120" s="751"/>
      <c r="BX120" s="751"/>
      <c r="BY120" s="751"/>
      <c r="BZ120" s="751"/>
      <c r="CA120" s="751"/>
      <c r="CB120" s="751"/>
      <c r="CC120" s="751"/>
      <c r="CD120" s="751"/>
      <c r="CE120" s="751"/>
      <c r="CF120" s="751"/>
      <c r="CG120" s="751"/>
    </row>
    <row r="121" spans="4:85">
      <c r="D121" s="773" t="s">
        <v>2555</v>
      </c>
      <c r="K121" s="773" t="s">
        <v>2556</v>
      </c>
      <c r="R121" s="773" t="s">
        <v>2557</v>
      </c>
      <c r="W121" s="786"/>
      <c r="X121" s="786"/>
      <c r="Y121" s="773" t="s">
        <v>2558</v>
      </c>
      <c r="AD121" s="786"/>
      <c r="AE121" s="786"/>
      <c r="AF121" s="773" t="s">
        <v>2559</v>
      </c>
      <c r="AK121" s="786"/>
      <c r="AL121" s="786"/>
      <c r="AM121" s="786"/>
      <c r="BN121" s="751"/>
      <c r="BO121" s="751"/>
      <c r="BP121" s="751"/>
      <c r="BQ121" s="751"/>
      <c r="BR121" s="751"/>
      <c r="BS121" s="751"/>
      <c r="BT121" s="751"/>
      <c r="BU121" s="751"/>
      <c r="BV121" s="751"/>
      <c r="BW121" s="751"/>
      <c r="BX121" s="751"/>
      <c r="BY121" s="751"/>
      <c r="BZ121" s="751"/>
      <c r="CA121" s="751"/>
      <c r="CB121" s="751"/>
      <c r="CC121" s="751"/>
      <c r="CD121" s="751"/>
      <c r="CE121" s="751"/>
      <c r="CF121" s="751"/>
      <c r="CG121" s="751"/>
    </row>
    <row r="122" spans="4:85">
      <c r="F122" s="753"/>
      <c r="G122" s="753"/>
      <c r="M122" s="1387" t="s">
        <v>2560</v>
      </c>
      <c r="N122" s="1387"/>
      <c r="T122" s="1387" t="s">
        <v>2560</v>
      </c>
      <c r="U122" s="1387"/>
      <c r="W122" s="786"/>
      <c r="X122" s="786"/>
      <c r="AA122" s="1387" t="s">
        <v>2560</v>
      </c>
      <c r="AB122" s="1387"/>
      <c r="AD122" s="786"/>
      <c r="AE122" s="786"/>
      <c r="AH122" s="1387" t="s">
        <v>2560</v>
      </c>
      <c r="AI122" s="1387"/>
      <c r="AK122" s="786"/>
      <c r="AL122" s="786"/>
      <c r="AM122" s="786"/>
      <c r="BN122" s="751"/>
      <c r="BO122" s="751"/>
      <c r="BP122" s="751"/>
      <c r="BQ122" s="751"/>
      <c r="BR122" s="751"/>
      <c r="BS122" s="751"/>
      <c r="BT122" s="751"/>
      <c r="BU122" s="751"/>
      <c r="BV122" s="751"/>
      <c r="BW122" s="751"/>
      <c r="BX122" s="751"/>
      <c r="BY122" s="751"/>
      <c r="BZ122" s="751"/>
      <c r="CA122" s="751"/>
      <c r="CB122" s="751"/>
      <c r="CC122" s="751"/>
      <c r="CD122" s="751"/>
      <c r="CE122" s="751"/>
      <c r="CF122" s="751"/>
      <c r="CG122" s="751"/>
    </row>
    <row r="123" spans="4:85">
      <c r="D123" s="753" t="s">
        <v>249</v>
      </c>
      <c r="E123" s="753" t="s">
        <v>2561</v>
      </c>
      <c r="K123" s="753" t="s">
        <v>249</v>
      </c>
      <c r="L123" s="753" t="s">
        <v>2561</v>
      </c>
      <c r="M123" s="753" t="s">
        <v>2562</v>
      </c>
      <c r="N123" s="753" t="s">
        <v>2563</v>
      </c>
      <c r="O123" s="753" t="s">
        <v>2173</v>
      </c>
      <c r="R123" s="753" t="s">
        <v>249</v>
      </c>
      <c r="S123" s="753" t="s">
        <v>2561</v>
      </c>
      <c r="T123" s="753" t="s">
        <v>2562</v>
      </c>
      <c r="U123" s="753" t="s">
        <v>2563</v>
      </c>
      <c r="V123" s="753" t="s">
        <v>2173</v>
      </c>
      <c r="W123" s="786"/>
      <c r="X123" s="786"/>
      <c r="Y123" s="753" t="s">
        <v>249</v>
      </c>
      <c r="Z123" s="753" t="s">
        <v>2561</v>
      </c>
      <c r="AA123" s="753" t="s">
        <v>2562</v>
      </c>
      <c r="AB123" s="753" t="s">
        <v>2563</v>
      </c>
      <c r="AC123" s="753" t="s">
        <v>2173</v>
      </c>
      <c r="AD123" s="786"/>
      <c r="AE123" s="786"/>
      <c r="AF123" s="753" t="s">
        <v>249</v>
      </c>
      <c r="AG123" s="753" t="s">
        <v>2561</v>
      </c>
      <c r="AH123" s="753" t="s">
        <v>2562</v>
      </c>
      <c r="AI123" s="753" t="s">
        <v>2563</v>
      </c>
      <c r="AJ123" s="753" t="s">
        <v>2173</v>
      </c>
      <c r="AK123" s="786"/>
      <c r="AL123" s="786"/>
      <c r="AM123" s="786"/>
      <c r="BN123" s="751"/>
      <c r="BO123" s="751"/>
      <c r="BP123" s="751"/>
      <c r="BQ123" s="751"/>
      <c r="BR123" s="751"/>
      <c r="BS123" s="751"/>
      <c r="BT123" s="751"/>
      <c r="BU123" s="751"/>
      <c r="BV123" s="751"/>
      <c r="BW123" s="751"/>
      <c r="BX123" s="751"/>
      <c r="BY123" s="751"/>
      <c r="BZ123" s="751"/>
      <c r="CA123" s="751"/>
      <c r="CB123" s="751"/>
      <c r="CC123" s="751"/>
      <c r="CD123" s="751"/>
      <c r="CE123" s="751"/>
      <c r="CF123" s="751"/>
      <c r="CG123" s="751"/>
    </row>
    <row r="124" spans="4:85">
      <c r="D124" s="790"/>
      <c r="E124" s="775"/>
      <c r="K124" s="790"/>
      <c r="L124" s="775"/>
      <c r="M124" s="791"/>
      <c r="N124" s="791"/>
      <c r="O124" s="777">
        <f>(M124+N124)*L124/1000</f>
        <v>0</v>
      </c>
      <c r="R124" s="790"/>
      <c r="S124" s="775"/>
      <c r="T124" s="791"/>
      <c r="U124" s="791"/>
      <c r="V124" s="777">
        <f>(T124+U124)*S124/1000</f>
        <v>0</v>
      </c>
      <c r="W124" s="786"/>
      <c r="X124" s="786"/>
      <c r="Y124" s="790"/>
      <c r="Z124" s="775"/>
      <c r="AA124" s="791"/>
      <c r="AB124" s="791"/>
      <c r="AC124" s="777">
        <f>(AA124+AB124)*Z124/1000</f>
        <v>0</v>
      </c>
      <c r="AD124" s="786"/>
      <c r="AE124" s="786"/>
      <c r="AF124" s="790"/>
      <c r="AG124" s="775"/>
      <c r="AH124" s="791"/>
      <c r="AI124" s="791"/>
      <c r="AJ124" s="777">
        <f>(AH124+AI124)*AG124/1000</f>
        <v>0</v>
      </c>
      <c r="AK124" s="786"/>
      <c r="AL124" s="786"/>
      <c r="AM124" s="786"/>
      <c r="BN124" s="751"/>
      <c r="BO124" s="751"/>
      <c r="BP124" s="751"/>
      <c r="BQ124" s="751"/>
      <c r="BR124" s="751"/>
      <c r="BS124" s="751"/>
      <c r="BT124" s="751"/>
      <c r="BU124" s="751"/>
      <c r="BV124" s="751"/>
      <c r="BW124" s="751"/>
      <c r="BX124" s="751"/>
      <c r="BY124" s="751"/>
      <c r="BZ124" s="751"/>
      <c r="CA124" s="751"/>
      <c r="CB124" s="751"/>
      <c r="CC124" s="751"/>
      <c r="CD124" s="751"/>
      <c r="CE124" s="751"/>
      <c r="CF124" s="751"/>
      <c r="CG124" s="751"/>
    </row>
    <row r="125" spans="4:85">
      <c r="D125" s="790"/>
      <c r="E125" s="775"/>
      <c r="K125" s="790"/>
      <c r="L125" s="775"/>
      <c r="M125" s="791"/>
      <c r="N125" s="791"/>
      <c r="O125" s="777">
        <f t="shared" ref="O125:O127" si="14">(M125+N125)*L125/1000</f>
        <v>0</v>
      </c>
      <c r="R125" s="790"/>
      <c r="S125" s="775"/>
      <c r="T125" s="791"/>
      <c r="U125" s="791"/>
      <c r="V125" s="777">
        <f t="shared" ref="V125:V127" si="15">(T125+U125)*S125/1000</f>
        <v>0</v>
      </c>
      <c r="W125" s="786"/>
      <c r="X125" s="786"/>
      <c r="Y125" s="790"/>
      <c r="Z125" s="775"/>
      <c r="AA125" s="791"/>
      <c r="AB125" s="791"/>
      <c r="AC125" s="777">
        <f t="shared" ref="AC125:AC127" si="16">(AA125+AB125)*Z125/1000</f>
        <v>0</v>
      </c>
      <c r="AD125" s="786"/>
      <c r="AE125" s="786"/>
      <c r="AF125" s="790"/>
      <c r="AG125" s="775"/>
      <c r="AH125" s="791"/>
      <c r="AI125" s="791"/>
      <c r="AJ125" s="777">
        <f t="shared" ref="AJ125:AJ127" si="17">(AH125+AI125)*AG125/1000</f>
        <v>0</v>
      </c>
      <c r="AK125" s="786"/>
      <c r="AL125" s="786"/>
      <c r="AM125" s="786"/>
      <c r="BN125" s="751"/>
      <c r="BO125" s="751"/>
      <c r="BP125" s="751"/>
      <c r="BQ125" s="751"/>
      <c r="BR125" s="751"/>
      <c r="BS125" s="751"/>
      <c r="BT125" s="751"/>
      <c r="BU125" s="751"/>
      <c r="BV125" s="751"/>
      <c r="BW125" s="751"/>
      <c r="BX125" s="751"/>
      <c r="BY125" s="751"/>
      <c r="BZ125" s="751"/>
      <c r="CA125" s="751"/>
      <c r="CB125" s="751"/>
      <c r="CC125" s="751"/>
      <c r="CD125" s="751"/>
      <c r="CE125" s="751"/>
      <c r="CF125" s="751"/>
      <c r="CG125" s="751"/>
    </row>
    <row r="126" spans="4:85">
      <c r="D126" s="790"/>
      <c r="E126" s="775"/>
      <c r="K126" s="790"/>
      <c r="L126" s="775"/>
      <c r="M126" s="791"/>
      <c r="N126" s="791"/>
      <c r="O126" s="777">
        <f t="shared" si="14"/>
        <v>0</v>
      </c>
      <c r="R126" s="790"/>
      <c r="S126" s="775"/>
      <c r="T126" s="791"/>
      <c r="U126" s="791"/>
      <c r="V126" s="777">
        <f t="shared" si="15"/>
        <v>0</v>
      </c>
      <c r="W126" s="786"/>
      <c r="X126" s="786"/>
      <c r="Y126" s="790"/>
      <c r="Z126" s="775"/>
      <c r="AA126" s="791"/>
      <c r="AB126" s="791"/>
      <c r="AC126" s="777">
        <f t="shared" si="16"/>
        <v>0</v>
      </c>
      <c r="AD126" s="786"/>
      <c r="AE126" s="786"/>
      <c r="AF126" s="790"/>
      <c r="AG126" s="775"/>
      <c r="AH126" s="791"/>
      <c r="AI126" s="791"/>
      <c r="AJ126" s="777">
        <f t="shared" si="17"/>
        <v>0</v>
      </c>
      <c r="AK126" s="786"/>
      <c r="AL126" s="786"/>
      <c r="AM126" s="786"/>
      <c r="BN126" s="751"/>
      <c r="BO126" s="751"/>
      <c r="BP126" s="751"/>
      <c r="BQ126" s="751"/>
      <c r="BR126" s="751"/>
      <c r="BS126" s="751"/>
      <c r="BT126" s="751"/>
      <c r="BU126" s="751"/>
      <c r="BV126" s="751"/>
      <c r="BW126" s="751"/>
      <c r="BX126" s="751"/>
      <c r="BY126" s="751"/>
      <c r="BZ126" s="751"/>
      <c r="CA126" s="751"/>
      <c r="CB126" s="751"/>
      <c r="CC126" s="751"/>
      <c r="CD126" s="751"/>
      <c r="CE126" s="751"/>
      <c r="CF126" s="751"/>
      <c r="CG126" s="751"/>
    </row>
    <row r="127" spans="4:85">
      <c r="D127" s="790"/>
      <c r="E127" s="775"/>
      <c r="K127" s="790"/>
      <c r="L127" s="775"/>
      <c r="M127" s="791"/>
      <c r="N127" s="791"/>
      <c r="O127" s="777">
        <f t="shared" si="14"/>
        <v>0</v>
      </c>
      <c r="R127" s="790"/>
      <c r="S127" s="775"/>
      <c r="T127" s="791"/>
      <c r="U127" s="791"/>
      <c r="V127" s="777">
        <f t="shared" si="15"/>
        <v>0</v>
      </c>
      <c r="W127" s="786"/>
      <c r="X127" s="786"/>
      <c r="Y127" s="790"/>
      <c r="Z127" s="775"/>
      <c r="AA127" s="791"/>
      <c r="AB127" s="791"/>
      <c r="AC127" s="777">
        <f t="shared" si="16"/>
        <v>0</v>
      </c>
      <c r="AD127" s="786"/>
      <c r="AE127" s="786"/>
      <c r="AF127" s="790"/>
      <c r="AG127" s="775"/>
      <c r="AH127" s="791"/>
      <c r="AI127" s="791"/>
      <c r="AJ127" s="777">
        <f t="shared" si="17"/>
        <v>0</v>
      </c>
      <c r="AK127" s="786"/>
      <c r="AL127" s="786"/>
      <c r="AM127" s="786"/>
      <c r="BN127" s="751"/>
      <c r="BO127" s="751"/>
      <c r="BP127" s="751"/>
      <c r="BQ127" s="751"/>
      <c r="BR127" s="751"/>
      <c r="BS127" s="751"/>
      <c r="BT127" s="751"/>
      <c r="BU127" s="751"/>
      <c r="BV127" s="751"/>
      <c r="BW127" s="751"/>
      <c r="BX127" s="751"/>
      <c r="BY127" s="751"/>
      <c r="BZ127" s="751"/>
      <c r="CA127" s="751"/>
      <c r="CB127" s="751"/>
      <c r="CC127" s="751"/>
      <c r="CD127" s="751"/>
      <c r="CE127" s="751"/>
      <c r="CF127" s="751"/>
      <c r="CG127" s="751"/>
    </row>
    <row r="128" spans="4:85">
      <c r="D128" s="775"/>
      <c r="E128" s="775"/>
      <c r="K128" s="775"/>
      <c r="L128" s="775"/>
      <c r="M128" s="775"/>
      <c r="N128" s="775"/>
      <c r="O128" s="777">
        <f t="shared" ref="O128:O129" si="18">N128*K128</f>
        <v>0</v>
      </c>
      <c r="R128" s="775"/>
      <c r="S128" s="775"/>
      <c r="T128" s="775"/>
      <c r="U128" s="775"/>
      <c r="V128" s="777">
        <f t="shared" ref="V128:V129" si="19">U128*R128</f>
        <v>0</v>
      </c>
      <c r="W128" s="786"/>
      <c r="X128" s="786"/>
      <c r="Y128" s="775"/>
      <c r="Z128" s="775"/>
      <c r="AA128" s="775"/>
      <c r="AB128" s="775"/>
      <c r="AC128" s="777">
        <f t="shared" ref="AC128:AC129" si="20">AB128*Y128</f>
        <v>0</v>
      </c>
      <c r="AD128" s="786"/>
      <c r="AE128" s="786"/>
      <c r="AF128" s="775"/>
      <c r="AG128" s="775"/>
      <c r="AH128" s="775"/>
      <c r="AI128" s="775"/>
      <c r="AJ128" s="777">
        <f t="shared" ref="AJ128:AJ129" si="21">AI128*AF128</f>
        <v>0</v>
      </c>
      <c r="AK128" s="786"/>
      <c r="AL128" s="786"/>
      <c r="AM128" s="786"/>
      <c r="BN128" s="751"/>
      <c r="BO128" s="751"/>
      <c r="BP128" s="751"/>
      <c r="BQ128" s="751"/>
      <c r="BR128" s="751"/>
      <c r="BS128" s="751"/>
      <c r="BT128" s="751"/>
      <c r="BU128" s="751"/>
      <c r="BV128" s="751"/>
      <c r="BW128" s="751"/>
      <c r="BX128" s="751"/>
      <c r="BY128" s="751"/>
      <c r="BZ128" s="751"/>
      <c r="CA128" s="751"/>
      <c r="CB128" s="751"/>
      <c r="CC128" s="751"/>
      <c r="CD128" s="751"/>
      <c r="CE128" s="751"/>
      <c r="CF128" s="751"/>
      <c r="CG128" s="751"/>
    </row>
    <row r="129" spans="4:85">
      <c r="D129" s="775"/>
      <c r="E129" s="775"/>
      <c r="K129" s="775"/>
      <c r="L129" s="775"/>
      <c r="M129" s="775"/>
      <c r="N129" s="775"/>
      <c r="O129" s="777">
        <f t="shared" si="18"/>
        <v>0</v>
      </c>
      <c r="R129" s="775"/>
      <c r="S129" s="775"/>
      <c r="T129" s="775"/>
      <c r="U129" s="775"/>
      <c r="V129" s="777">
        <f t="shared" si="19"/>
        <v>0</v>
      </c>
      <c r="W129" s="786"/>
      <c r="X129" s="786"/>
      <c r="Y129" s="775"/>
      <c r="Z129" s="775"/>
      <c r="AA129" s="775"/>
      <c r="AB129" s="775"/>
      <c r="AC129" s="777">
        <f t="shared" si="20"/>
        <v>0</v>
      </c>
      <c r="AD129" s="786"/>
      <c r="AE129" s="786"/>
      <c r="AF129" s="775"/>
      <c r="AG129" s="775"/>
      <c r="AH129" s="775"/>
      <c r="AI129" s="775"/>
      <c r="AJ129" s="777">
        <f t="shared" si="21"/>
        <v>0</v>
      </c>
      <c r="AK129" s="786"/>
      <c r="AL129" s="786"/>
      <c r="AM129" s="786"/>
      <c r="BN129" s="751"/>
      <c r="BO129" s="751"/>
      <c r="BP129" s="751"/>
      <c r="BQ129" s="751"/>
      <c r="BR129" s="751"/>
      <c r="BS129" s="751"/>
      <c r="BT129" s="751"/>
      <c r="BU129" s="751"/>
      <c r="BV129" s="751"/>
      <c r="BW129" s="751"/>
      <c r="BX129" s="751"/>
      <c r="BY129" s="751"/>
      <c r="BZ129" s="751"/>
      <c r="CA129" s="751"/>
      <c r="CB129" s="751"/>
      <c r="CC129" s="751"/>
      <c r="CD129" s="751"/>
      <c r="CE129" s="751"/>
      <c r="CF129" s="751"/>
      <c r="CG129" s="751"/>
    </row>
    <row r="130" spans="4:85">
      <c r="D130" s="781" t="s">
        <v>2564</v>
      </c>
      <c r="E130" s="782">
        <f>SUM(E124:E129)</f>
        <v>0</v>
      </c>
      <c r="K130" s="781" t="s">
        <v>2564</v>
      </c>
      <c r="L130" s="782">
        <f>SUM(L124:L129)</f>
        <v>0</v>
      </c>
      <c r="N130" s="772" t="s">
        <v>2551</v>
      </c>
      <c r="O130" s="777">
        <f>SUM(O124:O129)</f>
        <v>0</v>
      </c>
      <c r="R130" s="781" t="s">
        <v>2564</v>
      </c>
      <c r="S130" s="782">
        <f>SUM(S124:S129)</f>
        <v>0</v>
      </c>
      <c r="U130" s="772" t="s">
        <v>2551</v>
      </c>
      <c r="V130" s="777">
        <f>SUM(V124:V129)</f>
        <v>0</v>
      </c>
      <c r="W130" s="786"/>
      <c r="X130" s="786"/>
      <c r="Y130" s="781" t="s">
        <v>2564</v>
      </c>
      <c r="Z130" s="782">
        <f>SUM(Z124:Z129)</f>
        <v>0</v>
      </c>
      <c r="AB130" s="772" t="s">
        <v>2551</v>
      </c>
      <c r="AC130" s="777">
        <f>SUM(AC124:AC129)</f>
        <v>0</v>
      </c>
      <c r="AD130" s="786"/>
      <c r="AE130" s="786"/>
      <c r="AF130" s="781" t="s">
        <v>2564</v>
      </c>
      <c r="AG130" s="782">
        <f>SUM(AG124:AG129)</f>
        <v>0</v>
      </c>
      <c r="AI130" s="772" t="s">
        <v>2551</v>
      </c>
      <c r="AJ130" s="777">
        <f>SUM(AJ124:AJ129)</f>
        <v>0</v>
      </c>
      <c r="AK130" s="786"/>
      <c r="AL130" s="786"/>
      <c r="AM130" s="786"/>
      <c r="BN130" s="751"/>
      <c r="BO130" s="751"/>
      <c r="BP130" s="751"/>
      <c r="BQ130" s="751"/>
      <c r="BR130" s="751"/>
      <c r="BS130" s="751"/>
      <c r="BT130" s="751"/>
      <c r="BU130" s="751"/>
      <c r="BV130" s="751"/>
      <c r="BW130" s="751"/>
      <c r="BX130" s="751"/>
      <c r="BY130" s="751"/>
      <c r="BZ130" s="751"/>
      <c r="CA130" s="751"/>
      <c r="CB130" s="751"/>
      <c r="CC130" s="751"/>
      <c r="CD130" s="751"/>
      <c r="CE130" s="751"/>
      <c r="CF130" s="751"/>
      <c r="CG130" s="751"/>
    </row>
    <row r="131" spans="4:85">
      <c r="D131" s="781" t="s">
        <v>2565</v>
      </c>
      <c r="E131" s="1318">
        <v>7380</v>
      </c>
      <c r="K131" s="781" t="s">
        <v>2565</v>
      </c>
      <c r="L131" s="1318">
        <v>7380</v>
      </c>
      <c r="R131" s="781" t="s">
        <v>2565</v>
      </c>
      <c r="S131" s="1318">
        <v>7380</v>
      </c>
      <c r="W131" s="786"/>
      <c r="X131" s="786"/>
      <c r="Y131" s="781" t="s">
        <v>2565</v>
      </c>
      <c r="Z131" s="1318">
        <v>7380</v>
      </c>
      <c r="AD131" s="786"/>
      <c r="AE131" s="786"/>
      <c r="AF131" s="781" t="s">
        <v>2565</v>
      </c>
      <c r="AG131" s="1318">
        <v>7380</v>
      </c>
      <c r="AK131" s="786"/>
      <c r="AL131" s="786"/>
      <c r="AM131" s="786"/>
      <c r="BN131" s="751"/>
      <c r="BO131" s="751"/>
      <c r="BP131" s="751"/>
      <c r="BQ131" s="751"/>
      <c r="BR131" s="751"/>
      <c r="BS131" s="751"/>
      <c r="BT131" s="751"/>
      <c r="BU131" s="751"/>
      <c r="BV131" s="751"/>
      <c r="BW131" s="751"/>
      <c r="BX131" s="751"/>
      <c r="BY131" s="751"/>
      <c r="BZ131" s="751"/>
      <c r="CA131" s="751"/>
      <c r="CB131" s="751"/>
      <c r="CC131" s="751"/>
      <c r="CD131" s="751"/>
      <c r="CE131" s="751"/>
      <c r="CF131" s="751"/>
      <c r="CG131" s="751"/>
    </row>
    <row r="132" spans="4:85">
      <c r="D132" s="772" t="s">
        <v>2566</v>
      </c>
      <c r="E132" s="792">
        <f>E130/E131-1</f>
        <v>-1</v>
      </c>
      <c r="K132" s="772" t="s">
        <v>2566</v>
      </c>
      <c r="L132" s="792">
        <f>L130/L131-1</f>
        <v>-1</v>
      </c>
      <c r="R132" s="772" t="s">
        <v>2566</v>
      </c>
      <c r="S132" s="792">
        <f>S130/S131-1</f>
        <v>-1</v>
      </c>
      <c r="W132" s="786"/>
      <c r="X132" s="786"/>
      <c r="Y132" s="772" t="s">
        <v>2566</v>
      </c>
      <c r="Z132" s="792">
        <f>Z130/Z131-1</f>
        <v>-1</v>
      </c>
      <c r="AD132" s="786"/>
      <c r="AE132" s="786"/>
      <c r="AF132" s="772" t="s">
        <v>2566</v>
      </c>
      <c r="AG132" s="792">
        <f>AG130/AG131-1</f>
        <v>-1</v>
      </c>
      <c r="AK132" s="786"/>
      <c r="AL132" s="786"/>
      <c r="AM132" s="786"/>
      <c r="BN132" s="751"/>
      <c r="BO132" s="751"/>
      <c r="BP132" s="751"/>
      <c r="BQ132" s="751"/>
      <c r="BR132" s="751"/>
      <c r="BS132" s="751"/>
      <c r="BT132" s="751"/>
      <c r="BU132" s="751"/>
      <c r="BV132" s="751"/>
      <c r="BW132" s="751"/>
      <c r="BX132" s="751"/>
      <c r="BY132" s="751"/>
      <c r="BZ132" s="751"/>
      <c r="CA132" s="751"/>
      <c r="CB132" s="751"/>
      <c r="CC132" s="751"/>
      <c r="CD132" s="751"/>
      <c r="CE132" s="751"/>
      <c r="CF132" s="751"/>
      <c r="CG132" s="751"/>
    </row>
    <row r="133" spans="4:85">
      <c r="T133" s="786"/>
      <c r="U133" s="786"/>
      <c r="V133" s="786"/>
      <c r="W133" s="786"/>
      <c r="X133" s="786"/>
      <c r="Y133" s="786"/>
      <c r="Z133" s="786"/>
      <c r="AA133" s="786"/>
      <c r="AB133" s="786"/>
      <c r="AC133" s="786"/>
      <c r="AD133" s="786"/>
      <c r="AE133" s="786"/>
      <c r="AF133" s="786"/>
      <c r="AG133" s="786"/>
      <c r="AH133" s="786"/>
      <c r="AI133" s="786"/>
      <c r="AJ133" s="786"/>
      <c r="AK133" s="786"/>
      <c r="AL133" s="786"/>
      <c r="AM133" s="786"/>
      <c r="BN133" s="751"/>
      <c r="BO133" s="751"/>
      <c r="BP133" s="751"/>
      <c r="BQ133" s="751"/>
      <c r="BR133" s="751"/>
      <c r="BS133" s="751"/>
      <c r="BT133" s="751"/>
      <c r="BU133" s="751"/>
      <c r="BV133" s="751"/>
      <c r="BW133" s="751"/>
      <c r="BX133" s="751"/>
      <c r="BY133" s="751"/>
      <c r="BZ133" s="751"/>
      <c r="CA133" s="751"/>
      <c r="CB133" s="751"/>
      <c r="CC133" s="751"/>
      <c r="CD133" s="751"/>
      <c r="CE133" s="751"/>
      <c r="CF133" s="751"/>
      <c r="CG133" s="751"/>
    </row>
    <row r="134" spans="4:85">
      <c r="U134" s="786"/>
      <c r="V134" s="786"/>
      <c r="W134" s="786"/>
      <c r="X134" s="786"/>
      <c r="Y134" s="786"/>
      <c r="Z134" s="786"/>
      <c r="AA134" s="786"/>
      <c r="AB134" s="786"/>
      <c r="AC134" s="786"/>
      <c r="AD134" s="786"/>
      <c r="AF134" s="786"/>
      <c r="AG134" s="786"/>
      <c r="AH134" s="786"/>
      <c r="AI134" s="786"/>
      <c r="AJ134" s="786"/>
      <c r="AK134" s="786"/>
      <c r="AL134" s="786"/>
      <c r="AM134" s="786"/>
      <c r="AN134" s="786"/>
      <c r="AO134" s="786"/>
      <c r="BN134" s="751"/>
      <c r="BO134" s="751"/>
      <c r="BP134" s="751"/>
      <c r="BQ134" s="751"/>
      <c r="BR134" s="751"/>
      <c r="BS134" s="751"/>
      <c r="BT134" s="751"/>
      <c r="BU134" s="751"/>
      <c r="BV134" s="751"/>
      <c r="BW134" s="751"/>
      <c r="BX134" s="751"/>
      <c r="BY134" s="751"/>
      <c r="BZ134" s="751"/>
      <c r="CA134" s="751"/>
      <c r="CB134" s="751"/>
      <c r="CC134" s="751"/>
      <c r="CD134" s="751"/>
      <c r="CE134" s="751"/>
      <c r="CF134" s="751"/>
      <c r="CG134" s="751"/>
    </row>
    <row r="135" spans="4:85">
      <c r="D135" s="773" t="s">
        <v>2567</v>
      </c>
      <c r="O135" s="773" t="s">
        <v>2568</v>
      </c>
      <c r="Z135" s="786"/>
      <c r="AA135" s="773" t="s">
        <v>2569</v>
      </c>
      <c r="AL135" s="786"/>
      <c r="AM135" s="773" t="s">
        <v>2570</v>
      </c>
      <c r="AY135" s="773" t="s">
        <v>2571</v>
      </c>
      <c r="BN135" s="751"/>
      <c r="BO135" s="751"/>
      <c r="BP135" s="751"/>
      <c r="BQ135" s="751"/>
      <c r="BR135" s="751"/>
      <c r="BS135" s="751"/>
      <c r="BT135" s="751"/>
      <c r="BU135" s="751"/>
      <c r="BV135" s="751"/>
      <c r="BW135" s="751"/>
      <c r="BX135" s="751"/>
      <c r="BY135" s="751"/>
      <c r="BZ135" s="751"/>
      <c r="CA135" s="751"/>
      <c r="CB135" s="751"/>
      <c r="CC135" s="751"/>
      <c r="CD135" s="751"/>
      <c r="CE135" s="751"/>
      <c r="CF135" s="751"/>
      <c r="CG135" s="751"/>
    </row>
    <row r="136" spans="4:85">
      <c r="F136" s="751" t="s">
        <v>2572</v>
      </c>
      <c r="I136" s="753"/>
      <c r="U136" s="753"/>
      <c r="Z136" s="786"/>
      <c r="AG136" s="753"/>
      <c r="AL136" s="786"/>
      <c r="AS136" s="753"/>
      <c r="BE136" s="753"/>
      <c r="BN136" s="751"/>
      <c r="BO136" s="751"/>
      <c r="BP136" s="751"/>
      <c r="BQ136" s="751"/>
      <c r="BR136" s="751"/>
      <c r="BS136" s="751"/>
      <c r="BT136" s="751"/>
      <c r="BU136" s="751"/>
      <c r="BV136" s="751"/>
      <c r="BW136" s="751"/>
      <c r="BX136" s="751"/>
      <c r="BY136" s="751"/>
      <c r="BZ136" s="751"/>
      <c r="CA136" s="751"/>
      <c r="CB136" s="751"/>
      <c r="CC136" s="751"/>
      <c r="CD136" s="751"/>
      <c r="CE136" s="751"/>
      <c r="CF136" s="751"/>
      <c r="CG136" s="751"/>
    </row>
    <row r="137" spans="4:85">
      <c r="F137" s="751" t="s">
        <v>2573</v>
      </c>
      <c r="H137" s="1387" t="s">
        <v>2574</v>
      </c>
      <c r="I137" s="1387"/>
      <c r="J137" s="1387"/>
      <c r="K137" s="1387" t="s">
        <v>2575</v>
      </c>
      <c r="L137" s="1387"/>
      <c r="M137" s="793"/>
      <c r="T137" s="1387" t="s">
        <v>2574</v>
      </c>
      <c r="U137" s="1387"/>
      <c r="V137" s="1387"/>
      <c r="W137" s="1387" t="s">
        <v>2575</v>
      </c>
      <c r="X137" s="1387"/>
      <c r="Y137" s="793"/>
      <c r="Z137" s="786"/>
      <c r="AF137" s="1387" t="s">
        <v>2574</v>
      </c>
      <c r="AG137" s="1387"/>
      <c r="AH137" s="1387"/>
      <c r="AI137" s="1387" t="s">
        <v>2575</v>
      </c>
      <c r="AJ137" s="1387"/>
      <c r="AK137" s="793"/>
      <c r="AL137" s="786"/>
      <c r="AR137" s="1387" t="s">
        <v>2574</v>
      </c>
      <c r="AS137" s="1387"/>
      <c r="AT137" s="1387"/>
      <c r="AU137" s="1387" t="s">
        <v>2575</v>
      </c>
      <c r="AV137" s="1387"/>
      <c r="AW137" s="793"/>
      <c r="BD137" s="1387" t="s">
        <v>2574</v>
      </c>
      <c r="BE137" s="1387"/>
      <c r="BF137" s="1387"/>
      <c r="BG137" s="1387" t="s">
        <v>2575</v>
      </c>
      <c r="BH137" s="1387"/>
      <c r="BN137" s="751"/>
      <c r="BO137" s="751"/>
      <c r="BP137" s="751"/>
      <c r="BQ137" s="751"/>
      <c r="BR137" s="751"/>
      <c r="BS137" s="751"/>
      <c r="BT137" s="751"/>
      <c r="BU137" s="751"/>
      <c r="BV137" s="751"/>
      <c r="BW137" s="751"/>
      <c r="BX137" s="751"/>
      <c r="BY137" s="751"/>
      <c r="BZ137" s="751"/>
      <c r="CA137" s="751"/>
      <c r="CB137" s="751"/>
      <c r="CC137" s="751"/>
      <c r="CD137" s="751"/>
      <c r="CE137" s="751"/>
      <c r="CF137" s="751"/>
      <c r="CG137" s="751"/>
    </row>
    <row r="138" spans="4:85" ht="24.75">
      <c r="D138" s="794" t="s">
        <v>2576</v>
      </c>
      <c r="E138" s="795" t="s">
        <v>2577</v>
      </c>
      <c r="F138" s="796" t="s">
        <v>2578</v>
      </c>
      <c r="G138" s="797" t="s">
        <v>2579</v>
      </c>
      <c r="H138" s="797" t="s">
        <v>2580</v>
      </c>
      <c r="I138" s="797" t="s">
        <v>2581</v>
      </c>
      <c r="J138" s="797" t="s">
        <v>2582</v>
      </c>
      <c r="K138" s="797" t="s">
        <v>2581</v>
      </c>
      <c r="L138" s="797" t="s">
        <v>2583</v>
      </c>
      <c r="M138" s="797" t="s">
        <v>2584</v>
      </c>
      <c r="O138" s="798" t="s">
        <v>2576</v>
      </c>
      <c r="P138" s="795" t="s">
        <v>2577</v>
      </c>
      <c r="Q138" s="753" t="s">
        <v>2585</v>
      </c>
      <c r="R138" s="797" t="s">
        <v>2579</v>
      </c>
      <c r="S138" s="753" t="s">
        <v>1158</v>
      </c>
      <c r="T138" s="797" t="s">
        <v>2580</v>
      </c>
      <c r="U138" s="793" t="s">
        <v>2581</v>
      </c>
      <c r="V138" s="793" t="s">
        <v>2582</v>
      </c>
      <c r="W138" s="793" t="s">
        <v>2581</v>
      </c>
      <c r="X138" s="793" t="s">
        <v>2583</v>
      </c>
      <c r="Y138" s="797" t="s">
        <v>2584</v>
      </c>
      <c r="AA138" s="798" t="s">
        <v>2576</v>
      </c>
      <c r="AB138" s="795" t="s">
        <v>2577</v>
      </c>
      <c r="AC138" s="753" t="s">
        <v>2585</v>
      </c>
      <c r="AD138" s="753" t="s">
        <v>1158</v>
      </c>
      <c r="AE138" s="797" t="s">
        <v>2579</v>
      </c>
      <c r="AF138" s="797" t="s">
        <v>2580</v>
      </c>
      <c r="AG138" s="793" t="s">
        <v>2581</v>
      </c>
      <c r="AH138" s="793" t="s">
        <v>2582</v>
      </c>
      <c r="AI138" s="793" t="s">
        <v>2581</v>
      </c>
      <c r="AJ138" s="793" t="s">
        <v>2583</v>
      </c>
      <c r="AK138" s="797" t="s">
        <v>2584</v>
      </c>
      <c r="AL138" s="786"/>
      <c r="AM138" s="798" t="s">
        <v>2576</v>
      </c>
      <c r="AN138" s="795" t="s">
        <v>2577</v>
      </c>
      <c r="AO138" s="753" t="s">
        <v>2585</v>
      </c>
      <c r="AP138" s="753" t="s">
        <v>1158</v>
      </c>
      <c r="AQ138" s="797" t="s">
        <v>2579</v>
      </c>
      <c r="AR138" s="797" t="s">
        <v>2580</v>
      </c>
      <c r="AS138" s="793" t="s">
        <v>2581</v>
      </c>
      <c r="AT138" s="793" t="s">
        <v>2582</v>
      </c>
      <c r="AU138" s="793" t="s">
        <v>2581</v>
      </c>
      <c r="AV138" s="793" t="s">
        <v>2583</v>
      </c>
      <c r="AW138" s="797" t="s">
        <v>2584</v>
      </c>
      <c r="AX138" s="786"/>
      <c r="AY138" s="794" t="s">
        <v>2576</v>
      </c>
      <c r="AZ138" s="795" t="s">
        <v>2577</v>
      </c>
      <c r="BA138" s="753" t="s">
        <v>2585</v>
      </c>
      <c r="BB138" s="753" t="s">
        <v>1158</v>
      </c>
      <c r="BC138" s="797" t="s">
        <v>2579</v>
      </c>
      <c r="BD138" s="797" t="s">
        <v>2580</v>
      </c>
      <c r="BE138" s="793" t="s">
        <v>2581</v>
      </c>
      <c r="BF138" s="793" t="s">
        <v>2582</v>
      </c>
      <c r="BG138" s="793" t="s">
        <v>2581</v>
      </c>
      <c r="BH138" s="793" t="s">
        <v>2583</v>
      </c>
      <c r="BI138" s="797" t="s">
        <v>2584</v>
      </c>
      <c r="BN138" s="751"/>
      <c r="BO138" s="751"/>
      <c r="BP138" s="751"/>
      <c r="BQ138" s="751"/>
      <c r="BR138" s="751"/>
      <c r="BS138" s="751"/>
      <c r="BT138" s="751"/>
      <c r="BU138" s="751"/>
      <c r="BV138" s="751"/>
      <c r="BW138" s="751"/>
      <c r="BX138" s="751"/>
      <c r="BY138" s="751"/>
      <c r="BZ138" s="751"/>
      <c r="CA138" s="751"/>
      <c r="CB138" s="751"/>
      <c r="CC138" s="751"/>
      <c r="CD138" s="751"/>
      <c r="CE138" s="751"/>
      <c r="CF138" s="751"/>
      <c r="CG138" s="751"/>
    </row>
    <row r="139" spans="4:85" ht="49.5">
      <c r="D139" s="775"/>
      <c r="E139" s="775"/>
      <c r="F139" s="775"/>
      <c r="G139" s="775"/>
      <c r="H139" s="799" t="s">
        <v>2586</v>
      </c>
      <c r="I139" s="775"/>
      <c r="J139" s="775"/>
      <c r="K139" s="775"/>
      <c r="L139" s="775"/>
      <c r="M139" s="800"/>
      <c r="O139" s="775"/>
      <c r="P139" s="775"/>
      <c r="Q139" s="775"/>
      <c r="R139" s="775"/>
      <c r="S139" s="775"/>
      <c r="T139" s="799" t="s">
        <v>2586</v>
      </c>
      <c r="U139" s="775"/>
      <c r="V139" s="775"/>
      <c r="W139" s="775"/>
      <c r="X139" s="775"/>
      <c r="Y139" s="800"/>
      <c r="AA139" s="775"/>
      <c r="AB139" s="775"/>
      <c r="AC139" s="775"/>
      <c r="AD139" s="775"/>
      <c r="AE139" s="775"/>
      <c r="AF139" s="799" t="s">
        <v>2586</v>
      </c>
      <c r="AG139" s="775"/>
      <c r="AH139" s="775"/>
      <c r="AI139" s="775"/>
      <c r="AJ139" s="775"/>
      <c r="AK139" s="800"/>
      <c r="AL139" s="786"/>
      <c r="AM139" s="775"/>
      <c r="AN139" s="775"/>
      <c r="AO139" s="775"/>
      <c r="AP139" s="775"/>
      <c r="AQ139" s="775"/>
      <c r="AR139" s="799" t="s">
        <v>2586</v>
      </c>
      <c r="AS139" s="775"/>
      <c r="AT139" s="775"/>
      <c r="AU139" s="775"/>
      <c r="AV139" s="775"/>
      <c r="AW139" s="800"/>
      <c r="AX139" s="786"/>
      <c r="AY139" s="775"/>
      <c r="AZ139" s="775"/>
      <c r="BA139" s="775"/>
      <c r="BB139" s="775"/>
      <c r="BC139" s="775"/>
      <c r="BD139" s="799" t="s">
        <v>2586</v>
      </c>
      <c r="BE139" s="775"/>
      <c r="BF139" s="775"/>
      <c r="BG139" s="775"/>
      <c r="BH139" s="775"/>
      <c r="BI139" s="800"/>
      <c r="BN139" s="751"/>
      <c r="BO139" s="751"/>
      <c r="BP139" s="751"/>
      <c r="BQ139" s="751"/>
      <c r="BR139" s="751"/>
      <c r="BS139" s="751"/>
      <c r="BT139" s="751"/>
      <c r="BU139" s="751"/>
      <c r="BV139" s="751"/>
      <c r="BW139" s="751"/>
      <c r="BX139" s="751"/>
      <c r="BY139" s="751"/>
      <c r="BZ139" s="751"/>
      <c r="CA139" s="751"/>
      <c r="CB139" s="751"/>
      <c r="CC139" s="751"/>
      <c r="CD139" s="751"/>
      <c r="CE139" s="751"/>
      <c r="CF139" s="751"/>
      <c r="CG139" s="751"/>
    </row>
    <row r="140" spans="4:85">
      <c r="D140" s="775"/>
      <c r="E140" s="775"/>
      <c r="F140" s="775"/>
      <c r="G140" s="801"/>
      <c r="H140" s="775"/>
      <c r="I140" s="775"/>
      <c r="J140" s="775"/>
      <c r="K140" s="775"/>
      <c r="L140" s="775"/>
      <c r="M140" s="777">
        <f t="shared" ref="M140:M165" si="22">L140-J140</f>
        <v>0</v>
      </c>
      <c r="O140" s="775"/>
      <c r="P140" s="775"/>
      <c r="Q140" s="775"/>
      <c r="R140" s="801"/>
      <c r="S140" s="775"/>
      <c r="T140" s="775"/>
      <c r="U140" s="775"/>
      <c r="V140" s="775"/>
      <c r="W140" s="775"/>
      <c r="X140" s="775"/>
      <c r="Y140" s="777">
        <f t="shared" ref="Y140:Y165" si="23">X140-V140</f>
        <v>0</v>
      </c>
      <c r="AA140" s="775"/>
      <c r="AB140" s="775"/>
      <c r="AC140" s="775"/>
      <c r="AD140" s="775"/>
      <c r="AE140" s="801"/>
      <c r="AF140" s="775"/>
      <c r="AG140" s="775"/>
      <c r="AH140" s="775"/>
      <c r="AI140" s="775"/>
      <c r="AJ140" s="775"/>
      <c r="AK140" s="777">
        <f t="shared" ref="AK140:AK165" si="24">AJ140-AH140</f>
        <v>0</v>
      </c>
      <c r="AL140" s="786"/>
      <c r="AM140" s="775"/>
      <c r="AN140" s="775"/>
      <c r="AO140" s="775"/>
      <c r="AP140" s="775"/>
      <c r="AQ140" s="801"/>
      <c r="AR140" s="775"/>
      <c r="AS140" s="775"/>
      <c r="AT140" s="775"/>
      <c r="AU140" s="775"/>
      <c r="AV140" s="775"/>
      <c r="AW140" s="777">
        <f t="shared" ref="AW140:AW165" si="25">AV140-AT140</f>
        <v>0</v>
      </c>
      <c r="AX140" s="786"/>
      <c r="AY140" s="775"/>
      <c r="AZ140" s="775"/>
      <c r="BA140" s="775"/>
      <c r="BB140" s="775"/>
      <c r="BC140" s="801"/>
      <c r="BD140" s="775"/>
      <c r="BE140" s="775"/>
      <c r="BF140" s="775"/>
      <c r="BG140" s="775"/>
      <c r="BH140" s="775"/>
      <c r="BI140" s="782">
        <f>BH140-BF140</f>
        <v>0</v>
      </c>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row>
    <row r="141" spans="4:85">
      <c r="D141" s="775"/>
      <c r="E141" s="775"/>
      <c r="F141" s="775"/>
      <c r="G141" s="775"/>
      <c r="H141" s="775"/>
      <c r="I141" s="775"/>
      <c r="J141" s="775"/>
      <c r="K141" s="775"/>
      <c r="L141" s="775"/>
      <c r="M141" s="777">
        <f t="shared" si="22"/>
        <v>0</v>
      </c>
      <c r="O141" s="775"/>
      <c r="P141" s="775"/>
      <c r="Q141" s="775"/>
      <c r="R141" s="775"/>
      <c r="S141" s="775"/>
      <c r="T141" s="775"/>
      <c r="U141" s="775"/>
      <c r="V141" s="775"/>
      <c r="W141" s="775"/>
      <c r="X141" s="775"/>
      <c r="Y141" s="777">
        <f t="shared" si="23"/>
        <v>0</v>
      </c>
      <c r="AA141" s="775"/>
      <c r="AB141" s="775"/>
      <c r="AC141" s="775"/>
      <c r="AD141" s="775"/>
      <c r="AE141" s="775"/>
      <c r="AF141" s="775"/>
      <c r="AG141" s="775"/>
      <c r="AH141" s="775"/>
      <c r="AI141" s="775"/>
      <c r="AJ141" s="775"/>
      <c r="AK141" s="777">
        <f t="shared" si="24"/>
        <v>0</v>
      </c>
      <c r="AL141" s="786"/>
      <c r="AM141" s="775"/>
      <c r="AN141" s="775"/>
      <c r="AO141" s="775"/>
      <c r="AP141" s="775"/>
      <c r="AQ141" s="775"/>
      <c r="AR141" s="775"/>
      <c r="AS141" s="775"/>
      <c r="AT141" s="775"/>
      <c r="AU141" s="775"/>
      <c r="AV141" s="775"/>
      <c r="AW141" s="777">
        <f t="shared" si="25"/>
        <v>0</v>
      </c>
      <c r="AX141" s="786"/>
      <c r="AY141" s="775"/>
      <c r="AZ141" s="775"/>
      <c r="BA141" s="775"/>
      <c r="BB141" s="775"/>
      <c r="BC141" s="775"/>
      <c r="BD141" s="775"/>
      <c r="BE141" s="775"/>
      <c r="BF141" s="775"/>
      <c r="BG141" s="775"/>
      <c r="BH141" s="775"/>
      <c r="BI141" s="777">
        <f t="shared" ref="BI141:BI166" si="26">BH141-BF141</f>
        <v>0</v>
      </c>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row>
    <row r="142" spans="4:85">
      <c r="D142" s="775"/>
      <c r="E142" s="775"/>
      <c r="F142" s="775"/>
      <c r="G142" s="775"/>
      <c r="H142" s="775"/>
      <c r="I142" s="775"/>
      <c r="J142" s="775"/>
      <c r="K142" s="775"/>
      <c r="L142" s="775"/>
      <c r="M142" s="777">
        <f t="shared" si="22"/>
        <v>0</v>
      </c>
      <c r="O142" s="775"/>
      <c r="P142" s="775"/>
      <c r="Q142" s="775"/>
      <c r="R142" s="775"/>
      <c r="S142" s="775"/>
      <c r="T142" s="775"/>
      <c r="U142" s="775"/>
      <c r="V142" s="775"/>
      <c r="W142" s="775"/>
      <c r="X142" s="775"/>
      <c r="Y142" s="777">
        <f t="shared" si="23"/>
        <v>0</v>
      </c>
      <c r="AA142" s="775"/>
      <c r="AB142" s="775"/>
      <c r="AC142" s="775"/>
      <c r="AD142" s="775"/>
      <c r="AE142" s="775"/>
      <c r="AF142" s="775"/>
      <c r="AG142" s="775"/>
      <c r="AH142" s="775"/>
      <c r="AI142" s="775"/>
      <c r="AJ142" s="775"/>
      <c r="AK142" s="777">
        <f t="shared" si="24"/>
        <v>0</v>
      </c>
      <c r="AL142" s="786"/>
      <c r="AM142" s="775"/>
      <c r="AN142" s="775"/>
      <c r="AO142" s="775"/>
      <c r="AP142" s="775"/>
      <c r="AQ142" s="775"/>
      <c r="AR142" s="775"/>
      <c r="AS142" s="775"/>
      <c r="AT142" s="775"/>
      <c r="AU142" s="775"/>
      <c r="AV142" s="775"/>
      <c r="AW142" s="777">
        <f t="shared" si="25"/>
        <v>0</v>
      </c>
      <c r="AX142" s="786"/>
      <c r="AY142" s="775"/>
      <c r="AZ142" s="775"/>
      <c r="BA142" s="775"/>
      <c r="BB142" s="775"/>
      <c r="BC142" s="775"/>
      <c r="BD142" s="775"/>
      <c r="BE142" s="775"/>
      <c r="BF142" s="775"/>
      <c r="BG142" s="775"/>
      <c r="BH142" s="775"/>
      <c r="BI142" s="777">
        <f t="shared" si="26"/>
        <v>0</v>
      </c>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row>
    <row r="143" spans="4:85">
      <c r="D143" s="775"/>
      <c r="E143" s="775"/>
      <c r="F143" s="775"/>
      <c r="G143" s="775"/>
      <c r="H143" s="775"/>
      <c r="I143" s="775"/>
      <c r="J143" s="775"/>
      <c r="K143" s="775"/>
      <c r="L143" s="775"/>
      <c r="M143" s="777">
        <f t="shared" si="22"/>
        <v>0</v>
      </c>
      <c r="O143" s="775"/>
      <c r="P143" s="775"/>
      <c r="Q143" s="775"/>
      <c r="R143" s="775"/>
      <c r="S143" s="775"/>
      <c r="T143" s="775"/>
      <c r="U143" s="775"/>
      <c r="V143" s="775"/>
      <c r="W143" s="775"/>
      <c r="X143" s="775"/>
      <c r="Y143" s="777">
        <f t="shared" si="23"/>
        <v>0</v>
      </c>
      <c r="AA143" s="775"/>
      <c r="AB143" s="775"/>
      <c r="AC143" s="775"/>
      <c r="AD143" s="775"/>
      <c r="AE143" s="775"/>
      <c r="AF143" s="775"/>
      <c r="AG143" s="775"/>
      <c r="AH143" s="775"/>
      <c r="AI143" s="775"/>
      <c r="AJ143" s="775"/>
      <c r="AK143" s="777">
        <f t="shared" si="24"/>
        <v>0</v>
      </c>
      <c r="AL143" s="786"/>
      <c r="AM143" s="775"/>
      <c r="AN143" s="775"/>
      <c r="AO143" s="775"/>
      <c r="AP143" s="775"/>
      <c r="AQ143" s="775"/>
      <c r="AR143" s="775"/>
      <c r="AS143" s="775"/>
      <c r="AT143" s="775"/>
      <c r="AU143" s="775"/>
      <c r="AV143" s="775"/>
      <c r="AW143" s="777">
        <f t="shared" si="25"/>
        <v>0</v>
      </c>
      <c r="AX143" s="786"/>
      <c r="AY143" s="775"/>
      <c r="AZ143" s="775"/>
      <c r="BA143" s="775"/>
      <c r="BB143" s="775"/>
      <c r="BC143" s="775"/>
      <c r="BD143" s="775"/>
      <c r="BE143" s="775"/>
      <c r="BF143" s="775"/>
      <c r="BG143" s="775"/>
      <c r="BH143" s="775"/>
      <c r="BI143" s="777">
        <f t="shared" si="26"/>
        <v>0</v>
      </c>
      <c r="BN143" s="751"/>
      <c r="BO143" s="751"/>
      <c r="BP143" s="751"/>
      <c r="BQ143" s="751"/>
      <c r="BR143" s="751"/>
      <c r="BS143" s="751"/>
      <c r="BT143" s="751"/>
      <c r="BU143" s="751"/>
      <c r="BV143" s="751"/>
      <c r="BW143" s="751"/>
      <c r="BX143" s="751"/>
      <c r="BY143" s="751"/>
      <c r="BZ143" s="751"/>
      <c r="CA143" s="751"/>
      <c r="CB143" s="751"/>
      <c r="CC143" s="751"/>
      <c r="CD143" s="751"/>
      <c r="CE143" s="751"/>
      <c r="CF143" s="751"/>
      <c r="CG143" s="751"/>
    </row>
    <row r="144" spans="4:85">
      <c r="D144" s="775"/>
      <c r="E144" s="775"/>
      <c r="F144" s="775"/>
      <c r="G144" s="775"/>
      <c r="H144" s="775"/>
      <c r="I144" s="775"/>
      <c r="J144" s="775"/>
      <c r="K144" s="775"/>
      <c r="L144" s="775"/>
      <c r="M144" s="777">
        <f t="shared" si="22"/>
        <v>0</v>
      </c>
      <c r="O144" s="775"/>
      <c r="P144" s="775"/>
      <c r="Q144" s="775"/>
      <c r="R144" s="775"/>
      <c r="S144" s="775"/>
      <c r="T144" s="775"/>
      <c r="U144" s="775"/>
      <c r="V144" s="775"/>
      <c r="W144" s="775"/>
      <c r="X144" s="775"/>
      <c r="Y144" s="777">
        <f t="shared" si="23"/>
        <v>0</v>
      </c>
      <c r="AA144" s="775"/>
      <c r="AB144" s="775"/>
      <c r="AC144" s="775"/>
      <c r="AD144" s="775"/>
      <c r="AE144" s="775"/>
      <c r="AF144" s="775"/>
      <c r="AG144" s="775"/>
      <c r="AH144" s="775"/>
      <c r="AI144" s="775"/>
      <c r="AJ144" s="775"/>
      <c r="AK144" s="777">
        <f t="shared" si="24"/>
        <v>0</v>
      </c>
      <c r="AL144" s="786"/>
      <c r="AM144" s="775"/>
      <c r="AN144" s="775"/>
      <c r="AO144" s="775"/>
      <c r="AP144" s="775"/>
      <c r="AQ144" s="775"/>
      <c r="AR144" s="775"/>
      <c r="AS144" s="775"/>
      <c r="AT144" s="775"/>
      <c r="AU144" s="775"/>
      <c r="AV144" s="775"/>
      <c r="AW144" s="777">
        <f t="shared" si="25"/>
        <v>0</v>
      </c>
      <c r="AX144" s="786"/>
      <c r="AY144" s="775"/>
      <c r="AZ144" s="775"/>
      <c r="BA144" s="775"/>
      <c r="BB144" s="775"/>
      <c r="BC144" s="775"/>
      <c r="BD144" s="775"/>
      <c r="BE144" s="775"/>
      <c r="BF144" s="775"/>
      <c r="BG144" s="775"/>
      <c r="BH144" s="775"/>
      <c r="BI144" s="777">
        <f t="shared" si="26"/>
        <v>0</v>
      </c>
      <c r="BN144" s="751"/>
      <c r="BO144" s="751"/>
      <c r="BP144" s="751"/>
      <c r="BQ144" s="751"/>
      <c r="BR144" s="751"/>
      <c r="BS144" s="751"/>
      <c r="BT144" s="751"/>
      <c r="BU144" s="751"/>
      <c r="BV144" s="751"/>
      <c r="BW144" s="751"/>
      <c r="BX144" s="751"/>
      <c r="BY144" s="751"/>
      <c r="BZ144" s="751"/>
      <c r="CA144" s="751"/>
      <c r="CB144" s="751"/>
      <c r="CC144" s="751"/>
      <c r="CD144" s="751"/>
      <c r="CE144" s="751"/>
      <c r="CF144" s="751"/>
      <c r="CG144" s="751"/>
    </row>
    <row r="145" spans="4:85">
      <c r="D145" s="775"/>
      <c r="E145" s="775"/>
      <c r="F145" s="775"/>
      <c r="G145" s="775"/>
      <c r="H145" s="775"/>
      <c r="I145" s="775"/>
      <c r="J145" s="775"/>
      <c r="K145" s="775"/>
      <c r="L145" s="775"/>
      <c r="M145" s="777">
        <f t="shared" si="22"/>
        <v>0</v>
      </c>
      <c r="O145" s="775"/>
      <c r="P145" s="775"/>
      <c r="Q145" s="775"/>
      <c r="R145" s="775"/>
      <c r="S145" s="775"/>
      <c r="T145" s="775"/>
      <c r="U145" s="775"/>
      <c r="V145" s="775"/>
      <c r="W145" s="775"/>
      <c r="X145" s="775"/>
      <c r="Y145" s="777">
        <f t="shared" si="23"/>
        <v>0</v>
      </c>
      <c r="AA145" s="775"/>
      <c r="AB145" s="775"/>
      <c r="AC145" s="775"/>
      <c r="AD145" s="775"/>
      <c r="AE145" s="775"/>
      <c r="AF145" s="775"/>
      <c r="AG145" s="775"/>
      <c r="AH145" s="775"/>
      <c r="AI145" s="775"/>
      <c r="AJ145" s="775"/>
      <c r="AK145" s="777">
        <f t="shared" si="24"/>
        <v>0</v>
      </c>
      <c r="AL145" s="786"/>
      <c r="AM145" s="775"/>
      <c r="AN145" s="775"/>
      <c r="AO145" s="775"/>
      <c r="AP145" s="775"/>
      <c r="AQ145" s="775"/>
      <c r="AR145" s="775"/>
      <c r="AS145" s="775"/>
      <c r="AT145" s="775"/>
      <c r="AU145" s="775"/>
      <c r="AV145" s="775"/>
      <c r="AW145" s="777">
        <f t="shared" si="25"/>
        <v>0</v>
      </c>
      <c r="AX145" s="786"/>
      <c r="AY145" s="775"/>
      <c r="AZ145" s="775"/>
      <c r="BA145" s="775"/>
      <c r="BB145" s="775"/>
      <c r="BC145" s="775"/>
      <c r="BD145" s="775"/>
      <c r="BE145" s="775"/>
      <c r="BF145" s="775"/>
      <c r="BG145" s="775"/>
      <c r="BH145" s="775"/>
      <c r="BI145" s="777">
        <f t="shared" si="26"/>
        <v>0</v>
      </c>
      <c r="BN145" s="751"/>
      <c r="BO145" s="751"/>
      <c r="BP145" s="751"/>
      <c r="BQ145" s="751"/>
      <c r="BR145" s="751"/>
      <c r="BS145" s="751"/>
      <c r="BT145" s="751"/>
      <c r="BU145" s="751"/>
      <c r="BV145" s="751"/>
      <c r="BW145" s="751"/>
      <c r="BX145" s="751"/>
      <c r="BY145" s="751"/>
      <c r="BZ145" s="751"/>
      <c r="CA145" s="751"/>
      <c r="CB145" s="751"/>
      <c r="CC145" s="751"/>
      <c r="CD145" s="751"/>
      <c r="CE145" s="751"/>
      <c r="CF145" s="751"/>
      <c r="CG145" s="751"/>
    </row>
    <row r="146" spans="4:85">
      <c r="D146" s="775"/>
      <c r="E146" s="775"/>
      <c r="F146" s="775"/>
      <c r="G146" s="775"/>
      <c r="H146" s="775"/>
      <c r="I146" s="775"/>
      <c r="J146" s="775"/>
      <c r="K146" s="775"/>
      <c r="L146" s="775"/>
      <c r="M146" s="777">
        <f t="shared" si="22"/>
        <v>0</v>
      </c>
      <c r="O146" s="775"/>
      <c r="P146" s="775"/>
      <c r="Q146" s="775"/>
      <c r="R146" s="775"/>
      <c r="S146" s="775"/>
      <c r="T146" s="775"/>
      <c r="U146" s="775"/>
      <c r="V146" s="775"/>
      <c r="W146" s="775"/>
      <c r="X146" s="775"/>
      <c r="Y146" s="777">
        <f t="shared" si="23"/>
        <v>0</v>
      </c>
      <c r="AA146" s="775"/>
      <c r="AB146" s="775"/>
      <c r="AC146" s="775"/>
      <c r="AD146" s="775"/>
      <c r="AE146" s="775"/>
      <c r="AF146" s="775"/>
      <c r="AG146" s="775"/>
      <c r="AH146" s="775"/>
      <c r="AI146" s="775"/>
      <c r="AJ146" s="775"/>
      <c r="AK146" s="777">
        <f t="shared" si="24"/>
        <v>0</v>
      </c>
      <c r="AL146" s="786"/>
      <c r="AM146" s="775"/>
      <c r="AN146" s="775"/>
      <c r="AO146" s="775"/>
      <c r="AP146" s="775"/>
      <c r="AQ146" s="775"/>
      <c r="AR146" s="775"/>
      <c r="AS146" s="775"/>
      <c r="AT146" s="775"/>
      <c r="AU146" s="775"/>
      <c r="AV146" s="775"/>
      <c r="AW146" s="777">
        <f t="shared" si="25"/>
        <v>0</v>
      </c>
      <c r="AX146" s="786"/>
      <c r="AY146" s="775"/>
      <c r="AZ146" s="775"/>
      <c r="BA146" s="775"/>
      <c r="BB146" s="775"/>
      <c r="BC146" s="775"/>
      <c r="BD146" s="775"/>
      <c r="BE146" s="775"/>
      <c r="BF146" s="775"/>
      <c r="BG146" s="775"/>
      <c r="BH146" s="775"/>
      <c r="BI146" s="777">
        <f t="shared" si="26"/>
        <v>0</v>
      </c>
      <c r="BN146" s="751"/>
      <c r="BO146" s="751"/>
      <c r="BP146" s="751"/>
      <c r="BQ146" s="751"/>
      <c r="BR146" s="751"/>
      <c r="BS146" s="751"/>
      <c r="BT146" s="751"/>
      <c r="BU146" s="751"/>
      <c r="BV146" s="751"/>
      <c r="BW146" s="751"/>
      <c r="BX146" s="751"/>
      <c r="BY146" s="751"/>
      <c r="BZ146" s="751"/>
      <c r="CA146" s="751"/>
      <c r="CB146" s="751"/>
      <c r="CC146" s="751"/>
      <c r="CD146" s="751"/>
      <c r="CE146" s="751"/>
      <c r="CF146" s="751"/>
      <c r="CG146" s="751"/>
    </row>
    <row r="147" spans="4:85">
      <c r="D147" s="775"/>
      <c r="E147" s="775"/>
      <c r="F147" s="775"/>
      <c r="G147" s="775"/>
      <c r="H147" s="775"/>
      <c r="I147" s="775"/>
      <c r="J147" s="775"/>
      <c r="K147" s="775"/>
      <c r="L147" s="775"/>
      <c r="M147" s="777">
        <f t="shared" si="22"/>
        <v>0</v>
      </c>
      <c r="O147" s="775"/>
      <c r="P147" s="775"/>
      <c r="Q147" s="775"/>
      <c r="R147" s="775"/>
      <c r="S147" s="775"/>
      <c r="T147" s="775"/>
      <c r="U147" s="775"/>
      <c r="V147" s="775"/>
      <c r="W147" s="775"/>
      <c r="X147" s="775"/>
      <c r="Y147" s="777">
        <f t="shared" si="23"/>
        <v>0</v>
      </c>
      <c r="AA147" s="775"/>
      <c r="AB147" s="775"/>
      <c r="AC147" s="775"/>
      <c r="AD147" s="775"/>
      <c r="AE147" s="775"/>
      <c r="AF147" s="775"/>
      <c r="AG147" s="775"/>
      <c r="AH147" s="775"/>
      <c r="AI147" s="775"/>
      <c r="AJ147" s="775"/>
      <c r="AK147" s="777">
        <f t="shared" si="24"/>
        <v>0</v>
      </c>
      <c r="AL147" s="786"/>
      <c r="AM147" s="775"/>
      <c r="AN147" s="775"/>
      <c r="AO147" s="775"/>
      <c r="AP147" s="775"/>
      <c r="AQ147" s="775"/>
      <c r="AR147" s="775"/>
      <c r="AS147" s="775"/>
      <c r="AT147" s="775"/>
      <c r="AU147" s="775"/>
      <c r="AV147" s="775"/>
      <c r="AW147" s="777">
        <f t="shared" si="25"/>
        <v>0</v>
      </c>
      <c r="AX147" s="786"/>
      <c r="AY147" s="775"/>
      <c r="AZ147" s="775"/>
      <c r="BA147" s="775"/>
      <c r="BB147" s="775"/>
      <c r="BC147" s="775"/>
      <c r="BD147" s="775"/>
      <c r="BE147" s="775"/>
      <c r="BF147" s="775"/>
      <c r="BG147" s="775"/>
      <c r="BH147" s="775"/>
      <c r="BI147" s="777">
        <f t="shared" si="26"/>
        <v>0</v>
      </c>
      <c r="BN147" s="751"/>
      <c r="BO147" s="751"/>
      <c r="BP147" s="751"/>
      <c r="BQ147" s="751"/>
      <c r="BR147" s="751"/>
      <c r="BS147" s="751"/>
      <c r="BT147" s="751"/>
      <c r="BU147" s="751"/>
      <c r="BV147" s="751"/>
      <c r="BW147" s="751"/>
      <c r="BX147" s="751"/>
      <c r="BY147" s="751"/>
      <c r="BZ147" s="751"/>
      <c r="CA147" s="751"/>
      <c r="CB147" s="751"/>
      <c r="CC147" s="751"/>
      <c r="CD147" s="751"/>
      <c r="CE147" s="751"/>
      <c r="CF147" s="751"/>
      <c r="CG147" s="751"/>
    </row>
    <row r="148" spans="4:85">
      <c r="D148" s="775"/>
      <c r="E148" s="775"/>
      <c r="F148" s="775"/>
      <c r="G148" s="775"/>
      <c r="H148" s="775"/>
      <c r="I148" s="775"/>
      <c r="J148" s="775"/>
      <c r="K148" s="775"/>
      <c r="L148" s="775"/>
      <c r="M148" s="777">
        <f t="shared" si="22"/>
        <v>0</v>
      </c>
      <c r="O148" s="775"/>
      <c r="P148" s="775"/>
      <c r="Q148" s="775"/>
      <c r="R148" s="775"/>
      <c r="S148" s="775"/>
      <c r="T148" s="775"/>
      <c r="U148" s="775"/>
      <c r="V148" s="775"/>
      <c r="W148" s="775"/>
      <c r="X148" s="775"/>
      <c r="Y148" s="777">
        <f t="shared" si="23"/>
        <v>0</v>
      </c>
      <c r="AA148" s="775"/>
      <c r="AB148" s="775"/>
      <c r="AC148" s="775"/>
      <c r="AD148" s="775"/>
      <c r="AE148" s="775"/>
      <c r="AF148" s="775"/>
      <c r="AG148" s="775"/>
      <c r="AH148" s="775"/>
      <c r="AI148" s="775"/>
      <c r="AJ148" s="775"/>
      <c r="AK148" s="777">
        <f t="shared" si="24"/>
        <v>0</v>
      </c>
      <c r="AL148" s="786"/>
      <c r="AM148" s="775"/>
      <c r="AN148" s="775"/>
      <c r="AO148" s="775"/>
      <c r="AP148" s="775"/>
      <c r="AQ148" s="775"/>
      <c r="AR148" s="775"/>
      <c r="AS148" s="775"/>
      <c r="AT148" s="775"/>
      <c r="AU148" s="775"/>
      <c r="AV148" s="775"/>
      <c r="AW148" s="777">
        <f t="shared" si="25"/>
        <v>0</v>
      </c>
      <c r="AX148" s="786"/>
      <c r="AY148" s="775"/>
      <c r="AZ148" s="775"/>
      <c r="BA148" s="775"/>
      <c r="BB148" s="775"/>
      <c r="BC148" s="775"/>
      <c r="BD148" s="775"/>
      <c r="BE148" s="775"/>
      <c r="BF148" s="775"/>
      <c r="BG148" s="775"/>
      <c r="BH148" s="775"/>
      <c r="BI148" s="777">
        <f t="shared" si="26"/>
        <v>0</v>
      </c>
      <c r="BN148" s="751"/>
      <c r="BO148" s="751"/>
      <c r="BP148" s="751"/>
      <c r="BQ148" s="751"/>
      <c r="BR148" s="751"/>
      <c r="BS148" s="751"/>
      <c r="BT148" s="751"/>
      <c r="BU148" s="751"/>
      <c r="BV148" s="751"/>
      <c r="BW148" s="751"/>
      <c r="BX148" s="751"/>
      <c r="BY148" s="751"/>
      <c r="BZ148" s="751"/>
      <c r="CA148" s="751"/>
      <c r="CB148" s="751"/>
      <c r="CC148" s="751"/>
      <c r="CD148" s="751"/>
      <c r="CE148" s="751"/>
      <c r="CF148" s="751"/>
      <c r="CG148" s="751"/>
    </row>
    <row r="149" spans="4:85">
      <c r="D149" s="775"/>
      <c r="E149" s="775"/>
      <c r="F149" s="775"/>
      <c r="G149" s="775"/>
      <c r="H149" s="775"/>
      <c r="I149" s="775"/>
      <c r="J149" s="775"/>
      <c r="K149" s="775"/>
      <c r="L149" s="775"/>
      <c r="M149" s="777">
        <f t="shared" si="22"/>
        <v>0</v>
      </c>
      <c r="O149" s="775"/>
      <c r="P149" s="775"/>
      <c r="Q149" s="775"/>
      <c r="R149" s="775"/>
      <c r="S149" s="775"/>
      <c r="T149" s="775"/>
      <c r="U149" s="775"/>
      <c r="V149" s="775"/>
      <c r="W149" s="775"/>
      <c r="X149" s="775"/>
      <c r="Y149" s="777">
        <f t="shared" si="23"/>
        <v>0</v>
      </c>
      <c r="AA149" s="775"/>
      <c r="AB149" s="775"/>
      <c r="AC149" s="775"/>
      <c r="AD149" s="775"/>
      <c r="AE149" s="775"/>
      <c r="AF149" s="775"/>
      <c r="AG149" s="775"/>
      <c r="AH149" s="775"/>
      <c r="AI149" s="775"/>
      <c r="AJ149" s="775"/>
      <c r="AK149" s="777">
        <f t="shared" si="24"/>
        <v>0</v>
      </c>
      <c r="AL149" s="786"/>
      <c r="AM149" s="775"/>
      <c r="AN149" s="775"/>
      <c r="AO149" s="775"/>
      <c r="AP149" s="775"/>
      <c r="AQ149" s="775"/>
      <c r="AR149" s="775"/>
      <c r="AS149" s="775"/>
      <c r="AT149" s="775"/>
      <c r="AU149" s="775"/>
      <c r="AV149" s="775"/>
      <c r="AW149" s="777">
        <f t="shared" si="25"/>
        <v>0</v>
      </c>
      <c r="AX149" s="786"/>
      <c r="AY149" s="775"/>
      <c r="AZ149" s="775"/>
      <c r="BA149" s="775"/>
      <c r="BB149" s="775"/>
      <c r="BC149" s="775"/>
      <c r="BD149" s="775"/>
      <c r="BE149" s="775"/>
      <c r="BF149" s="775"/>
      <c r="BG149" s="775"/>
      <c r="BH149" s="775"/>
      <c r="BI149" s="777">
        <f t="shared" si="26"/>
        <v>0</v>
      </c>
      <c r="BN149" s="751"/>
      <c r="BO149" s="751"/>
      <c r="BP149" s="751"/>
      <c r="BQ149" s="751"/>
      <c r="BR149" s="751"/>
      <c r="BS149" s="751"/>
      <c r="BT149" s="751"/>
      <c r="BU149" s="751"/>
      <c r="BV149" s="751"/>
      <c r="BW149" s="751"/>
      <c r="BX149" s="751"/>
      <c r="BY149" s="751"/>
      <c r="BZ149" s="751"/>
      <c r="CA149" s="751"/>
      <c r="CB149" s="751"/>
      <c r="CC149" s="751"/>
      <c r="CD149" s="751"/>
      <c r="CE149" s="751"/>
      <c r="CF149" s="751"/>
      <c r="CG149" s="751"/>
    </row>
    <row r="150" spans="4:85">
      <c r="D150" s="775"/>
      <c r="E150" s="775"/>
      <c r="F150" s="775"/>
      <c r="G150" s="775"/>
      <c r="H150" s="775"/>
      <c r="I150" s="775"/>
      <c r="J150" s="775"/>
      <c r="K150" s="775"/>
      <c r="L150" s="775"/>
      <c r="M150" s="777">
        <f t="shared" si="22"/>
        <v>0</v>
      </c>
      <c r="O150" s="775"/>
      <c r="P150" s="775"/>
      <c r="Q150" s="775"/>
      <c r="R150" s="775"/>
      <c r="S150" s="775"/>
      <c r="T150" s="775"/>
      <c r="U150" s="775"/>
      <c r="V150" s="775"/>
      <c r="W150" s="775"/>
      <c r="X150" s="775"/>
      <c r="Y150" s="777">
        <f t="shared" si="23"/>
        <v>0</v>
      </c>
      <c r="AA150" s="775"/>
      <c r="AB150" s="775"/>
      <c r="AC150" s="775"/>
      <c r="AD150" s="775"/>
      <c r="AE150" s="775"/>
      <c r="AF150" s="775"/>
      <c r="AG150" s="775"/>
      <c r="AH150" s="775"/>
      <c r="AI150" s="775"/>
      <c r="AJ150" s="775"/>
      <c r="AK150" s="777">
        <f t="shared" si="24"/>
        <v>0</v>
      </c>
      <c r="AL150" s="786"/>
      <c r="AM150" s="775"/>
      <c r="AN150" s="775"/>
      <c r="AO150" s="775"/>
      <c r="AP150" s="775"/>
      <c r="AQ150" s="775"/>
      <c r="AR150" s="775"/>
      <c r="AS150" s="775"/>
      <c r="AT150" s="775"/>
      <c r="AU150" s="775"/>
      <c r="AV150" s="775"/>
      <c r="AW150" s="777">
        <f t="shared" si="25"/>
        <v>0</v>
      </c>
      <c r="AX150" s="786"/>
      <c r="AY150" s="775"/>
      <c r="AZ150" s="775"/>
      <c r="BA150" s="775"/>
      <c r="BB150" s="775"/>
      <c r="BC150" s="775"/>
      <c r="BD150" s="775"/>
      <c r="BE150" s="775"/>
      <c r="BF150" s="775"/>
      <c r="BG150" s="775"/>
      <c r="BH150" s="775"/>
      <c r="BI150" s="777">
        <f t="shared" si="26"/>
        <v>0</v>
      </c>
      <c r="BN150" s="751"/>
      <c r="BO150" s="751"/>
      <c r="BP150" s="751"/>
      <c r="BQ150" s="751"/>
      <c r="BR150" s="751"/>
      <c r="BS150" s="751"/>
      <c r="BT150" s="751"/>
      <c r="BU150" s="751"/>
      <c r="BV150" s="751"/>
      <c r="BW150" s="751"/>
      <c r="BX150" s="751"/>
      <c r="BY150" s="751"/>
      <c r="BZ150" s="751"/>
      <c r="CA150" s="751"/>
      <c r="CB150" s="751"/>
      <c r="CC150" s="751"/>
      <c r="CD150" s="751"/>
      <c r="CE150" s="751"/>
      <c r="CF150" s="751"/>
      <c r="CG150" s="751"/>
    </row>
    <row r="151" spans="4:85">
      <c r="D151" s="775"/>
      <c r="E151" s="775"/>
      <c r="F151" s="775"/>
      <c r="G151" s="775"/>
      <c r="H151" s="775"/>
      <c r="I151" s="775"/>
      <c r="J151" s="775"/>
      <c r="K151" s="775"/>
      <c r="L151" s="775"/>
      <c r="M151" s="777">
        <f t="shared" si="22"/>
        <v>0</v>
      </c>
      <c r="O151" s="775"/>
      <c r="P151" s="775"/>
      <c r="Q151" s="775"/>
      <c r="R151" s="775"/>
      <c r="S151" s="775"/>
      <c r="T151" s="775"/>
      <c r="U151" s="775"/>
      <c r="V151" s="775"/>
      <c r="W151" s="775"/>
      <c r="X151" s="775"/>
      <c r="Y151" s="777">
        <f t="shared" si="23"/>
        <v>0</v>
      </c>
      <c r="AA151" s="775"/>
      <c r="AB151" s="775"/>
      <c r="AC151" s="775"/>
      <c r="AD151" s="775"/>
      <c r="AE151" s="775"/>
      <c r="AF151" s="775"/>
      <c r="AG151" s="775"/>
      <c r="AH151" s="775"/>
      <c r="AI151" s="775"/>
      <c r="AJ151" s="775"/>
      <c r="AK151" s="777">
        <f t="shared" si="24"/>
        <v>0</v>
      </c>
      <c r="AL151" s="786"/>
      <c r="AM151" s="775"/>
      <c r="AN151" s="775"/>
      <c r="AO151" s="775"/>
      <c r="AP151" s="775"/>
      <c r="AQ151" s="775"/>
      <c r="AR151" s="775"/>
      <c r="AS151" s="775"/>
      <c r="AT151" s="775"/>
      <c r="AU151" s="775"/>
      <c r="AV151" s="775"/>
      <c r="AW151" s="777">
        <f t="shared" si="25"/>
        <v>0</v>
      </c>
      <c r="AX151" s="786"/>
      <c r="AY151" s="775"/>
      <c r="AZ151" s="775"/>
      <c r="BA151" s="775"/>
      <c r="BB151" s="775"/>
      <c r="BC151" s="775"/>
      <c r="BD151" s="775"/>
      <c r="BE151" s="775"/>
      <c r="BF151" s="775"/>
      <c r="BG151" s="775"/>
      <c r="BH151" s="775"/>
      <c r="BI151" s="777">
        <f t="shared" si="26"/>
        <v>0</v>
      </c>
      <c r="BN151" s="751"/>
      <c r="BO151" s="751"/>
      <c r="BP151" s="751"/>
      <c r="BQ151" s="751"/>
      <c r="BR151" s="751"/>
      <c r="BS151" s="751"/>
      <c r="BT151" s="751"/>
      <c r="BU151" s="751"/>
      <c r="BV151" s="751"/>
      <c r="BW151" s="751"/>
      <c r="BX151" s="751"/>
      <c r="BY151" s="751"/>
      <c r="BZ151" s="751"/>
      <c r="CA151" s="751"/>
      <c r="CB151" s="751"/>
      <c r="CC151" s="751"/>
      <c r="CD151" s="751"/>
      <c r="CE151" s="751"/>
      <c r="CF151" s="751"/>
      <c r="CG151" s="751"/>
    </row>
    <row r="152" spans="4:85">
      <c r="D152" s="775"/>
      <c r="E152" s="775"/>
      <c r="F152" s="775"/>
      <c r="G152" s="775"/>
      <c r="H152" s="775"/>
      <c r="I152" s="775"/>
      <c r="J152" s="775"/>
      <c r="K152" s="775"/>
      <c r="L152" s="775"/>
      <c r="M152" s="777">
        <f t="shared" si="22"/>
        <v>0</v>
      </c>
      <c r="O152" s="775"/>
      <c r="P152" s="775"/>
      <c r="Q152" s="775"/>
      <c r="R152" s="775"/>
      <c r="S152" s="775"/>
      <c r="T152" s="775"/>
      <c r="U152" s="775"/>
      <c r="V152" s="775"/>
      <c r="W152" s="775"/>
      <c r="X152" s="775"/>
      <c r="Y152" s="777">
        <f t="shared" si="23"/>
        <v>0</v>
      </c>
      <c r="AA152" s="775"/>
      <c r="AB152" s="775"/>
      <c r="AC152" s="775"/>
      <c r="AD152" s="775"/>
      <c r="AE152" s="775"/>
      <c r="AF152" s="775"/>
      <c r="AG152" s="775"/>
      <c r="AH152" s="775"/>
      <c r="AI152" s="775"/>
      <c r="AJ152" s="775"/>
      <c r="AK152" s="777">
        <f t="shared" si="24"/>
        <v>0</v>
      </c>
      <c r="AL152" s="786"/>
      <c r="AM152" s="775"/>
      <c r="AN152" s="775"/>
      <c r="AO152" s="775"/>
      <c r="AP152" s="775"/>
      <c r="AQ152" s="775"/>
      <c r="AR152" s="775"/>
      <c r="AS152" s="775"/>
      <c r="AT152" s="775"/>
      <c r="AU152" s="775"/>
      <c r="AV152" s="775"/>
      <c r="AW152" s="777">
        <f t="shared" si="25"/>
        <v>0</v>
      </c>
      <c r="AX152" s="786"/>
      <c r="AY152" s="775"/>
      <c r="AZ152" s="775"/>
      <c r="BA152" s="775"/>
      <c r="BB152" s="775"/>
      <c r="BC152" s="775"/>
      <c r="BD152" s="775"/>
      <c r="BE152" s="775"/>
      <c r="BF152" s="775"/>
      <c r="BG152" s="775"/>
      <c r="BH152" s="775"/>
      <c r="BI152" s="777">
        <f t="shared" si="26"/>
        <v>0</v>
      </c>
      <c r="BN152" s="751"/>
      <c r="BO152" s="751"/>
      <c r="BP152" s="751"/>
      <c r="BQ152" s="751"/>
      <c r="BR152" s="751"/>
      <c r="BS152" s="751"/>
      <c r="BT152" s="751"/>
      <c r="BU152" s="751"/>
      <c r="BV152" s="751"/>
      <c r="BW152" s="751"/>
      <c r="BX152" s="751"/>
      <c r="BY152" s="751"/>
      <c r="BZ152" s="751"/>
      <c r="CA152" s="751"/>
      <c r="CB152" s="751"/>
      <c r="CC152" s="751"/>
      <c r="CD152" s="751"/>
      <c r="CE152" s="751"/>
      <c r="CF152" s="751"/>
      <c r="CG152" s="751"/>
    </row>
    <row r="153" spans="4:85">
      <c r="D153" s="775"/>
      <c r="E153" s="775"/>
      <c r="F153" s="775"/>
      <c r="G153" s="775"/>
      <c r="H153" s="775"/>
      <c r="I153" s="775"/>
      <c r="J153" s="775"/>
      <c r="K153" s="775"/>
      <c r="L153" s="775"/>
      <c r="M153" s="777">
        <f t="shared" si="22"/>
        <v>0</v>
      </c>
      <c r="O153" s="775"/>
      <c r="P153" s="775"/>
      <c r="Q153" s="775"/>
      <c r="R153" s="775"/>
      <c r="S153" s="775"/>
      <c r="T153" s="775"/>
      <c r="U153" s="775"/>
      <c r="V153" s="775"/>
      <c r="W153" s="775"/>
      <c r="X153" s="775"/>
      <c r="Y153" s="777">
        <f t="shared" si="23"/>
        <v>0</v>
      </c>
      <c r="AA153" s="775"/>
      <c r="AB153" s="775"/>
      <c r="AC153" s="775"/>
      <c r="AD153" s="775"/>
      <c r="AE153" s="775"/>
      <c r="AF153" s="775"/>
      <c r="AG153" s="775"/>
      <c r="AH153" s="775"/>
      <c r="AI153" s="775"/>
      <c r="AJ153" s="775"/>
      <c r="AK153" s="777">
        <f t="shared" si="24"/>
        <v>0</v>
      </c>
      <c r="AL153" s="786"/>
      <c r="AM153" s="775"/>
      <c r="AN153" s="775"/>
      <c r="AO153" s="775"/>
      <c r="AP153" s="775"/>
      <c r="AQ153" s="775"/>
      <c r="AR153" s="775"/>
      <c r="AS153" s="775"/>
      <c r="AT153" s="775"/>
      <c r="AU153" s="775"/>
      <c r="AV153" s="775"/>
      <c r="AW153" s="777">
        <f t="shared" si="25"/>
        <v>0</v>
      </c>
      <c r="AX153" s="786"/>
      <c r="AY153" s="775"/>
      <c r="AZ153" s="775"/>
      <c r="BA153" s="775"/>
      <c r="BB153" s="775"/>
      <c r="BC153" s="775"/>
      <c r="BD153" s="775"/>
      <c r="BE153" s="775"/>
      <c r="BF153" s="775"/>
      <c r="BG153" s="775"/>
      <c r="BH153" s="775"/>
      <c r="BI153" s="777">
        <f t="shared" si="26"/>
        <v>0</v>
      </c>
      <c r="BN153" s="751"/>
      <c r="BO153" s="751"/>
      <c r="BP153" s="751"/>
      <c r="BQ153" s="751"/>
      <c r="BR153" s="751"/>
      <c r="BS153" s="751"/>
      <c r="BT153" s="751"/>
      <c r="BU153" s="751"/>
      <c r="BV153" s="751"/>
      <c r="BW153" s="751"/>
      <c r="BX153" s="751"/>
      <c r="BY153" s="751"/>
      <c r="BZ153" s="751"/>
      <c r="CA153" s="751"/>
      <c r="CB153" s="751"/>
      <c r="CC153" s="751"/>
      <c r="CD153" s="751"/>
      <c r="CE153" s="751"/>
      <c r="CF153" s="751"/>
      <c r="CG153" s="751"/>
    </row>
    <row r="154" spans="4:85">
      <c r="D154" s="775"/>
      <c r="E154" s="775"/>
      <c r="F154" s="775"/>
      <c r="G154" s="775"/>
      <c r="H154" s="775"/>
      <c r="I154" s="775"/>
      <c r="J154" s="775"/>
      <c r="K154" s="775"/>
      <c r="L154" s="775"/>
      <c r="M154" s="777">
        <f t="shared" si="22"/>
        <v>0</v>
      </c>
      <c r="O154" s="775"/>
      <c r="P154" s="775"/>
      <c r="Q154" s="775"/>
      <c r="R154" s="775"/>
      <c r="S154" s="775"/>
      <c r="T154" s="775"/>
      <c r="U154" s="775"/>
      <c r="V154" s="775"/>
      <c r="W154" s="775"/>
      <c r="X154" s="775"/>
      <c r="Y154" s="777">
        <f t="shared" si="23"/>
        <v>0</v>
      </c>
      <c r="AA154" s="775"/>
      <c r="AB154" s="775"/>
      <c r="AC154" s="775"/>
      <c r="AD154" s="775"/>
      <c r="AE154" s="775"/>
      <c r="AF154" s="775"/>
      <c r="AG154" s="775"/>
      <c r="AH154" s="775"/>
      <c r="AI154" s="775"/>
      <c r="AJ154" s="775"/>
      <c r="AK154" s="777">
        <f t="shared" si="24"/>
        <v>0</v>
      </c>
      <c r="AL154" s="786"/>
      <c r="AM154" s="775"/>
      <c r="AN154" s="775"/>
      <c r="AO154" s="775"/>
      <c r="AP154" s="775"/>
      <c r="AQ154" s="775"/>
      <c r="AR154" s="775"/>
      <c r="AS154" s="775"/>
      <c r="AT154" s="775"/>
      <c r="AU154" s="775"/>
      <c r="AV154" s="775"/>
      <c r="AW154" s="777">
        <f t="shared" si="25"/>
        <v>0</v>
      </c>
      <c r="AX154" s="786"/>
      <c r="AY154" s="775"/>
      <c r="AZ154" s="775"/>
      <c r="BA154" s="775"/>
      <c r="BB154" s="775"/>
      <c r="BC154" s="775"/>
      <c r="BD154" s="775"/>
      <c r="BE154" s="775"/>
      <c r="BF154" s="775"/>
      <c r="BG154" s="775"/>
      <c r="BH154" s="775"/>
      <c r="BI154" s="777">
        <f t="shared" si="26"/>
        <v>0</v>
      </c>
      <c r="BN154" s="751"/>
      <c r="BO154" s="751"/>
      <c r="BP154" s="751"/>
      <c r="BQ154" s="751"/>
      <c r="BR154" s="751"/>
      <c r="BS154" s="751"/>
      <c r="BT154" s="751"/>
      <c r="BU154" s="751"/>
      <c r="BV154" s="751"/>
      <c r="BW154" s="751"/>
      <c r="BX154" s="751"/>
      <c r="BY154" s="751"/>
      <c r="BZ154" s="751"/>
      <c r="CA154" s="751"/>
      <c r="CB154" s="751"/>
      <c r="CC154" s="751"/>
      <c r="CD154" s="751"/>
      <c r="CE154" s="751"/>
      <c r="CF154" s="751"/>
      <c r="CG154" s="751"/>
    </row>
    <row r="155" spans="4:85">
      <c r="D155" s="775"/>
      <c r="E155" s="775"/>
      <c r="F155" s="775"/>
      <c r="G155" s="775"/>
      <c r="H155" s="775"/>
      <c r="I155" s="775"/>
      <c r="J155" s="775"/>
      <c r="K155" s="775"/>
      <c r="L155" s="775"/>
      <c r="M155" s="777">
        <f t="shared" si="22"/>
        <v>0</v>
      </c>
      <c r="O155" s="775"/>
      <c r="P155" s="775"/>
      <c r="Q155" s="775"/>
      <c r="R155" s="775"/>
      <c r="S155" s="775"/>
      <c r="T155" s="775"/>
      <c r="U155" s="775"/>
      <c r="V155" s="775"/>
      <c r="W155" s="775"/>
      <c r="X155" s="775"/>
      <c r="Y155" s="777">
        <f t="shared" si="23"/>
        <v>0</v>
      </c>
      <c r="AA155" s="775"/>
      <c r="AB155" s="775"/>
      <c r="AC155" s="775"/>
      <c r="AD155" s="775"/>
      <c r="AE155" s="775"/>
      <c r="AF155" s="775"/>
      <c r="AG155" s="775"/>
      <c r="AH155" s="775"/>
      <c r="AI155" s="775"/>
      <c r="AJ155" s="775"/>
      <c r="AK155" s="777">
        <f t="shared" si="24"/>
        <v>0</v>
      </c>
      <c r="AL155" s="786"/>
      <c r="AM155" s="775"/>
      <c r="AN155" s="775"/>
      <c r="AO155" s="775"/>
      <c r="AP155" s="775"/>
      <c r="AQ155" s="775"/>
      <c r="AR155" s="775"/>
      <c r="AS155" s="775"/>
      <c r="AT155" s="775"/>
      <c r="AU155" s="775"/>
      <c r="AV155" s="775"/>
      <c r="AW155" s="777">
        <f t="shared" si="25"/>
        <v>0</v>
      </c>
      <c r="AX155" s="786"/>
      <c r="AY155" s="775"/>
      <c r="AZ155" s="775"/>
      <c r="BA155" s="775"/>
      <c r="BB155" s="775"/>
      <c r="BC155" s="775"/>
      <c r="BD155" s="775"/>
      <c r="BE155" s="775"/>
      <c r="BF155" s="775"/>
      <c r="BG155" s="775"/>
      <c r="BH155" s="775"/>
      <c r="BI155" s="777">
        <f t="shared" si="26"/>
        <v>0</v>
      </c>
      <c r="BN155" s="751"/>
      <c r="BO155" s="751"/>
      <c r="BP155" s="751"/>
      <c r="BQ155" s="751"/>
      <c r="BR155" s="751"/>
      <c r="BS155" s="751"/>
      <c r="BT155" s="751"/>
      <c r="BU155" s="751"/>
      <c r="BV155" s="751"/>
      <c r="BW155" s="751"/>
      <c r="BX155" s="751"/>
      <c r="BY155" s="751"/>
      <c r="BZ155" s="751"/>
      <c r="CA155" s="751"/>
      <c r="CB155" s="751"/>
      <c r="CC155" s="751"/>
      <c r="CD155" s="751"/>
      <c r="CE155" s="751"/>
      <c r="CF155" s="751"/>
      <c r="CG155" s="751"/>
    </row>
    <row r="156" spans="4:85">
      <c r="D156" s="775"/>
      <c r="E156" s="775"/>
      <c r="F156" s="775"/>
      <c r="G156" s="775"/>
      <c r="H156" s="775"/>
      <c r="I156" s="775"/>
      <c r="J156" s="775"/>
      <c r="K156" s="775"/>
      <c r="L156" s="775"/>
      <c r="M156" s="777">
        <f t="shared" si="22"/>
        <v>0</v>
      </c>
      <c r="O156" s="775"/>
      <c r="P156" s="775"/>
      <c r="Q156" s="775"/>
      <c r="R156" s="775"/>
      <c r="S156" s="775"/>
      <c r="T156" s="775"/>
      <c r="U156" s="775"/>
      <c r="V156" s="775"/>
      <c r="W156" s="775"/>
      <c r="X156" s="775"/>
      <c r="Y156" s="777">
        <f t="shared" si="23"/>
        <v>0</v>
      </c>
      <c r="AA156" s="775"/>
      <c r="AB156" s="775"/>
      <c r="AC156" s="775"/>
      <c r="AD156" s="775"/>
      <c r="AE156" s="775"/>
      <c r="AF156" s="775"/>
      <c r="AG156" s="775"/>
      <c r="AH156" s="775"/>
      <c r="AI156" s="775"/>
      <c r="AJ156" s="775"/>
      <c r="AK156" s="777">
        <f t="shared" si="24"/>
        <v>0</v>
      </c>
      <c r="AL156" s="786"/>
      <c r="AM156" s="775"/>
      <c r="AN156" s="775"/>
      <c r="AO156" s="775"/>
      <c r="AP156" s="775"/>
      <c r="AQ156" s="775"/>
      <c r="AR156" s="775"/>
      <c r="AS156" s="775"/>
      <c r="AT156" s="775"/>
      <c r="AU156" s="775"/>
      <c r="AV156" s="775"/>
      <c r="AW156" s="777">
        <f t="shared" si="25"/>
        <v>0</v>
      </c>
      <c r="AX156" s="786"/>
      <c r="AY156" s="775"/>
      <c r="AZ156" s="775"/>
      <c r="BA156" s="775"/>
      <c r="BB156" s="775"/>
      <c r="BC156" s="775"/>
      <c r="BD156" s="775"/>
      <c r="BE156" s="775"/>
      <c r="BF156" s="775"/>
      <c r="BG156" s="775"/>
      <c r="BH156" s="775"/>
      <c r="BI156" s="777">
        <f t="shared" si="26"/>
        <v>0</v>
      </c>
      <c r="BN156" s="751"/>
      <c r="BO156" s="751"/>
      <c r="BP156" s="751"/>
      <c r="BQ156" s="751"/>
      <c r="BR156" s="751"/>
      <c r="BS156" s="751"/>
      <c r="BT156" s="751"/>
      <c r="BU156" s="751"/>
      <c r="BV156" s="751"/>
      <c r="BW156" s="751"/>
      <c r="BX156" s="751"/>
      <c r="BY156" s="751"/>
      <c r="BZ156" s="751"/>
      <c r="CA156" s="751"/>
      <c r="CB156" s="751"/>
      <c r="CC156" s="751"/>
      <c r="CD156" s="751"/>
      <c r="CE156" s="751"/>
      <c r="CF156" s="751"/>
      <c r="CG156" s="751"/>
    </row>
    <row r="157" spans="4:85">
      <c r="D157" s="775"/>
      <c r="E157" s="775"/>
      <c r="F157" s="775"/>
      <c r="G157" s="775"/>
      <c r="H157" s="775"/>
      <c r="I157" s="775"/>
      <c r="J157" s="775"/>
      <c r="K157" s="775"/>
      <c r="L157" s="775"/>
      <c r="M157" s="777">
        <f t="shared" si="22"/>
        <v>0</v>
      </c>
      <c r="O157" s="775"/>
      <c r="P157" s="775"/>
      <c r="Q157" s="775"/>
      <c r="R157" s="775"/>
      <c r="S157" s="775"/>
      <c r="T157" s="775"/>
      <c r="U157" s="775"/>
      <c r="V157" s="775"/>
      <c r="W157" s="775"/>
      <c r="X157" s="775"/>
      <c r="Y157" s="777">
        <f t="shared" si="23"/>
        <v>0</v>
      </c>
      <c r="AA157" s="775"/>
      <c r="AB157" s="775"/>
      <c r="AC157" s="775"/>
      <c r="AD157" s="775"/>
      <c r="AE157" s="775"/>
      <c r="AF157" s="775"/>
      <c r="AG157" s="775"/>
      <c r="AH157" s="775"/>
      <c r="AI157" s="775"/>
      <c r="AJ157" s="775"/>
      <c r="AK157" s="777">
        <f t="shared" si="24"/>
        <v>0</v>
      </c>
      <c r="AL157" s="786"/>
      <c r="AM157" s="775"/>
      <c r="AN157" s="775"/>
      <c r="AO157" s="775"/>
      <c r="AP157" s="775"/>
      <c r="AQ157" s="775"/>
      <c r="AR157" s="775"/>
      <c r="AS157" s="775"/>
      <c r="AT157" s="775"/>
      <c r="AU157" s="775"/>
      <c r="AV157" s="775"/>
      <c r="AW157" s="777">
        <f t="shared" si="25"/>
        <v>0</v>
      </c>
      <c r="AX157" s="786"/>
      <c r="AY157" s="775"/>
      <c r="AZ157" s="775"/>
      <c r="BA157" s="775"/>
      <c r="BB157" s="775"/>
      <c r="BC157" s="775"/>
      <c r="BD157" s="775"/>
      <c r="BE157" s="775"/>
      <c r="BF157" s="775"/>
      <c r="BG157" s="775"/>
      <c r="BH157" s="775"/>
      <c r="BI157" s="777">
        <f t="shared" si="26"/>
        <v>0</v>
      </c>
      <c r="BN157" s="751"/>
      <c r="BO157" s="751"/>
      <c r="BP157" s="751"/>
      <c r="BQ157" s="751"/>
      <c r="BR157" s="751"/>
      <c r="BS157" s="751"/>
      <c r="BT157" s="751"/>
      <c r="BU157" s="751"/>
      <c r="BV157" s="751"/>
      <c r="BW157" s="751"/>
      <c r="BX157" s="751"/>
      <c r="BY157" s="751"/>
      <c r="BZ157" s="751"/>
      <c r="CA157" s="751"/>
      <c r="CB157" s="751"/>
      <c r="CC157" s="751"/>
      <c r="CD157" s="751"/>
      <c r="CE157" s="751"/>
      <c r="CF157" s="751"/>
      <c r="CG157" s="751"/>
    </row>
    <row r="158" spans="4:85">
      <c r="D158" s="775"/>
      <c r="E158" s="775"/>
      <c r="F158" s="775"/>
      <c r="G158" s="775"/>
      <c r="H158" s="775"/>
      <c r="I158" s="775"/>
      <c r="J158" s="775"/>
      <c r="K158" s="775"/>
      <c r="L158" s="775"/>
      <c r="M158" s="777">
        <f t="shared" si="22"/>
        <v>0</v>
      </c>
      <c r="O158" s="775"/>
      <c r="P158" s="775"/>
      <c r="Q158" s="775"/>
      <c r="R158" s="775"/>
      <c r="S158" s="775"/>
      <c r="T158" s="775"/>
      <c r="U158" s="775"/>
      <c r="V158" s="775"/>
      <c r="W158" s="775"/>
      <c r="X158" s="775"/>
      <c r="Y158" s="777">
        <f t="shared" si="23"/>
        <v>0</v>
      </c>
      <c r="AA158" s="775"/>
      <c r="AB158" s="775"/>
      <c r="AC158" s="775"/>
      <c r="AD158" s="775"/>
      <c r="AE158" s="775"/>
      <c r="AF158" s="775"/>
      <c r="AG158" s="775"/>
      <c r="AH158" s="775"/>
      <c r="AI158" s="775"/>
      <c r="AJ158" s="775"/>
      <c r="AK158" s="777">
        <f t="shared" si="24"/>
        <v>0</v>
      </c>
      <c r="AL158" s="786"/>
      <c r="AM158" s="775"/>
      <c r="AN158" s="775"/>
      <c r="AO158" s="775"/>
      <c r="AP158" s="775"/>
      <c r="AQ158" s="775"/>
      <c r="AR158" s="775"/>
      <c r="AS158" s="775"/>
      <c r="AT158" s="775"/>
      <c r="AU158" s="775"/>
      <c r="AV158" s="775"/>
      <c r="AW158" s="777">
        <f t="shared" si="25"/>
        <v>0</v>
      </c>
      <c r="AX158" s="786"/>
      <c r="AY158" s="775"/>
      <c r="AZ158" s="775"/>
      <c r="BA158" s="775"/>
      <c r="BB158" s="775"/>
      <c r="BC158" s="775"/>
      <c r="BD158" s="775"/>
      <c r="BE158" s="775"/>
      <c r="BF158" s="775"/>
      <c r="BG158" s="775"/>
      <c r="BH158" s="775"/>
      <c r="BI158" s="777">
        <f t="shared" si="26"/>
        <v>0</v>
      </c>
      <c r="BN158" s="751"/>
      <c r="BO158" s="751"/>
      <c r="BP158" s="751"/>
      <c r="BQ158" s="751"/>
      <c r="BR158" s="751"/>
      <c r="BS158" s="751"/>
      <c r="BT158" s="751"/>
      <c r="BU158" s="751"/>
      <c r="BV158" s="751"/>
      <c r="BW158" s="751"/>
      <c r="BX158" s="751"/>
      <c r="BY158" s="751"/>
      <c r="BZ158" s="751"/>
      <c r="CA158" s="751"/>
      <c r="CB158" s="751"/>
      <c r="CC158" s="751"/>
      <c r="CD158" s="751"/>
      <c r="CE158" s="751"/>
      <c r="CF158" s="751"/>
      <c r="CG158" s="751"/>
    </row>
    <row r="159" spans="4:85">
      <c r="D159" s="775"/>
      <c r="E159" s="775"/>
      <c r="F159" s="775"/>
      <c r="G159" s="775"/>
      <c r="H159" s="775"/>
      <c r="I159" s="775"/>
      <c r="J159" s="775"/>
      <c r="K159" s="775"/>
      <c r="L159" s="775"/>
      <c r="M159" s="777">
        <f t="shared" si="22"/>
        <v>0</v>
      </c>
      <c r="O159" s="775"/>
      <c r="P159" s="775"/>
      <c r="Q159" s="775"/>
      <c r="R159" s="775"/>
      <c r="S159" s="775"/>
      <c r="T159" s="775"/>
      <c r="U159" s="775"/>
      <c r="V159" s="775"/>
      <c r="W159" s="775"/>
      <c r="X159" s="775"/>
      <c r="Y159" s="777">
        <f t="shared" si="23"/>
        <v>0</v>
      </c>
      <c r="AA159" s="775"/>
      <c r="AB159" s="775"/>
      <c r="AC159" s="775"/>
      <c r="AD159" s="775"/>
      <c r="AE159" s="775"/>
      <c r="AF159" s="775"/>
      <c r="AG159" s="775"/>
      <c r="AH159" s="775"/>
      <c r="AI159" s="775"/>
      <c r="AJ159" s="775"/>
      <c r="AK159" s="777">
        <f t="shared" si="24"/>
        <v>0</v>
      </c>
      <c r="AL159" s="786"/>
      <c r="AM159" s="775"/>
      <c r="AN159" s="775"/>
      <c r="AO159" s="775"/>
      <c r="AP159" s="775"/>
      <c r="AQ159" s="775"/>
      <c r="AR159" s="775"/>
      <c r="AS159" s="775"/>
      <c r="AT159" s="775"/>
      <c r="AU159" s="775"/>
      <c r="AV159" s="775"/>
      <c r="AW159" s="777">
        <f t="shared" si="25"/>
        <v>0</v>
      </c>
      <c r="AX159" s="786"/>
      <c r="AY159" s="775"/>
      <c r="AZ159" s="775"/>
      <c r="BA159" s="775"/>
      <c r="BB159" s="775"/>
      <c r="BC159" s="775"/>
      <c r="BD159" s="775"/>
      <c r="BE159" s="775"/>
      <c r="BF159" s="775"/>
      <c r="BG159" s="775"/>
      <c r="BH159" s="775"/>
      <c r="BI159" s="777">
        <f t="shared" si="26"/>
        <v>0</v>
      </c>
      <c r="BN159" s="751"/>
      <c r="BO159" s="751"/>
      <c r="BP159" s="751"/>
      <c r="BQ159" s="751"/>
      <c r="BR159" s="751"/>
      <c r="BS159" s="751"/>
      <c r="BT159" s="751"/>
      <c r="BU159" s="751"/>
      <c r="BV159" s="751"/>
      <c r="BW159" s="751"/>
      <c r="BX159" s="751"/>
      <c r="BY159" s="751"/>
      <c r="BZ159" s="751"/>
      <c r="CA159" s="751"/>
      <c r="CB159" s="751"/>
      <c r="CC159" s="751"/>
      <c r="CD159" s="751"/>
      <c r="CE159" s="751"/>
      <c r="CF159" s="751"/>
      <c r="CG159" s="751"/>
    </row>
    <row r="160" spans="4:85">
      <c r="D160" s="775"/>
      <c r="E160" s="775"/>
      <c r="F160" s="775"/>
      <c r="G160" s="775"/>
      <c r="H160" s="775"/>
      <c r="I160" s="775"/>
      <c r="J160" s="775"/>
      <c r="K160" s="775"/>
      <c r="L160" s="775"/>
      <c r="M160" s="777">
        <f t="shared" si="22"/>
        <v>0</v>
      </c>
      <c r="O160" s="775"/>
      <c r="P160" s="775"/>
      <c r="Q160" s="775"/>
      <c r="R160" s="775"/>
      <c r="S160" s="775"/>
      <c r="T160" s="775"/>
      <c r="U160" s="775"/>
      <c r="V160" s="775"/>
      <c r="W160" s="775"/>
      <c r="X160" s="775"/>
      <c r="Y160" s="777">
        <f t="shared" si="23"/>
        <v>0</v>
      </c>
      <c r="AA160" s="775"/>
      <c r="AB160" s="775"/>
      <c r="AC160" s="775"/>
      <c r="AD160" s="775"/>
      <c r="AE160" s="775"/>
      <c r="AF160" s="775"/>
      <c r="AG160" s="775"/>
      <c r="AH160" s="775"/>
      <c r="AI160" s="775"/>
      <c r="AJ160" s="775"/>
      <c r="AK160" s="777">
        <f t="shared" si="24"/>
        <v>0</v>
      </c>
      <c r="AL160" s="786"/>
      <c r="AM160" s="775"/>
      <c r="AN160" s="775"/>
      <c r="AO160" s="775"/>
      <c r="AP160" s="775"/>
      <c r="AQ160" s="775"/>
      <c r="AR160" s="775"/>
      <c r="AS160" s="775"/>
      <c r="AT160" s="775"/>
      <c r="AU160" s="775"/>
      <c r="AV160" s="775"/>
      <c r="AW160" s="777">
        <f t="shared" si="25"/>
        <v>0</v>
      </c>
      <c r="AX160" s="786"/>
      <c r="AY160" s="775"/>
      <c r="AZ160" s="775"/>
      <c r="BA160" s="775"/>
      <c r="BB160" s="775"/>
      <c r="BC160" s="775"/>
      <c r="BD160" s="775"/>
      <c r="BE160" s="775"/>
      <c r="BF160" s="775"/>
      <c r="BG160" s="775"/>
      <c r="BH160" s="775"/>
      <c r="BI160" s="777">
        <f t="shared" si="26"/>
        <v>0</v>
      </c>
      <c r="BN160" s="751"/>
      <c r="BO160" s="751"/>
      <c r="BP160" s="751"/>
      <c r="BQ160" s="751"/>
      <c r="BR160" s="751"/>
      <c r="BS160" s="751"/>
      <c r="BT160" s="751"/>
      <c r="BU160" s="751"/>
      <c r="BV160" s="751"/>
      <c r="BW160" s="751"/>
      <c r="BX160" s="751"/>
      <c r="BY160" s="751"/>
      <c r="BZ160" s="751"/>
      <c r="CA160" s="751"/>
      <c r="CB160" s="751"/>
      <c r="CC160" s="751"/>
      <c r="CD160" s="751"/>
      <c r="CE160" s="751"/>
      <c r="CF160" s="751"/>
      <c r="CG160" s="751"/>
    </row>
    <row r="161" spans="3:85">
      <c r="D161" s="775"/>
      <c r="E161" s="775"/>
      <c r="F161" s="775"/>
      <c r="G161" s="775"/>
      <c r="H161" s="775"/>
      <c r="I161" s="775"/>
      <c r="J161" s="775"/>
      <c r="K161" s="775"/>
      <c r="L161" s="775"/>
      <c r="M161" s="777">
        <f t="shared" si="22"/>
        <v>0</v>
      </c>
      <c r="O161" s="775"/>
      <c r="P161" s="775"/>
      <c r="Q161" s="775"/>
      <c r="R161" s="775"/>
      <c r="S161" s="775"/>
      <c r="T161" s="775"/>
      <c r="U161" s="775"/>
      <c r="V161" s="775"/>
      <c r="W161" s="775"/>
      <c r="X161" s="775"/>
      <c r="Y161" s="777">
        <f t="shared" si="23"/>
        <v>0</v>
      </c>
      <c r="AA161" s="775"/>
      <c r="AB161" s="775"/>
      <c r="AC161" s="775"/>
      <c r="AD161" s="775"/>
      <c r="AE161" s="775"/>
      <c r="AF161" s="775"/>
      <c r="AG161" s="775"/>
      <c r="AH161" s="775"/>
      <c r="AI161" s="775"/>
      <c r="AJ161" s="775"/>
      <c r="AK161" s="777">
        <f t="shared" si="24"/>
        <v>0</v>
      </c>
      <c r="AL161" s="786"/>
      <c r="AM161" s="775"/>
      <c r="AN161" s="775"/>
      <c r="AO161" s="775"/>
      <c r="AP161" s="775"/>
      <c r="AQ161" s="775"/>
      <c r="AR161" s="775"/>
      <c r="AS161" s="775"/>
      <c r="AT161" s="775"/>
      <c r="AU161" s="775"/>
      <c r="AV161" s="775"/>
      <c r="AW161" s="777">
        <f t="shared" si="25"/>
        <v>0</v>
      </c>
      <c r="AX161" s="786"/>
      <c r="AY161" s="775"/>
      <c r="AZ161" s="775"/>
      <c r="BA161" s="775"/>
      <c r="BB161" s="775"/>
      <c r="BC161" s="775"/>
      <c r="BD161" s="775"/>
      <c r="BE161" s="775"/>
      <c r="BF161" s="775"/>
      <c r="BG161" s="775"/>
      <c r="BH161" s="775"/>
      <c r="BI161" s="777">
        <f t="shared" si="26"/>
        <v>0</v>
      </c>
      <c r="BN161" s="751"/>
      <c r="BO161" s="751"/>
      <c r="BP161" s="751"/>
      <c r="BQ161" s="751"/>
      <c r="BR161" s="751"/>
      <c r="BS161" s="751"/>
      <c r="BT161" s="751"/>
      <c r="BU161" s="751"/>
      <c r="BV161" s="751"/>
      <c r="BW161" s="751"/>
      <c r="BX161" s="751"/>
      <c r="BY161" s="751"/>
      <c r="BZ161" s="751"/>
      <c r="CA161" s="751"/>
      <c r="CB161" s="751"/>
      <c r="CC161" s="751"/>
      <c r="CD161" s="751"/>
      <c r="CE161" s="751"/>
      <c r="CF161" s="751"/>
      <c r="CG161" s="751"/>
    </row>
    <row r="162" spans="3:85">
      <c r="D162" s="775"/>
      <c r="E162" s="775"/>
      <c r="F162" s="775"/>
      <c r="G162" s="775"/>
      <c r="H162" s="775"/>
      <c r="I162" s="775"/>
      <c r="J162" s="775"/>
      <c r="K162" s="775"/>
      <c r="L162" s="775"/>
      <c r="M162" s="777">
        <f t="shared" si="22"/>
        <v>0</v>
      </c>
      <c r="O162" s="775"/>
      <c r="P162" s="775"/>
      <c r="Q162" s="775"/>
      <c r="R162" s="775"/>
      <c r="S162" s="775"/>
      <c r="T162" s="775"/>
      <c r="U162" s="775"/>
      <c r="V162" s="775"/>
      <c r="W162" s="775"/>
      <c r="X162" s="775"/>
      <c r="Y162" s="777">
        <f t="shared" si="23"/>
        <v>0</v>
      </c>
      <c r="AA162" s="775"/>
      <c r="AB162" s="775"/>
      <c r="AC162" s="775"/>
      <c r="AD162" s="775"/>
      <c r="AE162" s="775"/>
      <c r="AF162" s="775"/>
      <c r="AG162" s="775"/>
      <c r="AH162" s="775"/>
      <c r="AI162" s="775"/>
      <c r="AJ162" s="775"/>
      <c r="AK162" s="777">
        <f t="shared" si="24"/>
        <v>0</v>
      </c>
      <c r="AL162" s="786"/>
      <c r="AM162" s="775"/>
      <c r="AN162" s="775"/>
      <c r="AO162" s="775"/>
      <c r="AP162" s="775"/>
      <c r="AQ162" s="775"/>
      <c r="AR162" s="775"/>
      <c r="AS162" s="775"/>
      <c r="AT162" s="775"/>
      <c r="AU162" s="775"/>
      <c r="AV162" s="775"/>
      <c r="AW162" s="777">
        <f t="shared" si="25"/>
        <v>0</v>
      </c>
      <c r="AX162" s="786"/>
      <c r="AY162" s="775"/>
      <c r="AZ162" s="775"/>
      <c r="BA162" s="775"/>
      <c r="BB162" s="775"/>
      <c r="BC162" s="775"/>
      <c r="BD162" s="775"/>
      <c r="BE162" s="775"/>
      <c r="BF162" s="775"/>
      <c r="BG162" s="775"/>
      <c r="BH162" s="775"/>
      <c r="BI162" s="777">
        <f t="shared" si="26"/>
        <v>0</v>
      </c>
      <c r="BN162" s="751"/>
      <c r="BO162" s="751"/>
      <c r="BP162" s="751"/>
      <c r="BQ162" s="751"/>
      <c r="BR162" s="751"/>
      <c r="BS162" s="751"/>
      <c r="BT162" s="751"/>
      <c r="BU162" s="751"/>
      <c r="BV162" s="751"/>
      <c r="BW162" s="751"/>
      <c r="BX162" s="751"/>
      <c r="BY162" s="751"/>
      <c r="BZ162" s="751"/>
      <c r="CA162" s="751"/>
      <c r="CB162" s="751"/>
      <c r="CC162" s="751"/>
      <c r="CD162" s="751"/>
      <c r="CE162" s="751"/>
      <c r="CF162" s="751"/>
      <c r="CG162" s="751"/>
    </row>
    <row r="163" spans="3:85">
      <c r="D163" s="775"/>
      <c r="E163" s="775"/>
      <c r="F163" s="775"/>
      <c r="G163" s="775"/>
      <c r="H163" s="775"/>
      <c r="I163" s="775"/>
      <c r="J163" s="775"/>
      <c r="K163" s="775"/>
      <c r="L163" s="775"/>
      <c r="M163" s="777">
        <f t="shared" si="22"/>
        <v>0</v>
      </c>
      <c r="O163" s="775"/>
      <c r="P163" s="775"/>
      <c r="Q163" s="775"/>
      <c r="R163" s="775"/>
      <c r="S163" s="775"/>
      <c r="T163" s="775"/>
      <c r="U163" s="775"/>
      <c r="V163" s="775"/>
      <c r="W163" s="775"/>
      <c r="X163" s="775"/>
      <c r="Y163" s="777">
        <f t="shared" si="23"/>
        <v>0</v>
      </c>
      <c r="AA163" s="775"/>
      <c r="AB163" s="775"/>
      <c r="AC163" s="775"/>
      <c r="AD163" s="775"/>
      <c r="AE163" s="775"/>
      <c r="AF163" s="775"/>
      <c r="AG163" s="775"/>
      <c r="AH163" s="775"/>
      <c r="AI163" s="775"/>
      <c r="AJ163" s="775"/>
      <c r="AK163" s="777">
        <f t="shared" si="24"/>
        <v>0</v>
      </c>
      <c r="AL163" s="786"/>
      <c r="AM163" s="775"/>
      <c r="AN163" s="775"/>
      <c r="AO163" s="775"/>
      <c r="AP163" s="775"/>
      <c r="AQ163" s="775"/>
      <c r="AR163" s="775"/>
      <c r="AS163" s="775"/>
      <c r="AT163" s="775"/>
      <c r="AU163" s="775"/>
      <c r="AV163" s="775"/>
      <c r="AW163" s="777">
        <f t="shared" si="25"/>
        <v>0</v>
      </c>
      <c r="AX163" s="786"/>
      <c r="AY163" s="775"/>
      <c r="AZ163" s="775"/>
      <c r="BA163" s="775"/>
      <c r="BB163" s="775"/>
      <c r="BC163" s="775"/>
      <c r="BD163" s="775"/>
      <c r="BE163" s="775"/>
      <c r="BF163" s="775"/>
      <c r="BG163" s="775"/>
      <c r="BH163" s="775"/>
      <c r="BI163" s="777">
        <f t="shared" si="26"/>
        <v>0</v>
      </c>
      <c r="BN163" s="751"/>
      <c r="BO163" s="751"/>
      <c r="BP163" s="751"/>
      <c r="BQ163" s="751"/>
      <c r="BR163" s="751"/>
      <c r="BS163" s="751"/>
      <c r="BT163" s="751"/>
      <c r="BU163" s="751"/>
      <c r="BV163" s="751"/>
      <c r="BW163" s="751"/>
      <c r="BX163" s="751"/>
      <c r="BY163" s="751"/>
      <c r="BZ163" s="751"/>
      <c r="CA163" s="751"/>
      <c r="CB163" s="751"/>
      <c r="CC163" s="751"/>
      <c r="CD163" s="751"/>
      <c r="CE163" s="751"/>
      <c r="CF163" s="751"/>
      <c r="CG163" s="751"/>
    </row>
    <row r="164" spans="3:85">
      <c r="D164" s="775"/>
      <c r="E164" s="775"/>
      <c r="F164" s="775"/>
      <c r="G164" s="775"/>
      <c r="H164" s="775"/>
      <c r="I164" s="775"/>
      <c r="J164" s="775"/>
      <c r="K164" s="775"/>
      <c r="L164" s="775"/>
      <c r="M164" s="777">
        <f t="shared" si="22"/>
        <v>0</v>
      </c>
      <c r="O164" s="775"/>
      <c r="P164" s="775"/>
      <c r="Q164" s="775"/>
      <c r="R164" s="775"/>
      <c r="S164" s="775"/>
      <c r="T164" s="775"/>
      <c r="U164" s="775"/>
      <c r="V164" s="775"/>
      <c r="W164" s="775"/>
      <c r="X164" s="775"/>
      <c r="Y164" s="777">
        <f t="shared" si="23"/>
        <v>0</v>
      </c>
      <c r="AA164" s="775"/>
      <c r="AB164" s="775"/>
      <c r="AC164" s="775"/>
      <c r="AD164" s="775"/>
      <c r="AE164" s="775"/>
      <c r="AF164" s="775"/>
      <c r="AG164" s="775"/>
      <c r="AH164" s="775"/>
      <c r="AI164" s="775"/>
      <c r="AJ164" s="775"/>
      <c r="AK164" s="777">
        <f t="shared" si="24"/>
        <v>0</v>
      </c>
      <c r="AL164" s="786"/>
      <c r="AM164" s="775"/>
      <c r="AN164" s="775"/>
      <c r="AO164" s="775"/>
      <c r="AP164" s="775"/>
      <c r="AQ164" s="775"/>
      <c r="AR164" s="775"/>
      <c r="AS164" s="775"/>
      <c r="AT164" s="775"/>
      <c r="AU164" s="775"/>
      <c r="AV164" s="775"/>
      <c r="AW164" s="777">
        <f t="shared" si="25"/>
        <v>0</v>
      </c>
      <c r="AX164" s="786"/>
      <c r="AY164" s="775"/>
      <c r="AZ164" s="775"/>
      <c r="BA164" s="775"/>
      <c r="BB164" s="775"/>
      <c r="BC164" s="775"/>
      <c r="BD164" s="775"/>
      <c r="BE164" s="775"/>
      <c r="BF164" s="775"/>
      <c r="BG164" s="775"/>
      <c r="BH164" s="775"/>
      <c r="BI164" s="777">
        <f t="shared" si="26"/>
        <v>0</v>
      </c>
      <c r="BN164" s="751"/>
      <c r="BO164" s="751"/>
      <c r="BP164" s="751"/>
      <c r="BQ164" s="751"/>
      <c r="BR164" s="751"/>
      <c r="BS164" s="751"/>
      <c r="BT164" s="751"/>
      <c r="BU164" s="751"/>
      <c r="BV164" s="751"/>
      <c r="BW164" s="751"/>
      <c r="BX164" s="751"/>
      <c r="BY164" s="751"/>
      <c r="BZ164" s="751"/>
      <c r="CA164" s="751"/>
      <c r="CB164" s="751"/>
      <c r="CC164" s="751"/>
      <c r="CD164" s="751"/>
      <c r="CE164" s="751"/>
      <c r="CF164" s="751"/>
      <c r="CG164" s="751"/>
    </row>
    <row r="165" spans="3:85">
      <c r="D165" s="775"/>
      <c r="E165" s="775"/>
      <c r="F165" s="775"/>
      <c r="G165" s="775"/>
      <c r="H165" s="775"/>
      <c r="I165" s="775"/>
      <c r="J165" s="775"/>
      <c r="K165" s="775"/>
      <c r="L165" s="775"/>
      <c r="M165" s="777">
        <f t="shared" si="22"/>
        <v>0</v>
      </c>
      <c r="O165" s="775"/>
      <c r="P165" s="775"/>
      <c r="Q165" s="775"/>
      <c r="R165" s="775"/>
      <c r="S165" s="775"/>
      <c r="T165" s="775"/>
      <c r="U165" s="775"/>
      <c r="V165" s="775"/>
      <c r="W165" s="775"/>
      <c r="X165" s="775"/>
      <c r="Y165" s="777">
        <f t="shared" si="23"/>
        <v>0</v>
      </c>
      <c r="AA165" s="775"/>
      <c r="AB165" s="775"/>
      <c r="AC165" s="775"/>
      <c r="AD165" s="775"/>
      <c r="AE165" s="775"/>
      <c r="AF165" s="775"/>
      <c r="AG165" s="775"/>
      <c r="AH165" s="775"/>
      <c r="AI165" s="775"/>
      <c r="AJ165" s="775"/>
      <c r="AK165" s="777">
        <f t="shared" si="24"/>
        <v>0</v>
      </c>
      <c r="AL165" s="786"/>
      <c r="AM165" s="775"/>
      <c r="AN165" s="775"/>
      <c r="AO165" s="775"/>
      <c r="AP165" s="775"/>
      <c r="AQ165" s="775"/>
      <c r="AR165" s="775"/>
      <c r="AS165" s="775"/>
      <c r="AT165" s="775"/>
      <c r="AU165" s="775"/>
      <c r="AV165" s="775"/>
      <c r="AW165" s="777">
        <f t="shared" si="25"/>
        <v>0</v>
      </c>
      <c r="AX165" s="786"/>
      <c r="AY165" s="775"/>
      <c r="AZ165" s="775"/>
      <c r="BA165" s="775"/>
      <c r="BB165" s="775"/>
      <c r="BC165" s="775"/>
      <c r="BD165" s="775"/>
      <c r="BE165" s="775"/>
      <c r="BF165" s="775"/>
      <c r="BG165" s="775"/>
      <c r="BH165" s="775"/>
      <c r="BI165" s="777">
        <f t="shared" si="26"/>
        <v>0</v>
      </c>
      <c r="BN165" s="751"/>
      <c r="BO165" s="751"/>
      <c r="BP165" s="751"/>
      <c r="BQ165" s="751"/>
      <c r="BR165" s="751"/>
      <c r="BS165" s="751"/>
      <c r="BT165" s="751"/>
      <c r="BU165" s="751"/>
      <c r="BV165" s="751"/>
      <c r="BW165" s="751"/>
      <c r="BX165" s="751"/>
      <c r="BY165" s="751"/>
      <c r="BZ165" s="751"/>
      <c r="CA165" s="751"/>
      <c r="CB165" s="751"/>
      <c r="CC165" s="751"/>
      <c r="CD165" s="751"/>
      <c r="CE165" s="751"/>
      <c r="CF165" s="751"/>
      <c r="CG165" s="751"/>
    </row>
    <row r="166" spans="3:85" ht="14.25">
      <c r="D166" s="781"/>
      <c r="E166" s="781"/>
      <c r="F166" s="781"/>
      <c r="G166" s="781"/>
      <c r="I166" s="772" t="s">
        <v>2587</v>
      </c>
      <c r="J166" s="802">
        <f>SUM(J140:J165)</f>
        <v>0</v>
      </c>
      <c r="K166" s="772" t="s">
        <v>2588</v>
      </c>
      <c r="L166" s="803">
        <f>SUM(L140:L165)</f>
        <v>0</v>
      </c>
      <c r="M166" s="803">
        <f>SUM(M140:M165)</f>
        <v>0</v>
      </c>
      <c r="O166" s="781"/>
      <c r="P166" s="781"/>
      <c r="Q166" s="781"/>
      <c r="R166" s="781"/>
      <c r="S166" s="781"/>
      <c r="U166" s="772" t="s">
        <v>2587</v>
      </c>
      <c r="V166" s="802">
        <f>SUM(V140:V165)</f>
        <v>0</v>
      </c>
      <c r="W166" s="772" t="s">
        <v>2588</v>
      </c>
      <c r="X166" s="802">
        <f>SUM(X140:X165)</f>
        <v>0</v>
      </c>
      <c r="Y166" s="803">
        <f>SUM(Y140:Y165)</f>
        <v>0</v>
      </c>
      <c r="Z166" s="786"/>
      <c r="AA166" s="781"/>
      <c r="AB166" s="781"/>
      <c r="AC166" s="781"/>
      <c r="AD166" s="781"/>
      <c r="AE166" s="781"/>
      <c r="AG166" s="772" t="s">
        <v>2587</v>
      </c>
      <c r="AH166" s="802">
        <f>SUM(AH140:AH165)</f>
        <v>0</v>
      </c>
      <c r="AI166" s="772" t="s">
        <v>2588</v>
      </c>
      <c r="AJ166" s="802">
        <f>SUM(AJ140:AJ165)</f>
        <v>0</v>
      </c>
      <c r="AK166" s="803">
        <f>SUM(AK140:AK165)</f>
        <v>0</v>
      </c>
      <c r="AL166" s="786"/>
      <c r="AM166" s="781"/>
      <c r="AN166" s="781"/>
      <c r="AO166" s="781"/>
      <c r="AP166" s="781"/>
      <c r="AQ166" s="781"/>
      <c r="AS166" s="772" t="s">
        <v>2587</v>
      </c>
      <c r="AT166" s="802">
        <f>SUM(AT140:AT165)</f>
        <v>0</v>
      </c>
      <c r="AU166" s="772" t="s">
        <v>2588</v>
      </c>
      <c r="AV166" s="802">
        <f>SUM(AV140:AV165)</f>
        <v>0</v>
      </c>
      <c r="AW166" s="803">
        <f>SUM(AW140:AW165)</f>
        <v>0</v>
      </c>
      <c r="AY166" s="781"/>
      <c r="AZ166" s="781"/>
      <c r="BA166" s="781"/>
      <c r="BB166" s="781"/>
      <c r="BC166" s="781"/>
      <c r="BE166" s="772" t="s">
        <v>2587</v>
      </c>
      <c r="BF166" s="802">
        <f>SUM(BF140:BF165)</f>
        <v>0</v>
      </c>
      <c r="BG166" s="772" t="s">
        <v>2588</v>
      </c>
      <c r="BH166" s="802">
        <f>SUM(BH140:BH165)</f>
        <v>0</v>
      </c>
      <c r="BI166" s="777">
        <f t="shared" si="26"/>
        <v>0</v>
      </c>
      <c r="BN166" s="751"/>
      <c r="BO166" s="751"/>
      <c r="BP166" s="751"/>
      <c r="BQ166" s="751"/>
      <c r="BR166" s="751"/>
      <c r="BS166" s="751"/>
      <c r="BT166" s="751"/>
      <c r="BU166" s="751"/>
      <c r="BV166" s="751"/>
      <c r="BW166" s="751"/>
      <c r="BX166" s="751"/>
      <c r="BY166" s="751"/>
      <c r="BZ166" s="751"/>
      <c r="CA166" s="751"/>
      <c r="CB166" s="751"/>
      <c r="CC166" s="751"/>
      <c r="CD166" s="751"/>
      <c r="CE166" s="751"/>
      <c r="CF166" s="751"/>
      <c r="CG166" s="751"/>
    </row>
    <row r="167" spans="3:85" ht="14.25">
      <c r="D167" s="781" t="s">
        <v>2589</v>
      </c>
      <c r="E167" s="804">
        <f>SUMPRODUCT(M140:M165,G140:G165)</f>
        <v>0</v>
      </c>
      <c r="F167" s="805"/>
      <c r="O167" s="781" t="s">
        <v>2589</v>
      </c>
      <c r="P167" s="804">
        <f>SUMPRODUCT(Y140:Y165,T140:T165)</f>
        <v>0</v>
      </c>
      <c r="Q167" s="781"/>
      <c r="Z167" s="786"/>
      <c r="AA167" s="781" t="s">
        <v>2589</v>
      </c>
      <c r="AB167" s="804">
        <f>SUMPRODUCT(AK140:AK165,AE140:AE165)</f>
        <v>0</v>
      </c>
      <c r="AC167" s="781"/>
      <c r="AL167" s="786"/>
      <c r="AM167" s="781" t="s">
        <v>2589</v>
      </c>
      <c r="AN167" s="804">
        <f>SUMPRODUCT(AW140:AW165,AQ140:AQ165)</f>
        <v>0</v>
      </c>
      <c r="AO167" s="781"/>
      <c r="AY167" s="781" t="s">
        <v>2589</v>
      </c>
      <c r="AZ167" s="804">
        <f>SUMPRODUCT(BI140:BI165,BC140:BC165)</f>
        <v>0</v>
      </c>
      <c r="BA167" s="781"/>
      <c r="BN167" s="751"/>
      <c r="BO167" s="751"/>
      <c r="BP167" s="751"/>
      <c r="BQ167" s="751"/>
      <c r="BR167" s="751"/>
      <c r="BS167" s="751"/>
      <c r="BT167" s="751"/>
      <c r="BU167" s="751"/>
      <c r="BV167" s="751"/>
      <c r="BW167" s="751"/>
      <c r="BX167" s="751"/>
      <c r="BY167" s="751"/>
      <c r="BZ167" s="751"/>
      <c r="CA167" s="751"/>
      <c r="CB167" s="751"/>
      <c r="CC167" s="751"/>
      <c r="CD167" s="751"/>
      <c r="CE167" s="751"/>
      <c r="CF167" s="751"/>
      <c r="CG167" s="751"/>
    </row>
    <row r="168" spans="3:85">
      <c r="D168" s="781" t="s">
        <v>2590</v>
      </c>
      <c r="E168" s="1319">
        <v>32.92</v>
      </c>
      <c r="O168" s="781" t="s">
        <v>2590</v>
      </c>
      <c r="P168" s="806">
        <f>SUM(E167:E168)</f>
        <v>32.92</v>
      </c>
      <c r="Z168" s="786"/>
      <c r="AA168" s="781" t="s">
        <v>2590</v>
      </c>
      <c r="AB168" s="806">
        <f>SUM(P167:P168)</f>
        <v>32.92</v>
      </c>
      <c r="AL168" s="786"/>
      <c r="AM168" s="781" t="s">
        <v>2590</v>
      </c>
      <c r="AN168" s="806">
        <f>SUM(AB167:AB168)</f>
        <v>32.92</v>
      </c>
      <c r="AY168" s="781" t="s">
        <v>2590</v>
      </c>
      <c r="AZ168" s="806">
        <f>SUM(AN167:AN168)</f>
        <v>32.92</v>
      </c>
      <c r="BN168" s="751"/>
      <c r="BO168" s="751"/>
      <c r="BP168" s="751"/>
      <c r="BQ168" s="751"/>
      <c r="BR168" s="751"/>
      <c r="BS168" s="751"/>
      <c r="BT168" s="751"/>
      <c r="BU168" s="751"/>
      <c r="BV168" s="751"/>
      <c r="BW168" s="751"/>
      <c r="BX168" s="751"/>
      <c r="BY168" s="751"/>
      <c r="BZ168" s="751"/>
      <c r="CA168" s="751"/>
      <c r="CB168" s="751"/>
      <c r="CC168" s="751"/>
      <c r="CD168" s="751"/>
      <c r="CE168" s="751"/>
      <c r="CF168" s="751"/>
      <c r="CG168" s="751"/>
    </row>
    <row r="169" spans="3:85">
      <c r="D169" s="772" t="s">
        <v>2591</v>
      </c>
      <c r="E169" s="788">
        <f>E166/E168-1</f>
        <v>-1</v>
      </c>
      <c r="J169" s="807"/>
      <c r="O169" s="772" t="s">
        <v>2591</v>
      </c>
      <c r="P169" s="788">
        <f>P166/P168-1</f>
        <v>-1</v>
      </c>
      <c r="Y169" s="786"/>
      <c r="Z169" s="772" t="s">
        <v>2591</v>
      </c>
      <c r="AA169" s="788">
        <f>AB166/AB168-1</f>
        <v>-1</v>
      </c>
      <c r="AK169" s="786"/>
      <c r="AL169" s="772" t="s">
        <v>2591</v>
      </c>
      <c r="AM169" s="788">
        <f>AN166/AN168-1</f>
        <v>-1</v>
      </c>
      <c r="AX169" s="772" t="s">
        <v>2591</v>
      </c>
      <c r="AY169" s="788">
        <f>AZ166/AZ168-1</f>
        <v>-1</v>
      </c>
      <c r="BN169" s="751"/>
      <c r="BO169" s="751"/>
      <c r="BP169" s="751"/>
      <c r="BQ169" s="751"/>
      <c r="BR169" s="751"/>
      <c r="BS169" s="751"/>
      <c r="BT169" s="751"/>
      <c r="BU169" s="751"/>
      <c r="BV169" s="751"/>
      <c r="BW169" s="751"/>
      <c r="BX169" s="751"/>
      <c r="BY169" s="751"/>
      <c r="BZ169" s="751"/>
      <c r="CA169" s="751"/>
      <c r="CB169" s="751"/>
      <c r="CC169" s="751"/>
      <c r="CD169" s="751"/>
      <c r="CE169" s="751"/>
      <c r="CF169" s="751"/>
      <c r="CG169" s="751"/>
    </row>
    <row r="170" spans="3:85">
      <c r="J170" s="807"/>
      <c r="L170" s="808"/>
      <c r="M170" s="808"/>
      <c r="U170" s="786"/>
      <c r="V170" s="786"/>
      <c r="W170" s="786"/>
      <c r="X170" s="786"/>
      <c r="Y170" s="786"/>
      <c r="Z170" s="786"/>
      <c r="AA170" s="786"/>
      <c r="AB170" s="786"/>
      <c r="AC170" s="786"/>
      <c r="AD170" s="786"/>
      <c r="AF170" s="786"/>
      <c r="AG170" s="786"/>
      <c r="AH170" s="786"/>
      <c r="AI170" s="786"/>
      <c r="AJ170" s="786"/>
      <c r="AK170" s="786"/>
      <c r="AL170" s="786"/>
      <c r="AM170" s="786"/>
      <c r="AN170" s="786"/>
      <c r="AO170" s="786"/>
      <c r="AP170" s="786"/>
      <c r="AR170" s="786"/>
      <c r="BN170" s="751"/>
      <c r="BO170" s="751"/>
      <c r="BP170" s="751"/>
      <c r="BQ170" s="751"/>
      <c r="BR170" s="751"/>
      <c r="BS170" s="751"/>
      <c r="BT170" s="751"/>
      <c r="BU170" s="751"/>
      <c r="BV170" s="751"/>
      <c r="BW170" s="751"/>
      <c r="BX170" s="751"/>
      <c r="BY170" s="751"/>
      <c r="BZ170" s="751"/>
      <c r="CA170" s="751"/>
      <c r="CB170" s="751"/>
      <c r="CC170" s="751"/>
      <c r="CD170" s="751"/>
      <c r="CE170" s="751"/>
      <c r="CF170" s="751"/>
      <c r="CG170" s="751"/>
    </row>
    <row r="171" spans="3:85">
      <c r="J171" s="807"/>
      <c r="U171" s="786"/>
      <c r="V171" s="786"/>
      <c r="W171" s="786"/>
      <c r="X171" s="786"/>
      <c r="Y171" s="786"/>
      <c r="Z171" s="786"/>
      <c r="AA171" s="786"/>
      <c r="AB171" s="786"/>
      <c r="AC171" s="786"/>
      <c r="AD171" s="786"/>
      <c r="AE171" s="786"/>
      <c r="AF171" s="786"/>
      <c r="AG171" s="786"/>
      <c r="AH171" s="786"/>
      <c r="AI171" s="786"/>
      <c r="AJ171" s="786"/>
      <c r="AK171" s="786"/>
      <c r="AL171" s="786"/>
      <c r="AM171" s="786"/>
      <c r="AN171" s="786"/>
      <c r="AO171" s="786"/>
      <c r="AP171" s="786"/>
      <c r="BN171" s="751"/>
      <c r="BO171" s="751"/>
      <c r="BP171" s="751"/>
      <c r="BQ171" s="751"/>
      <c r="BR171" s="751"/>
      <c r="BS171" s="751"/>
      <c r="BT171" s="751"/>
      <c r="BU171" s="751"/>
      <c r="BV171" s="751"/>
      <c r="BW171" s="751"/>
      <c r="BX171" s="751"/>
      <c r="BY171" s="751"/>
      <c r="BZ171" s="751"/>
      <c r="CA171" s="751"/>
      <c r="CB171" s="751"/>
      <c r="CC171" s="751"/>
      <c r="CD171" s="751"/>
      <c r="CE171" s="751"/>
      <c r="CF171" s="751"/>
      <c r="CG171" s="751"/>
    </row>
    <row r="172" spans="3:85">
      <c r="D172" s="773" t="s">
        <v>2592</v>
      </c>
      <c r="Q172" s="773" t="s">
        <v>2593</v>
      </c>
      <c r="AD172" s="786"/>
      <c r="AE172" s="773" t="s">
        <v>2594</v>
      </c>
      <c r="AQ172" s="786"/>
      <c r="AR172" s="773" t="s">
        <v>2595</v>
      </c>
      <c r="BE172" s="773" t="s">
        <v>2596</v>
      </c>
      <c r="BN172" s="751"/>
      <c r="BO172" s="751"/>
      <c r="BP172" s="751"/>
      <c r="BQ172" s="751"/>
      <c r="BR172" s="751"/>
      <c r="BS172" s="751"/>
      <c r="BT172" s="751"/>
      <c r="BU172" s="751"/>
      <c r="BV172" s="751"/>
      <c r="BW172" s="751"/>
      <c r="BX172" s="751"/>
      <c r="BY172" s="751"/>
      <c r="BZ172" s="751"/>
      <c r="CA172" s="751"/>
      <c r="CB172" s="751"/>
      <c r="CC172" s="751"/>
      <c r="CD172" s="751"/>
      <c r="CE172" s="751"/>
      <c r="CF172" s="751"/>
      <c r="CG172" s="751"/>
    </row>
    <row r="173" spans="3:85">
      <c r="I173" s="753"/>
      <c r="V173" s="753"/>
      <c r="AB173" s="786"/>
      <c r="AC173" s="786"/>
      <c r="AI173" s="753"/>
      <c r="AO173" s="786"/>
      <c r="AP173" s="786"/>
      <c r="AV173" s="753"/>
      <c r="BI173" s="753"/>
      <c r="BN173" s="751"/>
      <c r="BO173" s="751"/>
      <c r="BP173" s="751"/>
      <c r="BQ173" s="751"/>
      <c r="BR173" s="751"/>
      <c r="BS173" s="751"/>
      <c r="BT173" s="751"/>
      <c r="BU173" s="751"/>
      <c r="BV173" s="751"/>
      <c r="BW173" s="751"/>
      <c r="BX173" s="751"/>
      <c r="BY173" s="751"/>
      <c r="BZ173" s="751"/>
      <c r="CA173" s="751"/>
      <c r="CB173" s="751"/>
      <c r="CC173" s="751"/>
      <c r="CD173" s="751"/>
      <c r="CE173" s="751"/>
      <c r="CF173" s="751"/>
      <c r="CG173" s="751"/>
    </row>
    <row r="174" spans="3:85">
      <c r="G174" s="1387" t="s">
        <v>2597</v>
      </c>
      <c r="H174" s="1387"/>
      <c r="I174" s="1387"/>
      <c r="J174" s="1387" t="s">
        <v>2598</v>
      </c>
      <c r="K174" s="1387"/>
      <c r="L174" s="793"/>
      <c r="M174" s="793"/>
      <c r="N174" s="751" t="s">
        <v>2599</v>
      </c>
      <c r="T174" s="1387" t="s">
        <v>2597</v>
      </c>
      <c r="U174" s="1387"/>
      <c r="V174" s="1387"/>
      <c r="W174" s="1387" t="s">
        <v>2598</v>
      </c>
      <c r="X174" s="1387"/>
      <c r="Y174" s="793"/>
      <c r="Z174" s="793"/>
      <c r="AB174" s="786"/>
      <c r="AC174" s="786"/>
      <c r="AG174" s="1387" t="s">
        <v>2597</v>
      </c>
      <c r="AH174" s="1387"/>
      <c r="AI174" s="1387"/>
      <c r="AJ174" s="1387" t="s">
        <v>2598</v>
      </c>
      <c r="AK174" s="1387"/>
      <c r="AL174" s="793"/>
      <c r="AM174" s="793"/>
      <c r="AO174" s="786"/>
      <c r="AP174" s="786"/>
      <c r="AT174" s="1387" t="s">
        <v>2597</v>
      </c>
      <c r="AU174" s="1387"/>
      <c r="AV174" s="1387"/>
      <c r="AW174" s="1387" t="s">
        <v>2598</v>
      </c>
      <c r="AX174" s="1387"/>
      <c r="AY174" s="1387"/>
      <c r="AZ174" s="793"/>
      <c r="BG174" s="1387" t="s">
        <v>2597</v>
      </c>
      <c r="BH174" s="1387"/>
      <c r="BI174" s="1387"/>
      <c r="BJ174" s="1387" t="s">
        <v>2598</v>
      </c>
      <c r="BK174" s="1387"/>
      <c r="BL174" s="1387"/>
      <c r="BM174" s="793"/>
      <c r="BN174" s="751"/>
      <c r="BO174" s="751"/>
      <c r="BP174" s="751"/>
      <c r="BQ174" s="751"/>
      <c r="BR174" s="751"/>
      <c r="BS174" s="751"/>
      <c r="BT174" s="751"/>
      <c r="BU174" s="751"/>
      <c r="BV174" s="751"/>
      <c r="BW174" s="751"/>
      <c r="BX174" s="751"/>
      <c r="BY174" s="751"/>
      <c r="BZ174" s="751"/>
      <c r="CA174" s="751"/>
      <c r="CB174" s="751"/>
      <c r="CC174" s="751"/>
      <c r="CD174" s="751"/>
      <c r="CE174" s="751"/>
      <c r="CF174" s="751"/>
      <c r="CG174" s="751"/>
    </row>
    <row r="175" spans="3:85" ht="61.9">
      <c r="C175" s="794" t="s">
        <v>2600</v>
      </c>
      <c r="D175" s="798" t="s">
        <v>2576</v>
      </c>
      <c r="E175" s="795" t="s">
        <v>2601</v>
      </c>
      <c r="F175" s="797" t="s">
        <v>2602</v>
      </c>
      <c r="G175" s="753" t="s">
        <v>2603</v>
      </c>
      <c r="H175" s="796" t="s">
        <v>2604</v>
      </c>
      <c r="I175" s="796" t="s">
        <v>2605</v>
      </c>
      <c r="J175" s="753" t="s">
        <v>2603</v>
      </c>
      <c r="K175" s="796" t="s">
        <v>2604</v>
      </c>
      <c r="L175" s="796" t="s">
        <v>2605</v>
      </c>
      <c r="M175" s="793" t="s">
        <v>2606</v>
      </c>
      <c r="N175" s="753" t="s">
        <v>2607</v>
      </c>
      <c r="O175" s="753"/>
      <c r="P175" s="794" t="s">
        <v>2600</v>
      </c>
      <c r="Q175" s="798" t="s">
        <v>2576</v>
      </c>
      <c r="R175" s="795" t="s">
        <v>2601</v>
      </c>
      <c r="S175" s="797" t="s">
        <v>2602</v>
      </c>
      <c r="T175" s="753" t="s">
        <v>2603</v>
      </c>
      <c r="U175" s="796" t="s">
        <v>2604</v>
      </c>
      <c r="V175" s="796" t="s">
        <v>2605</v>
      </c>
      <c r="W175" s="753" t="s">
        <v>2603</v>
      </c>
      <c r="X175" s="796" t="s">
        <v>2604</v>
      </c>
      <c r="Y175" s="796" t="s">
        <v>2605</v>
      </c>
      <c r="Z175" s="793" t="s">
        <v>2606</v>
      </c>
      <c r="AA175" s="753" t="s">
        <v>2607</v>
      </c>
      <c r="AB175" s="786"/>
      <c r="AC175" s="794" t="s">
        <v>2600</v>
      </c>
      <c r="AD175" s="798" t="s">
        <v>2576</v>
      </c>
      <c r="AE175" s="795" t="s">
        <v>2601</v>
      </c>
      <c r="AF175" s="797" t="s">
        <v>2602</v>
      </c>
      <c r="AG175" s="753" t="s">
        <v>2603</v>
      </c>
      <c r="AH175" s="796" t="s">
        <v>2604</v>
      </c>
      <c r="AI175" s="796" t="s">
        <v>2605</v>
      </c>
      <c r="AJ175" s="753" t="s">
        <v>2603</v>
      </c>
      <c r="AK175" s="796" t="s">
        <v>2604</v>
      </c>
      <c r="AL175" s="796" t="s">
        <v>2605</v>
      </c>
      <c r="AM175" s="793" t="s">
        <v>2606</v>
      </c>
      <c r="AN175" s="753" t="s">
        <v>2607</v>
      </c>
      <c r="AO175" s="786"/>
      <c r="AP175" s="794" t="s">
        <v>2600</v>
      </c>
      <c r="AQ175" s="798" t="s">
        <v>2576</v>
      </c>
      <c r="AR175" s="795" t="s">
        <v>2601</v>
      </c>
      <c r="AS175" s="797" t="s">
        <v>2602</v>
      </c>
      <c r="AT175" s="753" t="s">
        <v>2603</v>
      </c>
      <c r="AU175" s="796" t="s">
        <v>2604</v>
      </c>
      <c r="AV175" s="796" t="s">
        <v>2605</v>
      </c>
      <c r="AW175" s="753" t="s">
        <v>2603</v>
      </c>
      <c r="AX175" s="796" t="s">
        <v>2604</v>
      </c>
      <c r="AY175" s="796" t="s">
        <v>2605</v>
      </c>
      <c r="AZ175" s="793" t="s">
        <v>2606</v>
      </c>
      <c r="BA175" s="753" t="s">
        <v>2607</v>
      </c>
      <c r="BB175" s="753"/>
      <c r="BC175" s="794" t="s">
        <v>2600</v>
      </c>
      <c r="BD175" s="798" t="s">
        <v>2576</v>
      </c>
      <c r="BE175" s="795" t="s">
        <v>2601</v>
      </c>
      <c r="BF175" s="797" t="s">
        <v>2602</v>
      </c>
      <c r="BG175" s="753" t="s">
        <v>2603</v>
      </c>
      <c r="BH175" s="796" t="s">
        <v>2604</v>
      </c>
      <c r="BI175" s="796" t="s">
        <v>2605</v>
      </c>
      <c r="BJ175" s="753" t="s">
        <v>2603</v>
      </c>
      <c r="BK175" s="796" t="s">
        <v>2604</v>
      </c>
      <c r="BL175" s="796" t="s">
        <v>2605</v>
      </c>
      <c r="BM175" s="793" t="s">
        <v>2606</v>
      </c>
      <c r="BN175" s="753" t="s">
        <v>2607</v>
      </c>
      <c r="BO175" s="751"/>
      <c r="BP175" s="751"/>
      <c r="BQ175" s="751"/>
      <c r="BR175" s="751"/>
      <c r="BS175" s="751"/>
      <c r="BT175" s="751"/>
      <c r="BU175" s="751"/>
      <c r="BV175" s="751"/>
      <c r="BW175" s="751"/>
      <c r="BX175" s="751"/>
      <c r="BY175" s="751"/>
      <c r="BZ175" s="751"/>
      <c r="CA175" s="751"/>
      <c r="CB175" s="751"/>
      <c r="CC175" s="751"/>
      <c r="CD175" s="751"/>
      <c r="CE175" s="751"/>
      <c r="CF175" s="751"/>
      <c r="CG175" s="751"/>
    </row>
    <row r="176" spans="3:85" ht="14.25">
      <c r="C176" s="775"/>
      <c r="D176" s="775"/>
      <c r="E176" s="774" t="s">
        <v>1807</v>
      </c>
      <c r="F176" s="775"/>
      <c r="G176" s="775"/>
      <c r="H176" s="775"/>
      <c r="I176" s="775"/>
      <c r="J176" s="775"/>
      <c r="K176" s="775"/>
      <c r="L176" s="775"/>
      <c r="M176" s="809" t="e">
        <f>(I176-F176)/F176</f>
        <v>#DIV/0!</v>
      </c>
      <c r="N176" s="775"/>
      <c r="O176" s="753"/>
      <c r="P176" s="775"/>
      <c r="Q176" s="775"/>
      <c r="R176" s="774" t="s">
        <v>1807</v>
      </c>
      <c r="S176" s="775"/>
      <c r="T176" s="775"/>
      <c r="U176" s="775"/>
      <c r="V176" s="775"/>
      <c r="W176" s="775"/>
      <c r="X176" s="775"/>
      <c r="Y176" s="775"/>
      <c r="Z176" s="809" t="e">
        <f t="shared" ref="Z176:Z202" si="27">(V176-S176)/S176</f>
        <v>#DIV/0!</v>
      </c>
      <c r="AA176" s="775"/>
      <c r="AB176" s="786"/>
      <c r="AC176" s="775"/>
      <c r="AD176" s="775"/>
      <c r="AE176" s="774" t="s">
        <v>1807</v>
      </c>
      <c r="AF176" s="775"/>
      <c r="AG176" s="775"/>
      <c r="AH176" s="775"/>
      <c r="AI176" s="775"/>
      <c r="AJ176" s="775"/>
      <c r="AK176" s="775"/>
      <c r="AL176" s="775"/>
      <c r="AM176" s="809" t="e">
        <f t="shared" ref="AM176:AM202" si="28">(AI176-AF176)/AF176</f>
        <v>#DIV/0!</v>
      </c>
      <c r="AN176" s="775"/>
      <c r="AO176" s="786"/>
      <c r="AP176" s="775"/>
      <c r="AQ176" s="775"/>
      <c r="AR176" s="774" t="s">
        <v>1807</v>
      </c>
      <c r="AS176" s="775"/>
      <c r="AT176" s="775"/>
      <c r="AU176" s="775"/>
      <c r="AV176" s="775"/>
      <c r="AW176" s="775"/>
      <c r="AX176" s="775"/>
      <c r="AY176" s="775"/>
      <c r="AZ176" s="809" t="e">
        <f t="shared" ref="AZ176:AZ202" si="29">(AV176-AS176)/AS176</f>
        <v>#DIV/0!</v>
      </c>
      <c r="BA176" s="775"/>
      <c r="BB176" s="753"/>
      <c r="BC176" s="775"/>
      <c r="BD176" s="775"/>
      <c r="BE176" s="774" t="s">
        <v>1807</v>
      </c>
      <c r="BF176" s="775"/>
      <c r="BG176" s="775"/>
      <c r="BH176" s="775"/>
      <c r="BI176" s="775"/>
      <c r="BJ176" s="775"/>
      <c r="BK176" s="775"/>
      <c r="BL176" s="775"/>
      <c r="BM176" s="809" t="e">
        <f t="shared" ref="BM176:BM202" si="30">(BI176-BF176)/BF176</f>
        <v>#DIV/0!</v>
      </c>
      <c r="BN176" s="775"/>
      <c r="BO176" s="751"/>
      <c r="BP176" s="751"/>
      <c r="BQ176" s="751"/>
      <c r="BR176" s="751"/>
      <c r="BS176" s="751"/>
      <c r="BT176" s="751"/>
      <c r="BU176" s="751"/>
      <c r="BV176" s="751"/>
      <c r="BW176" s="751"/>
      <c r="BX176" s="751"/>
      <c r="BY176" s="751"/>
      <c r="BZ176" s="751"/>
      <c r="CA176" s="751"/>
      <c r="CB176" s="751"/>
      <c r="CC176" s="751"/>
      <c r="CD176" s="751"/>
      <c r="CE176" s="751"/>
      <c r="CF176" s="751"/>
      <c r="CG176" s="751"/>
    </row>
    <row r="177" spans="3:85" ht="14.25">
      <c r="C177" s="775"/>
      <c r="D177" s="775"/>
      <c r="E177" s="775"/>
      <c r="F177" s="775"/>
      <c r="G177" s="775"/>
      <c r="H177" s="775"/>
      <c r="I177" s="775"/>
      <c r="J177" s="775"/>
      <c r="K177" s="775"/>
      <c r="L177" s="775"/>
      <c r="M177" s="809" t="e">
        <f t="shared" ref="M177:M202" si="31">(I177-F177)/F177</f>
        <v>#DIV/0!</v>
      </c>
      <c r="N177" s="775"/>
      <c r="O177" s="753"/>
      <c r="P177" s="775"/>
      <c r="Q177" s="775"/>
      <c r="R177" s="775"/>
      <c r="S177" s="775"/>
      <c r="T177" s="775"/>
      <c r="U177" s="775"/>
      <c r="V177" s="775"/>
      <c r="W177" s="775"/>
      <c r="X177" s="775"/>
      <c r="Y177" s="775"/>
      <c r="Z177" s="809" t="e">
        <f t="shared" si="27"/>
        <v>#DIV/0!</v>
      </c>
      <c r="AA177" s="775"/>
      <c r="AB177" s="786"/>
      <c r="AC177" s="775"/>
      <c r="AD177" s="775"/>
      <c r="AE177" s="775"/>
      <c r="AF177" s="775"/>
      <c r="AG177" s="775"/>
      <c r="AH177" s="775"/>
      <c r="AI177" s="775"/>
      <c r="AJ177" s="775"/>
      <c r="AK177" s="775"/>
      <c r="AL177" s="775"/>
      <c r="AM177" s="809" t="e">
        <f t="shared" si="28"/>
        <v>#DIV/0!</v>
      </c>
      <c r="AN177" s="775"/>
      <c r="AO177" s="786"/>
      <c r="AP177" s="775"/>
      <c r="AQ177" s="775"/>
      <c r="AR177" s="775"/>
      <c r="AS177" s="775"/>
      <c r="AT177" s="775"/>
      <c r="AU177" s="775"/>
      <c r="AV177" s="775"/>
      <c r="AW177" s="775"/>
      <c r="AX177" s="775"/>
      <c r="AY177" s="775"/>
      <c r="AZ177" s="809" t="e">
        <f t="shared" si="29"/>
        <v>#DIV/0!</v>
      </c>
      <c r="BA177" s="775"/>
      <c r="BB177" s="753"/>
      <c r="BC177" s="775"/>
      <c r="BD177" s="775"/>
      <c r="BE177" s="775"/>
      <c r="BF177" s="775"/>
      <c r="BG177" s="775"/>
      <c r="BH177" s="775"/>
      <c r="BI177" s="775"/>
      <c r="BJ177" s="775"/>
      <c r="BK177" s="775"/>
      <c r="BL177" s="775"/>
      <c r="BM177" s="809" t="e">
        <f t="shared" si="30"/>
        <v>#DIV/0!</v>
      </c>
      <c r="BN177" s="775"/>
      <c r="BO177" s="751"/>
      <c r="BP177" s="751"/>
      <c r="BQ177" s="751"/>
      <c r="BR177" s="751"/>
      <c r="BS177" s="751"/>
      <c r="BT177" s="751"/>
      <c r="BU177" s="751"/>
      <c r="BV177" s="751"/>
      <c r="BW177" s="751"/>
      <c r="BX177" s="751"/>
      <c r="BY177" s="751"/>
      <c r="BZ177" s="751"/>
      <c r="CA177" s="751"/>
      <c r="CB177" s="751"/>
      <c r="CC177" s="751"/>
      <c r="CD177" s="751"/>
      <c r="CE177" s="751"/>
      <c r="CF177" s="751"/>
      <c r="CG177" s="751"/>
    </row>
    <row r="178" spans="3:85" ht="14.25">
      <c r="C178" s="775"/>
      <c r="D178" s="775"/>
      <c r="E178" s="775"/>
      <c r="F178" s="775"/>
      <c r="G178" s="775"/>
      <c r="H178" s="775"/>
      <c r="I178" s="775"/>
      <c r="J178" s="775"/>
      <c r="K178" s="775"/>
      <c r="L178" s="775"/>
      <c r="M178" s="809" t="e">
        <f t="shared" si="31"/>
        <v>#DIV/0!</v>
      </c>
      <c r="N178" s="775"/>
      <c r="O178" s="753"/>
      <c r="P178" s="775"/>
      <c r="Q178" s="775"/>
      <c r="R178" s="775"/>
      <c r="S178" s="775"/>
      <c r="T178" s="775"/>
      <c r="U178" s="775"/>
      <c r="V178" s="775"/>
      <c r="W178" s="775"/>
      <c r="X178" s="775"/>
      <c r="Y178" s="775"/>
      <c r="Z178" s="809" t="e">
        <f t="shared" si="27"/>
        <v>#DIV/0!</v>
      </c>
      <c r="AA178" s="775"/>
      <c r="AB178" s="786"/>
      <c r="AC178" s="775"/>
      <c r="AD178" s="775"/>
      <c r="AE178" s="775"/>
      <c r="AF178" s="775"/>
      <c r="AG178" s="775"/>
      <c r="AH178" s="775"/>
      <c r="AI178" s="775"/>
      <c r="AJ178" s="775"/>
      <c r="AK178" s="775"/>
      <c r="AL178" s="775"/>
      <c r="AM178" s="809" t="e">
        <f t="shared" si="28"/>
        <v>#DIV/0!</v>
      </c>
      <c r="AN178" s="775"/>
      <c r="AO178" s="786"/>
      <c r="AP178" s="775"/>
      <c r="AQ178" s="775"/>
      <c r="AR178" s="775"/>
      <c r="AS178" s="775"/>
      <c r="AT178" s="775"/>
      <c r="AU178" s="775"/>
      <c r="AV178" s="775"/>
      <c r="AW178" s="775"/>
      <c r="AX178" s="775"/>
      <c r="AY178" s="775"/>
      <c r="AZ178" s="809" t="e">
        <f t="shared" si="29"/>
        <v>#DIV/0!</v>
      </c>
      <c r="BA178" s="775"/>
      <c r="BB178" s="753"/>
      <c r="BC178" s="775"/>
      <c r="BD178" s="775"/>
      <c r="BE178" s="775"/>
      <c r="BF178" s="775"/>
      <c r="BG178" s="775"/>
      <c r="BH178" s="775"/>
      <c r="BI178" s="775"/>
      <c r="BJ178" s="775"/>
      <c r="BK178" s="775"/>
      <c r="BL178" s="775"/>
      <c r="BM178" s="809" t="e">
        <f t="shared" si="30"/>
        <v>#DIV/0!</v>
      </c>
      <c r="BN178" s="775"/>
      <c r="BO178" s="751"/>
      <c r="BP178" s="751"/>
      <c r="BQ178" s="751"/>
      <c r="BR178" s="751"/>
      <c r="BS178" s="751"/>
      <c r="BT178" s="751"/>
      <c r="BU178" s="751"/>
      <c r="BV178" s="751"/>
      <c r="BW178" s="751"/>
      <c r="BX178" s="751"/>
      <c r="BY178" s="751"/>
      <c r="BZ178" s="751"/>
      <c r="CA178" s="751"/>
      <c r="CB178" s="751"/>
      <c r="CC178" s="751"/>
      <c r="CD178" s="751"/>
      <c r="CE178" s="751"/>
      <c r="CF178" s="751"/>
      <c r="CG178" s="751"/>
    </row>
    <row r="179" spans="3:85" ht="14.25">
      <c r="C179" s="775"/>
      <c r="D179" s="775"/>
      <c r="E179" s="775"/>
      <c r="F179" s="775"/>
      <c r="G179" s="775"/>
      <c r="H179" s="775"/>
      <c r="I179" s="775"/>
      <c r="J179" s="775"/>
      <c r="K179" s="775"/>
      <c r="L179" s="775"/>
      <c r="M179" s="809" t="e">
        <f t="shared" si="31"/>
        <v>#DIV/0!</v>
      </c>
      <c r="N179" s="775"/>
      <c r="O179" s="753"/>
      <c r="P179" s="775"/>
      <c r="Q179" s="775"/>
      <c r="R179" s="775"/>
      <c r="S179" s="775"/>
      <c r="T179" s="775"/>
      <c r="U179" s="775"/>
      <c r="V179" s="775"/>
      <c r="W179" s="775"/>
      <c r="X179" s="775"/>
      <c r="Y179" s="775"/>
      <c r="Z179" s="809" t="e">
        <f t="shared" si="27"/>
        <v>#DIV/0!</v>
      </c>
      <c r="AA179" s="775"/>
      <c r="AB179" s="786"/>
      <c r="AC179" s="775"/>
      <c r="AD179" s="775"/>
      <c r="AE179" s="775"/>
      <c r="AF179" s="775"/>
      <c r="AG179" s="775"/>
      <c r="AH179" s="775"/>
      <c r="AI179" s="775"/>
      <c r="AJ179" s="775"/>
      <c r="AK179" s="775"/>
      <c r="AL179" s="775"/>
      <c r="AM179" s="809" t="e">
        <f t="shared" si="28"/>
        <v>#DIV/0!</v>
      </c>
      <c r="AN179" s="775"/>
      <c r="AO179" s="786"/>
      <c r="AP179" s="775"/>
      <c r="AQ179" s="775"/>
      <c r="AR179" s="775"/>
      <c r="AS179" s="775"/>
      <c r="AT179" s="775"/>
      <c r="AU179" s="775"/>
      <c r="AV179" s="775"/>
      <c r="AW179" s="775"/>
      <c r="AX179" s="775"/>
      <c r="AY179" s="775"/>
      <c r="AZ179" s="809" t="e">
        <f t="shared" si="29"/>
        <v>#DIV/0!</v>
      </c>
      <c r="BA179" s="775"/>
      <c r="BB179" s="753"/>
      <c r="BC179" s="775"/>
      <c r="BD179" s="775"/>
      <c r="BE179" s="775"/>
      <c r="BF179" s="775"/>
      <c r="BG179" s="775"/>
      <c r="BH179" s="775"/>
      <c r="BI179" s="775"/>
      <c r="BJ179" s="775"/>
      <c r="BK179" s="775"/>
      <c r="BL179" s="775"/>
      <c r="BM179" s="809" t="e">
        <f t="shared" si="30"/>
        <v>#DIV/0!</v>
      </c>
      <c r="BN179" s="775"/>
      <c r="BO179" s="751"/>
      <c r="BP179" s="751"/>
      <c r="BQ179" s="751"/>
      <c r="BR179" s="751"/>
      <c r="BS179" s="751"/>
      <c r="BT179" s="751"/>
      <c r="BU179" s="751"/>
      <c r="BV179" s="751"/>
      <c r="BW179" s="751"/>
      <c r="BX179" s="751"/>
      <c r="BY179" s="751"/>
      <c r="BZ179" s="751"/>
      <c r="CA179" s="751"/>
      <c r="CB179" s="751"/>
      <c r="CC179" s="751"/>
      <c r="CD179" s="751"/>
      <c r="CE179" s="751"/>
      <c r="CF179" s="751"/>
      <c r="CG179" s="751"/>
    </row>
    <row r="180" spans="3:85" ht="14.25">
      <c r="C180" s="775"/>
      <c r="D180" s="775"/>
      <c r="E180" s="775"/>
      <c r="F180" s="775"/>
      <c r="G180" s="775"/>
      <c r="H180" s="775"/>
      <c r="I180" s="775"/>
      <c r="J180" s="775"/>
      <c r="K180" s="775"/>
      <c r="L180" s="775"/>
      <c r="M180" s="809" t="e">
        <f t="shared" si="31"/>
        <v>#DIV/0!</v>
      </c>
      <c r="N180" s="775"/>
      <c r="O180" s="753"/>
      <c r="P180" s="775"/>
      <c r="Q180" s="775"/>
      <c r="R180" s="775"/>
      <c r="S180" s="775"/>
      <c r="T180" s="775"/>
      <c r="U180" s="775"/>
      <c r="V180" s="775"/>
      <c r="W180" s="775"/>
      <c r="X180" s="775"/>
      <c r="Y180" s="775"/>
      <c r="Z180" s="809" t="e">
        <f t="shared" si="27"/>
        <v>#DIV/0!</v>
      </c>
      <c r="AA180" s="775"/>
      <c r="AB180" s="786"/>
      <c r="AC180" s="775"/>
      <c r="AD180" s="775"/>
      <c r="AE180" s="775"/>
      <c r="AF180" s="775"/>
      <c r="AG180" s="775"/>
      <c r="AH180" s="775"/>
      <c r="AI180" s="775"/>
      <c r="AJ180" s="775"/>
      <c r="AK180" s="775"/>
      <c r="AL180" s="775"/>
      <c r="AM180" s="809" t="e">
        <f t="shared" si="28"/>
        <v>#DIV/0!</v>
      </c>
      <c r="AN180" s="775"/>
      <c r="AO180" s="786"/>
      <c r="AP180" s="775"/>
      <c r="AQ180" s="775"/>
      <c r="AR180" s="775"/>
      <c r="AS180" s="775"/>
      <c r="AT180" s="775"/>
      <c r="AU180" s="775"/>
      <c r="AV180" s="775"/>
      <c r="AW180" s="775"/>
      <c r="AX180" s="775"/>
      <c r="AY180" s="775"/>
      <c r="AZ180" s="809" t="e">
        <f t="shared" si="29"/>
        <v>#DIV/0!</v>
      </c>
      <c r="BA180" s="775"/>
      <c r="BB180" s="753"/>
      <c r="BC180" s="775"/>
      <c r="BD180" s="775"/>
      <c r="BE180" s="775"/>
      <c r="BF180" s="775"/>
      <c r="BG180" s="775"/>
      <c r="BH180" s="775"/>
      <c r="BI180" s="775"/>
      <c r="BJ180" s="775"/>
      <c r="BK180" s="775"/>
      <c r="BL180" s="775"/>
      <c r="BM180" s="809" t="e">
        <f t="shared" si="30"/>
        <v>#DIV/0!</v>
      </c>
      <c r="BN180" s="775"/>
      <c r="BO180" s="751"/>
      <c r="BP180" s="751"/>
      <c r="BQ180" s="751"/>
      <c r="BR180" s="751"/>
      <c r="BS180" s="751"/>
      <c r="BT180" s="751"/>
      <c r="BU180" s="751"/>
      <c r="BV180" s="751"/>
      <c r="BW180" s="751"/>
      <c r="BX180" s="751"/>
      <c r="BY180" s="751"/>
      <c r="BZ180" s="751"/>
      <c r="CA180" s="751"/>
      <c r="CB180" s="751"/>
      <c r="CC180" s="751"/>
      <c r="CD180" s="751"/>
      <c r="CE180" s="751"/>
      <c r="CF180" s="751"/>
      <c r="CG180" s="751"/>
    </row>
    <row r="181" spans="3:85" ht="14.25">
      <c r="C181" s="775"/>
      <c r="D181" s="775"/>
      <c r="E181" s="775"/>
      <c r="F181" s="775"/>
      <c r="G181" s="775"/>
      <c r="H181" s="775"/>
      <c r="I181" s="775"/>
      <c r="J181" s="775"/>
      <c r="K181" s="775"/>
      <c r="L181" s="775"/>
      <c r="M181" s="809" t="e">
        <f t="shared" si="31"/>
        <v>#DIV/0!</v>
      </c>
      <c r="N181" s="775"/>
      <c r="O181" s="753"/>
      <c r="P181" s="775"/>
      <c r="Q181" s="775"/>
      <c r="R181" s="775"/>
      <c r="S181" s="775"/>
      <c r="T181" s="775"/>
      <c r="U181" s="775"/>
      <c r="V181" s="775"/>
      <c r="W181" s="775"/>
      <c r="X181" s="775"/>
      <c r="Y181" s="775"/>
      <c r="Z181" s="809" t="e">
        <f t="shared" si="27"/>
        <v>#DIV/0!</v>
      </c>
      <c r="AA181" s="775"/>
      <c r="AB181" s="786"/>
      <c r="AC181" s="775"/>
      <c r="AD181" s="775"/>
      <c r="AE181" s="775"/>
      <c r="AF181" s="775"/>
      <c r="AG181" s="775"/>
      <c r="AH181" s="775"/>
      <c r="AI181" s="775"/>
      <c r="AJ181" s="775"/>
      <c r="AK181" s="775"/>
      <c r="AL181" s="775"/>
      <c r="AM181" s="809" t="e">
        <f t="shared" si="28"/>
        <v>#DIV/0!</v>
      </c>
      <c r="AN181" s="775"/>
      <c r="AO181" s="786"/>
      <c r="AP181" s="775"/>
      <c r="AQ181" s="775"/>
      <c r="AR181" s="775"/>
      <c r="AS181" s="775"/>
      <c r="AT181" s="775"/>
      <c r="AU181" s="775"/>
      <c r="AV181" s="775"/>
      <c r="AW181" s="775"/>
      <c r="AX181" s="775"/>
      <c r="AY181" s="775"/>
      <c r="AZ181" s="809" t="e">
        <f t="shared" si="29"/>
        <v>#DIV/0!</v>
      </c>
      <c r="BA181" s="775"/>
      <c r="BB181" s="753"/>
      <c r="BC181" s="775"/>
      <c r="BD181" s="775"/>
      <c r="BE181" s="775"/>
      <c r="BF181" s="775"/>
      <c r="BG181" s="775"/>
      <c r="BH181" s="775"/>
      <c r="BI181" s="775"/>
      <c r="BJ181" s="775"/>
      <c r="BK181" s="775"/>
      <c r="BL181" s="775"/>
      <c r="BM181" s="809" t="e">
        <f t="shared" si="30"/>
        <v>#DIV/0!</v>
      </c>
      <c r="BN181" s="775"/>
      <c r="BO181" s="751"/>
      <c r="BP181" s="751"/>
      <c r="BQ181" s="751"/>
      <c r="BR181" s="751"/>
      <c r="BS181" s="751"/>
      <c r="BT181" s="751"/>
      <c r="BU181" s="751"/>
      <c r="BV181" s="751"/>
      <c r="BW181" s="751"/>
      <c r="BX181" s="751"/>
      <c r="BY181" s="751"/>
      <c r="BZ181" s="751"/>
      <c r="CA181" s="751"/>
      <c r="CB181" s="751"/>
      <c r="CC181" s="751"/>
      <c r="CD181" s="751"/>
      <c r="CE181" s="751"/>
      <c r="CF181" s="751"/>
      <c r="CG181" s="751"/>
    </row>
    <row r="182" spans="3:85" ht="14.25">
      <c r="C182" s="775"/>
      <c r="D182" s="775"/>
      <c r="E182" s="775"/>
      <c r="F182" s="775"/>
      <c r="G182" s="775"/>
      <c r="H182" s="775"/>
      <c r="I182" s="775"/>
      <c r="J182" s="775"/>
      <c r="K182" s="775"/>
      <c r="L182" s="775"/>
      <c r="M182" s="809" t="e">
        <f t="shared" si="31"/>
        <v>#DIV/0!</v>
      </c>
      <c r="N182" s="775"/>
      <c r="O182" s="753"/>
      <c r="P182" s="775"/>
      <c r="Q182" s="775"/>
      <c r="R182" s="775"/>
      <c r="S182" s="775"/>
      <c r="T182" s="775"/>
      <c r="U182" s="775"/>
      <c r="V182" s="775"/>
      <c r="W182" s="775"/>
      <c r="X182" s="775"/>
      <c r="Y182" s="775"/>
      <c r="Z182" s="809" t="e">
        <f t="shared" si="27"/>
        <v>#DIV/0!</v>
      </c>
      <c r="AA182" s="775"/>
      <c r="AB182" s="786"/>
      <c r="AC182" s="775"/>
      <c r="AD182" s="775"/>
      <c r="AE182" s="775"/>
      <c r="AF182" s="775"/>
      <c r="AG182" s="775"/>
      <c r="AH182" s="775"/>
      <c r="AI182" s="775"/>
      <c r="AJ182" s="775"/>
      <c r="AK182" s="775"/>
      <c r="AL182" s="775"/>
      <c r="AM182" s="809" t="e">
        <f t="shared" si="28"/>
        <v>#DIV/0!</v>
      </c>
      <c r="AN182" s="775"/>
      <c r="AO182" s="786"/>
      <c r="AP182" s="775"/>
      <c r="AQ182" s="775"/>
      <c r="AR182" s="775"/>
      <c r="AS182" s="775"/>
      <c r="AT182" s="775"/>
      <c r="AU182" s="775"/>
      <c r="AV182" s="775"/>
      <c r="AW182" s="775"/>
      <c r="AX182" s="775"/>
      <c r="AY182" s="775"/>
      <c r="AZ182" s="809" t="e">
        <f t="shared" si="29"/>
        <v>#DIV/0!</v>
      </c>
      <c r="BA182" s="775"/>
      <c r="BB182" s="753"/>
      <c r="BC182" s="775"/>
      <c r="BD182" s="775"/>
      <c r="BE182" s="775"/>
      <c r="BF182" s="775"/>
      <c r="BG182" s="775"/>
      <c r="BH182" s="775"/>
      <c r="BI182" s="775"/>
      <c r="BJ182" s="775"/>
      <c r="BK182" s="775"/>
      <c r="BL182" s="775"/>
      <c r="BM182" s="809" t="e">
        <f t="shared" si="30"/>
        <v>#DIV/0!</v>
      </c>
      <c r="BN182" s="775"/>
      <c r="BO182" s="751"/>
      <c r="BP182" s="751"/>
      <c r="BQ182" s="751"/>
      <c r="BR182" s="751"/>
      <c r="BS182" s="751"/>
      <c r="BT182" s="751"/>
      <c r="BU182" s="751"/>
      <c r="BV182" s="751"/>
      <c r="BW182" s="751"/>
      <c r="BX182" s="751"/>
      <c r="BY182" s="751"/>
      <c r="BZ182" s="751"/>
      <c r="CA182" s="751"/>
      <c r="CB182" s="751"/>
      <c r="CC182" s="751"/>
      <c r="CD182" s="751"/>
      <c r="CE182" s="751"/>
      <c r="CF182" s="751"/>
      <c r="CG182" s="751"/>
    </row>
    <row r="183" spans="3:85" ht="14.25">
      <c r="C183" s="775"/>
      <c r="D183" s="775"/>
      <c r="E183" s="775"/>
      <c r="F183" s="775"/>
      <c r="G183" s="775"/>
      <c r="H183" s="775"/>
      <c r="I183" s="775"/>
      <c r="J183" s="775"/>
      <c r="K183" s="775"/>
      <c r="L183" s="775"/>
      <c r="M183" s="809" t="e">
        <f t="shared" si="31"/>
        <v>#DIV/0!</v>
      </c>
      <c r="N183" s="775"/>
      <c r="O183" s="753"/>
      <c r="P183" s="775"/>
      <c r="Q183" s="775"/>
      <c r="R183" s="775"/>
      <c r="S183" s="775"/>
      <c r="T183" s="775"/>
      <c r="U183" s="775"/>
      <c r="V183" s="775"/>
      <c r="W183" s="775"/>
      <c r="X183" s="775"/>
      <c r="Y183" s="775"/>
      <c r="Z183" s="809" t="e">
        <f t="shared" si="27"/>
        <v>#DIV/0!</v>
      </c>
      <c r="AA183" s="775"/>
      <c r="AB183" s="786"/>
      <c r="AC183" s="775"/>
      <c r="AD183" s="775"/>
      <c r="AE183" s="775"/>
      <c r="AF183" s="775"/>
      <c r="AG183" s="775"/>
      <c r="AH183" s="775"/>
      <c r="AI183" s="775"/>
      <c r="AJ183" s="775"/>
      <c r="AK183" s="775"/>
      <c r="AL183" s="775"/>
      <c r="AM183" s="809" t="e">
        <f t="shared" si="28"/>
        <v>#DIV/0!</v>
      </c>
      <c r="AN183" s="775"/>
      <c r="AO183" s="786"/>
      <c r="AP183" s="775"/>
      <c r="AQ183" s="775"/>
      <c r="AR183" s="775"/>
      <c r="AS183" s="775"/>
      <c r="AT183" s="775"/>
      <c r="AU183" s="775"/>
      <c r="AV183" s="775"/>
      <c r="AW183" s="775"/>
      <c r="AX183" s="775"/>
      <c r="AY183" s="775"/>
      <c r="AZ183" s="809" t="e">
        <f t="shared" si="29"/>
        <v>#DIV/0!</v>
      </c>
      <c r="BA183" s="775"/>
      <c r="BB183" s="753"/>
      <c r="BC183" s="775"/>
      <c r="BD183" s="775"/>
      <c r="BE183" s="775"/>
      <c r="BF183" s="775"/>
      <c r="BG183" s="775"/>
      <c r="BH183" s="775"/>
      <c r="BI183" s="775"/>
      <c r="BJ183" s="775"/>
      <c r="BK183" s="775"/>
      <c r="BL183" s="775"/>
      <c r="BM183" s="809" t="e">
        <f t="shared" si="30"/>
        <v>#DIV/0!</v>
      </c>
      <c r="BN183" s="775"/>
      <c r="BO183" s="751"/>
      <c r="BP183" s="751"/>
      <c r="BQ183" s="751"/>
      <c r="BR183" s="751"/>
      <c r="BS183" s="751"/>
      <c r="BT183" s="751"/>
      <c r="BU183" s="751"/>
      <c r="BV183" s="751"/>
      <c r="BW183" s="751"/>
      <c r="BX183" s="751"/>
      <c r="BY183" s="751"/>
      <c r="BZ183" s="751"/>
      <c r="CA183" s="751"/>
      <c r="CB183" s="751"/>
      <c r="CC183" s="751"/>
      <c r="CD183" s="751"/>
      <c r="CE183" s="751"/>
      <c r="CF183" s="751"/>
      <c r="CG183" s="751"/>
    </row>
    <row r="184" spans="3:85" ht="14.25">
      <c r="C184" s="775"/>
      <c r="D184" s="775"/>
      <c r="E184" s="775"/>
      <c r="F184" s="775"/>
      <c r="G184" s="775"/>
      <c r="H184" s="775"/>
      <c r="I184" s="775"/>
      <c r="J184" s="775"/>
      <c r="K184" s="775"/>
      <c r="L184" s="775"/>
      <c r="M184" s="809" t="e">
        <f t="shared" si="31"/>
        <v>#DIV/0!</v>
      </c>
      <c r="N184" s="775"/>
      <c r="O184" s="753"/>
      <c r="P184" s="775"/>
      <c r="Q184" s="775"/>
      <c r="R184" s="775"/>
      <c r="S184" s="775"/>
      <c r="T184" s="775"/>
      <c r="U184" s="775"/>
      <c r="V184" s="775"/>
      <c r="W184" s="775"/>
      <c r="X184" s="775"/>
      <c r="Y184" s="775"/>
      <c r="Z184" s="809" t="e">
        <f t="shared" si="27"/>
        <v>#DIV/0!</v>
      </c>
      <c r="AA184" s="775"/>
      <c r="AB184" s="786"/>
      <c r="AC184" s="775"/>
      <c r="AD184" s="775"/>
      <c r="AE184" s="775"/>
      <c r="AF184" s="775"/>
      <c r="AG184" s="775"/>
      <c r="AH184" s="775"/>
      <c r="AI184" s="775"/>
      <c r="AJ184" s="775"/>
      <c r="AK184" s="775"/>
      <c r="AL184" s="775"/>
      <c r="AM184" s="809" t="e">
        <f t="shared" si="28"/>
        <v>#DIV/0!</v>
      </c>
      <c r="AN184" s="775"/>
      <c r="AO184" s="786"/>
      <c r="AP184" s="775"/>
      <c r="AQ184" s="775"/>
      <c r="AR184" s="775"/>
      <c r="AS184" s="775"/>
      <c r="AT184" s="775"/>
      <c r="AU184" s="775"/>
      <c r="AV184" s="775"/>
      <c r="AW184" s="775"/>
      <c r="AX184" s="775"/>
      <c r="AY184" s="775"/>
      <c r="AZ184" s="809" t="e">
        <f t="shared" si="29"/>
        <v>#DIV/0!</v>
      </c>
      <c r="BA184" s="775"/>
      <c r="BB184" s="753"/>
      <c r="BC184" s="775"/>
      <c r="BD184" s="775"/>
      <c r="BE184" s="775"/>
      <c r="BF184" s="775"/>
      <c r="BG184" s="775"/>
      <c r="BH184" s="775"/>
      <c r="BI184" s="775"/>
      <c r="BJ184" s="775"/>
      <c r="BK184" s="775"/>
      <c r="BL184" s="775"/>
      <c r="BM184" s="809" t="e">
        <f t="shared" si="30"/>
        <v>#DIV/0!</v>
      </c>
      <c r="BN184" s="775"/>
      <c r="BO184" s="751"/>
      <c r="BP184" s="751"/>
      <c r="BQ184" s="751"/>
      <c r="BR184" s="751"/>
      <c r="BS184" s="751"/>
      <c r="BT184" s="751"/>
      <c r="BU184" s="751"/>
      <c r="BV184" s="751"/>
      <c r="BW184" s="751"/>
      <c r="BX184" s="751"/>
      <c r="BY184" s="751"/>
      <c r="BZ184" s="751"/>
      <c r="CA184" s="751"/>
      <c r="CB184" s="751"/>
      <c r="CC184" s="751"/>
      <c r="CD184" s="751"/>
      <c r="CE184" s="751"/>
      <c r="CF184" s="751"/>
      <c r="CG184" s="751"/>
    </row>
    <row r="185" spans="3:85" ht="14.25">
      <c r="C185" s="775"/>
      <c r="D185" s="775"/>
      <c r="E185" s="775"/>
      <c r="F185" s="775"/>
      <c r="G185" s="775"/>
      <c r="H185" s="775"/>
      <c r="I185" s="775"/>
      <c r="J185" s="775"/>
      <c r="K185" s="775"/>
      <c r="L185" s="775"/>
      <c r="M185" s="809" t="e">
        <f t="shared" si="31"/>
        <v>#DIV/0!</v>
      </c>
      <c r="N185" s="775"/>
      <c r="O185" s="753"/>
      <c r="P185" s="775"/>
      <c r="Q185" s="775"/>
      <c r="R185" s="775"/>
      <c r="S185" s="775"/>
      <c r="T185" s="775"/>
      <c r="U185" s="775"/>
      <c r="V185" s="775"/>
      <c r="W185" s="775"/>
      <c r="X185" s="775"/>
      <c r="Y185" s="775"/>
      <c r="Z185" s="809" t="e">
        <f t="shared" si="27"/>
        <v>#DIV/0!</v>
      </c>
      <c r="AA185" s="775"/>
      <c r="AB185" s="786"/>
      <c r="AC185" s="775"/>
      <c r="AD185" s="775"/>
      <c r="AE185" s="775"/>
      <c r="AF185" s="775"/>
      <c r="AG185" s="775"/>
      <c r="AH185" s="775"/>
      <c r="AI185" s="775"/>
      <c r="AJ185" s="775"/>
      <c r="AK185" s="775"/>
      <c r="AL185" s="775"/>
      <c r="AM185" s="809" t="e">
        <f t="shared" si="28"/>
        <v>#DIV/0!</v>
      </c>
      <c r="AN185" s="775"/>
      <c r="AO185" s="786"/>
      <c r="AP185" s="775"/>
      <c r="AQ185" s="775"/>
      <c r="AR185" s="775"/>
      <c r="AS185" s="775"/>
      <c r="AT185" s="775"/>
      <c r="AU185" s="775"/>
      <c r="AV185" s="775"/>
      <c r="AW185" s="775"/>
      <c r="AX185" s="775"/>
      <c r="AY185" s="775"/>
      <c r="AZ185" s="809" t="e">
        <f t="shared" si="29"/>
        <v>#DIV/0!</v>
      </c>
      <c r="BA185" s="775"/>
      <c r="BB185" s="753"/>
      <c r="BC185" s="775"/>
      <c r="BD185" s="775"/>
      <c r="BE185" s="775"/>
      <c r="BF185" s="775"/>
      <c r="BG185" s="775"/>
      <c r="BH185" s="775"/>
      <c r="BI185" s="775"/>
      <c r="BJ185" s="775"/>
      <c r="BK185" s="775"/>
      <c r="BL185" s="775"/>
      <c r="BM185" s="809" t="e">
        <f t="shared" si="30"/>
        <v>#DIV/0!</v>
      </c>
      <c r="BN185" s="775"/>
      <c r="BO185" s="751"/>
      <c r="BP185" s="751"/>
      <c r="BQ185" s="751"/>
      <c r="BR185" s="751"/>
      <c r="BS185" s="751"/>
      <c r="BT185" s="751"/>
      <c r="BU185" s="751"/>
      <c r="BV185" s="751"/>
      <c r="BW185" s="751"/>
      <c r="BX185" s="751"/>
      <c r="BY185" s="751"/>
      <c r="BZ185" s="751"/>
      <c r="CA185" s="751"/>
      <c r="CB185" s="751"/>
      <c r="CC185" s="751"/>
      <c r="CD185" s="751"/>
      <c r="CE185" s="751"/>
      <c r="CF185" s="751"/>
      <c r="CG185" s="751"/>
    </row>
    <row r="186" spans="3:85" ht="14.25">
      <c r="C186" s="775"/>
      <c r="D186" s="775"/>
      <c r="E186" s="775"/>
      <c r="F186" s="775"/>
      <c r="G186" s="775"/>
      <c r="H186" s="775"/>
      <c r="I186" s="775"/>
      <c r="J186" s="775"/>
      <c r="K186" s="775"/>
      <c r="L186" s="775"/>
      <c r="M186" s="809" t="e">
        <f t="shared" si="31"/>
        <v>#DIV/0!</v>
      </c>
      <c r="N186" s="775"/>
      <c r="O186" s="753"/>
      <c r="P186" s="775"/>
      <c r="Q186" s="775"/>
      <c r="R186" s="775"/>
      <c r="S186" s="775"/>
      <c r="T186" s="775"/>
      <c r="U186" s="775"/>
      <c r="V186" s="775"/>
      <c r="W186" s="775"/>
      <c r="X186" s="775"/>
      <c r="Y186" s="775"/>
      <c r="Z186" s="809" t="e">
        <f t="shared" si="27"/>
        <v>#DIV/0!</v>
      </c>
      <c r="AA186" s="775"/>
      <c r="AB186" s="786"/>
      <c r="AC186" s="775"/>
      <c r="AD186" s="775"/>
      <c r="AE186" s="775"/>
      <c r="AF186" s="775"/>
      <c r="AG186" s="775"/>
      <c r="AH186" s="775"/>
      <c r="AI186" s="775"/>
      <c r="AJ186" s="775"/>
      <c r="AK186" s="775"/>
      <c r="AL186" s="775"/>
      <c r="AM186" s="809" t="e">
        <f t="shared" si="28"/>
        <v>#DIV/0!</v>
      </c>
      <c r="AN186" s="775"/>
      <c r="AO186" s="786"/>
      <c r="AP186" s="775"/>
      <c r="AQ186" s="775"/>
      <c r="AR186" s="775"/>
      <c r="AS186" s="775"/>
      <c r="AT186" s="775"/>
      <c r="AU186" s="775"/>
      <c r="AV186" s="775"/>
      <c r="AW186" s="775"/>
      <c r="AX186" s="775"/>
      <c r="AY186" s="775"/>
      <c r="AZ186" s="809" t="e">
        <f t="shared" si="29"/>
        <v>#DIV/0!</v>
      </c>
      <c r="BA186" s="775"/>
      <c r="BB186" s="753"/>
      <c r="BC186" s="775"/>
      <c r="BD186" s="775"/>
      <c r="BE186" s="775"/>
      <c r="BF186" s="775"/>
      <c r="BG186" s="775"/>
      <c r="BH186" s="775"/>
      <c r="BI186" s="775"/>
      <c r="BJ186" s="775"/>
      <c r="BK186" s="775"/>
      <c r="BL186" s="775"/>
      <c r="BM186" s="809" t="e">
        <f t="shared" si="30"/>
        <v>#DIV/0!</v>
      </c>
      <c r="BN186" s="775"/>
      <c r="BO186" s="751"/>
      <c r="BP186" s="751"/>
      <c r="BQ186" s="751"/>
      <c r="BR186" s="751"/>
      <c r="BS186" s="751"/>
      <c r="BT186" s="751"/>
      <c r="BU186" s="751"/>
      <c r="BV186" s="751"/>
      <c r="BW186" s="751"/>
      <c r="BX186" s="751"/>
      <c r="BY186" s="751"/>
      <c r="BZ186" s="751"/>
      <c r="CA186" s="751"/>
      <c r="CB186" s="751"/>
      <c r="CC186" s="751"/>
      <c r="CD186" s="751"/>
      <c r="CE186" s="751"/>
      <c r="CF186" s="751"/>
      <c r="CG186" s="751"/>
    </row>
    <row r="187" spans="3:85" ht="14.25">
      <c r="C187" s="775"/>
      <c r="D187" s="775"/>
      <c r="E187" s="775"/>
      <c r="F187" s="775"/>
      <c r="G187" s="775"/>
      <c r="H187" s="775"/>
      <c r="I187" s="775"/>
      <c r="J187" s="775"/>
      <c r="K187" s="775"/>
      <c r="L187" s="775"/>
      <c r="M187" s="809" t="e">
        <f t="shared" si="31"/>
        <v>#DIV/0!</v>
      </c>
      <c r="N187" s="775"/>
      <c r="O187" s="753"/>
      <c r="P187" s="775"/>
      <c r="Q187" s="775"/>
      <c r="R187" s="775"/>
      <c r="S187" s="775"/>
      <c r="T187" s="775"/>
      <c r="U187" s="775"/>
      <c r="V187" s="775"/>
      <c r="W187" s="775"/>
      <c r="X187" s="775"/>
      <c r="Y187" s="775"/>
      <c r="Z187" s="809" t="e">
        <f t="shared" si="27"/>
        <v>#DIV/0!</v>
      </c>
      <c r="AA187" s="775"/>
      <c r="AB187" s="786"/>
      <c r="AC187" s="775"/>
      <c r="AD187" s="775"/>
      <c r="AE187" s="775"/>
      <c r="AF187" s="775"/>
      <c r="AG187" s="775"/>
      <c r="AH187" s="775"/>
      <c r="AI187" s="775"/>
      <c r="AJ187" s="775"/>
      <c r="AK187" s="775"/>
      <c r="AL187" s="775"/>
      <c r="AM187" s="809" t="e">
        <f t="shared" si="28"/>
        <v>#DIV/0!</v>
      </c>
      <c r="AN187" s="775"/>
      <c r="AO187" s="786"/>
      <c r="AP187" s="775"/>
      <c r="AQ187" s="775"/>
      <c r="AR187" s="775"/>
      <c r="AS187" s="775"/>
      <c r="AT187" s="775"/>
      <c r="AU187" s="775"/>
      <c r="AV187" s="775"/>
      <c r="AW187" s="775"/>
      <c r="AX187" s="775"/>
      <c r="AY187" s="775"/>
      <c r="AZ187" s="809" t="e">
        <f t="shared" si="29"/>
        <v>#DIV/0!</v>
      </c>
      <c r="BA187" s="775"/>
      <c r="BB187" s="753"/>
      <c r="BC187" s="775"/>
      <c r="BD187" s="775"/>
      <c r="BE187" s="775"/>
      <c r="BF187" s="775"/>
      <c r="BG187" s="775"/>
      <c r="BH187" s="775"/>
      <c r="BI187" s="775"/>
      <c r="BJ187" s="775"/>
      <c r="BK187" s="775"/>
      <c r="BL187" s="775"/>
      <c r="BM187" s="809" t="e">
        <f t="shared" si="30"/>
        <v>#DIV/0!</v>
      </c>
      <c r="BN187" s="775"/>
      <c r="BO187" s="751"/>
      <c r="BP187" s="751"/>
      <c r="BQ187" s="751"/>
      <c r="BR187" s="751"/>
      <c r="BS187" s="751"/>
      <c r="BT187" s="751"/>
      <c r="BU187" s="751"/>
      <c r="BV187" s="751"/>
      <c r="BW187" s="751"/>
      <c r="BX187" s="751"/>
      <c r="BY187" s="751"/>
      <c r="BZ187" s="751"/>
      <c r="CA187" s="751"/>
      <c r="CB187" s="751"/>
      <c r="CC187" s="751"/>
      <c r="CD187" s="751"/>
      <c r="CE187" s="751"/>
      <c r="CF187" s="751"/>
      <c r="CG187" s="751"/>
    </row>
    <row r="188" spans="3:85" ht="14.25">
      <c r="C188" s="775"/>
      <c r="D188" s="775"/>
      <c r="E188" s="775"/>
      <c r="F188" s="775"/>
      <c r="G188" s="775"/>
      <c r="H188" s="775"/>
      <c r="I188" s="775"/>
      <c r="J188" s="775"/>
      <c r="K188" s="775"/>
      <c r="L188" s="775"/>
      <c r="M188" s="809" t="e">
        <f t="shared" si="31"/>
        <v>#DIV/0!</v>
      </c>
      <c r="N188" s="775"/>
      <c r="O188" s="753"/>
      <c r="P188" s="775"/>
      <c r="Q188" s="775"/>
      <c r="R188" s="775"/>
      <c r="S188" s="775"/>
      <c r="T188" s="775"/>
      <c r="U188" s="775"/>
      <c r="V188" s="775"/>
      <c r="W188" s="775"/>
      <c r="X188" s="775"/>
      <c r="Y188" s="775"/>
      <c r="Z188" s="809" t="e">
        <f t="shared" si="27"/>
        <v>#DIV/0!</v>
      </c>
      <c r="AA188" s="775"/>
      <c r="AB188" s="786"/>
      <c r="AC188" s="775"/>
      <c r="AD188" s="775"/>
      <c r="AE188" s="775"/>
      <c r="AF188" s="775"/>
      <c r="AG188" s="775"/>
      <c r="AH188" s="775"/>
      <c r="AI188" s="775"/>
      <c r="AJ188" s="775"/>
      <c r="AK188" s="775"/>
      <c r="AL188" s="775"/>
      <c r="AM188" s="809" t="e">
        <f t="shared" si="28"/>
        <v>#DIV/0!</v>
      </c>
      <c r="AN188" s="775"/>
      <c r="AO188" s="786"/>
      <c r="AP188" s="775"/>
      <c r="AQ188" s="775"/>
      <c r="AR188" s="775"/>
      <c r="AS188" s="775"/>
      <c r="AT188" s="775"/>
      <c r="AU188" s="775"/>
      <c r="AV188" s="775"/>
      <c r="AW188" s="775"/>
      <c r="AX188" s="775"/>
      <c r="AY188" s="775"/>
      <c r="AZ188" s="809" t="e">
        <f t="shared" si="29"/>
        <v>#DIV/0!</v>
      </c>
      <c r="BA188" s="775"/>
      <c r="BB188" s="753"/>
      <c r="BC188" s="775"/>
      <c r="BD188" s="775"/>
      <c r="BE188" s="775"/>
      <c r="BF188" s="775"/>
      <c r="BG188" s="775"/>
      <c r="BH188" s="775"/>
      <c r="BI188" s="775"/>
      <c r="BJ188" s="775"/>
      <c r="BK188" s="775"/>
      <c r="BL188" s="775"/>
      <c r="BM188" s="809" t="e">
        <f t="shared" si="30"/>
        <v>#DIV/0!</v>
      </c>
      <c r="BN188" s="775"/>
      <c r="BO188" s="751"/>
      <c r="BP188" s="751"/>
      <c r="BQ188" s="751"/>
      <c r="BR188" s="751"/>
      <c r="BS188" s="751"/>
      <c r="BT188" s="751"/>
      <c r="BU188" s="751"/>
      <c r="BV188" s="751"/>
      <c r="BW188" s="751"/>
      <c r="BX188" s="751"/>
      <c r="BY188" s="751"/>
      <c r="BZ188" s="751"/>
      <c r="CA188" s="751"/>
      <c r="CB188" s="751"/>
      <c r="CC188" s="751"/>
      <c r="CD188" s="751"/>
      <c r="CE188" s="751"/>
      <c r="CF188" s="751"/>
      <c r="CG188" s="751"/>
    </row>
    <row r="189" spans="3:85" ht="14.25">
      <c r="C189" s="775"/>
      <c r="D189" s="775"/>
      <c r="E189" s="775"/>
      <c r="F189" s="775"/>
      <c r="G189" s="775"/>
      <c r="H189" s="775"/>
      <c r="I189" s="775"/>
      <c r="J189" s="775"/>
      <c r="K189" s="775"/>
      <c r="L189" s="775"/>
      <c r="M189" s="809" t="e">
        <f t="shared" si="31"/>
        <v>#DIV/0!</v>
      </c>
      <c r="N189" s="775"/>
      <c r="O189" s="753"/>
      <c r="P189" s="775"/>
      <c r="Q189" s="775"/>
      <c r="R189" s="775"/>
      <c r="S189" s="775"/>
      <c r="T189" s="775"/>
      <c r="U189" s="775"/>
      <c r="V189" s="775"/>
      <c r="W189" s="775"/>
      <c r="X189" s="775"/>
      <c r="Y189" s="775"/>
      <c r="Z189" s="809" t="e">
        <f t="shared" si="27"/>
        <v>#DIV/0!</v>
      </c>
      <c r="AA189" s="775"/>
      <c r="AB189" s="786"/>
      <c r="AC189" s="775"/>
      <c r="AD189" s="775"/>
      <c r="AE189" s="775"/>
      <c r="AF189" s="775"/>
      <c r="AG189" s="775"/>
      <c r="AH189" s="775"/>
      <c r="AI189" s="775"/>
      <c r="AJ189" s="775"/>
      <c r="AK189" s="775"/>
      <c r="AL189" s="775"/>
      <c r="AM189" s="809" t="e">
        <f t="shared" si="28"/>
        <v>#DIV/0!</v>
      </c>
      <c r="AN189" s="775"/>
      <c r="AO189" s="786"/>
      <c r="AP189" s="775"/>
      <c r="AQ189" s="775"/>
      <c r="AR189" s="775"/>
      <c r="AS189" s="775"/>
      <c r="AT189" s="775"/>
      <c r="AU189" s="775"/>
      <c r="AV189" s="775"/>
      <c r="AW189" s="775"/>
      <c r="AX189" s="775"/>
      <c r="AY189" s="775"/>
      <c r="AZ189" s="809" t="e">
        <f t="shared" si="29"/>
        <v>#DIV/0!</v>
      </c>
      <c r="BA189" s="775"/>
      <c r="BB189" s="753"/>
      <c r="BC189" s="775"/>
      <c r="BD189" s="775"/>
      <c r="BE189" s="775"/>
      <c r="BF189" s="775"/>
      <c r="BG189" s="775"/>
      <c r="BH189" s="775"/>
      <c r="BI189" s="775"/>
      <c r="BJ189" s="775"/>
      <c r="BK189" s="775"/>
      <c r="BL189" s="775"/>
      <c r="BM189" s="809" t="e">
        <f t="shared" si="30"/>
        <v>#DIV/0!</v>
      </c>
      <c r="BN189" s="775"/>
      <c r="BO189" s="751"/>
      <c r="BP189" s="751"/>
      <c r="BQ189" s="751"/>
      <c r="BR189" s="751"/>
      <c r="BS189" s="751"/>
      <c r="BT189" s="751"/>
      <c r="BU189" s="751"/>
      <c r="BV189" s="751"/>
      <c r="BW189" s="751"/>
      <c r="BX189" s="751"/>
      <c r="BY189" s="751"/>
      <c r="BZ189" s="751"/>
      <c r="CA189" s="751"/>
      <c r="CB189" s="751"/>
      <c r="CC189" s="751"/>
      <c r="CD189" s="751"/>
      <c r="CE189" s="751"/>
      <c r="CF189" s="751"/>
      <c r="CG189" s="751"/>
    </row>
    <row r="190" spans="3:85" ht="14.25">
      <c r="C190" s="775"/>
      <c r="D190" s="775"/>
      <c r="E190" s="775"/>
      <c r="F190" s="775"/>
      <c r="G190" s="775"/>
      <c r="H190" s="775"/>
      <c r="I190" s="775"/>
      <c r="J190" s="775"/>
      <c r="K190" s="775"/>
      <c r="L190" s="775"/>
      <c r="M190" s="809" t="e">
        <f t="shared" si="31"/>
        <v>#DIV/0!</v>
      </c>
      <c r="N190" s="775"/>
      <c r="O190" s="753"/>
      <c r="P190" s="775"/>
      <c r="Q190" s="775"/>
      <c r="R190" s="775"/>
      <c r="S190" s="775"/>
      <c r="T190" s="775"/>
      <c r="U190" s="775"/>
      <c r="V190" s="775"/>
      <c r="W190" s="775"/>
      <c r="X190" s="775"/>
      <c r="Y190" s="775"/>
      <c r="Z190" s="809" t="e">
        <f t="shared" si="27"/>
        <v>#DIV/0!</v>
      </c>
      <c r="AA190" s="775"/>
      <c r="AB190" s="786"/>
      <c r="AC190" s="775"/>
      <c r="AD190" s="775"/>
      <c r="AE190" s="775"/>
      <c r="AF190" s="775"/>
      <c r="AG190" s="775"/>
      <c r="AH190" s="775"/>
      <c r="AI190" s="775"/>
      <c r="AJ190" s="775"/>
      <c r="AK190" s="775"/>
      <c r="AL190" s="775"/>
      <c r="AM190" s="809" t="e">
        <f t="shared" si="28"/>
        <v>#DIV/0!</v>
      </c>
      <c r="AN190" s="775"/>
      <c r="AO190" s="786"/>
      <c r="AP190" s="775"/>
      <c r="AQ190" s="775"/>
      <c r="AR190" s="775"/>
      <c r="AS190" s="775"/>
      <c r="AT190" s="775"/>
      <c r="AU190" s="775"/>
      <c r="AV190" s="775"/>
      <c r="AW190" s="775"/>
      <c r="AX190" s="775"/>
      <c r="AY190" s="775"/>
      <c r="AZ190" s="809" t="e">
        <f t="shared" si="29"/>
        <v>#DIV/0!</v>
      </c>
      <c r="BA190" s="775"/>
      <c r="BB190" s="753"/>
      <c r="BC190" s="775"/>
      <c r="BD190" s="775"/>
      <c r="BE190" s="775"/>
      <c r="BF190" s="775"/>
      <c r="BG190" s="775"/>
      <c r="BH190" s="775"/>
      <c r="BI190" s="775"/>
      <c r="BJ190" s="775"/>
      <c r="BK190" s="775"/>
      <c r="BL190" s="775"/>
      <c r="BM190" s="809" t="e">
        <f t="shared" si="30"/>
        <v>#DIV/0!</v>
      </c>
      <c r="BN190" s="775"/>
      <c r="BO190" s="751"/>
      <c r="BP190" s="751"/>
      <c r="BQ190" s="751"/>
      <c r="BR190" s="751"/>
      <c r="BS190" s="751"/>
      <c r="BT190" s="751"/>
      <c r="BU190" s="751"/>
      <c r="BV190" s="751"/>
      <c r="BW190" s="751"/>
      <c r="BX190" s="751"/>
      <c r="BY190" s="751"/>
      <c r="BZ190" s="751"/>
      <c r="CA190" s="751"/>
      <c r="CB190" s="751"/>
      <c r="CC190" s="751"/>
      <c r="CD190" s="751"/>
      <c r="CE190" s="751"/>
      <c r="CF190" s="751"/>
      <c r="CG190" s="751"/>
    </row>
    <row r="191" spans="3:85" ht="14.25">
      <c r="C191" s="775"/>
      <c r="D191" s="775"/>
      <c r="E191" s="775"/>
      <c r="F191" s="775"/>
      <c r="G191" s="775"/>
      <c r="H191" s="775"/>
      <c r="I191" s="775"/>
      <c r="J191" s="775"/>
      <c r="K191" s="775"/>
      <c r="L191" s="775"/>
      <c r="M191" s="809" t="e">
        <f t="shared" si="31"/>
        <v>#DIV/0!</v>
      </c>
      <c r="N191" s="775"/>
      <c r="O191" s="753"/>
      <c r="P191" s="775"/>
      <c r="Q191" s="775"/>
      <c r="R191" s="775"/>
      <c r="S191" s="775"/>
      <c r="T191" s="775"/>
      <c r="U191" s="775"/>
      <c r="V191" s="775"/>
      <c r="W191" s="775"/>
      <c r="X191" s="775"/>
      <c r="Y191" s="775"/>
      <c r="Z191" s="809" t="e">
        <f t="shared" si="27"/>
        <v>#DIV/0!</v>
      </c>
      <c r="AA191" s="775"/>
      <c r="AB191" s="786"/>
      <c r="AC191" s="775"/>
      <c r="AD191" s="775"/>
      <c r="AE191" s="775"/>
      <c r="AF191" s="775"/>
      <c r="AG191" s="775"/>
      <c r="AH191" s="775"/>
      <c r="AI191" s="775"/>
      <c r="AJ191" s="775"/>
      <c r="AK191" s="775"/>
      <c r="AL191" s="775"/>
      <c r="AM191" s="809" t="e">
        <f t="shared" si="28"/>
        <v>#DIV/0!</v>
      </c>
      <c r="AN191" s="775"/>
      <c r="AO191" s="786"/>
      <c r="AP191" s="775"/>
      <c r="AQ191" s="775"/>
      <c r="AR191" s="775"/>
      <c r="AS191" s="775"/>
      <c r="AT191" s="775"/>
      <c r="AU191" s="775"/>
      <c r="AV191" s="775"/>
      <c r="AW191" s="775"/>
      <c r="AX191" s="775"/>
      <c r="AY191" s="775"/>
      <c r="AZ191" s="809" t="e">
        <f t="shared" si="29"/>
        <v>#DIV/0!</v>
      </c>
      <c r="BA191" s="775"/>
      <c r="BB191" s="753"/>
      <c r="BC191" s="775"/>
      <c r="BD191" s="775"/>
      <c r="BE191" s="775"/>
      <c r="BF191" s="775"/>
      <c r="BG191" s="775"/>
      <c r="BH191" s="775"/>
      <c r="BI191" s="775"/>
      <c r="BJ191" s="775"/>
      <c r="BK191" s="775"/>
      <c r="BL191" s="775"/>
      <c r="BM191" s="809" t="e">
        <f t="shared" si="30"/>
        <v>#DIV/0!</v>
      </c>
      <c r="BN191" s="775"/>
      <c r="BO191" s="751"/>
      <c r="BP191" s="751"/>
      <c r="BQ191" s="751"/>
      <c r="BR191" s="751"/>
      <c r="BS191" s="751"/>
      <c r="BT191" s="751"/>
      <c r="BU191" s="751"/>
      <c r="BV191" s="751"/>
      <c r="BW191" s="751"/>
      <c r="BX191" s="751"/>
      <c r="BY191" s="751"/>
      <c r="BZ191" s="751"/>
      <c r="CA191" s="751"/>
      <c r="CB191" s="751"/>
      <c r="CC191" s="751"/>
      <c r="CD191" s="751"/>
      <c r="CE191" s="751"/>
      <c r="CF191" s="751"/>
      <c r="CG191" s="751"/>
    </row>
    <row r="192" spans="3:85" ht="14.25">
      <c r="C192" s="775"/>
      <c r="D192" s="775"/>
      <c r="E192" s="775"/>
      <c r="F192" s="775"/>
      <c r="G192" s="775"/>
      <c r="H192" s="775"/>
      <c r="I192" s="775"/>
      <c r="J192" s="775"/>
      <c r="K192" s="775"/>
      <c r="L192" s="775"/>
      <c r="M192" s="809" t="e">
        <f t="shared" si="31"/>
        <v>#DIV/0!</v>
      </c>
      <c r="N192" s="775"/>
      <c r="O192" s="753"/>
      <c r="P192" s="775"/>
      <c r="Q192" s="775"/>
      <c r="R192" s="775"/>
      <c r="S192" s="775"/>
      <c r="T192" s="775"/>
      <c r="U192" s="775"/>
      <c r="V192" s="775"/>
      <c r="W192" s="775"/>
      <c r="X192" s="775"/>
      <c r="Y192" s="775"/>
      <c r="Z192" s="809" t="e">
        <f t="shared" si="27"/>
        <v>#DIV/0!</v>
      </c>
      <c r="AA192" s="775"/>
      <c r="AB192" s="786"/>
      <c r="AC192" s="775"/>
      <c r="AD192" s="775"/>
      <c r="AE192" s="775"/>
      <c r="AF192" s="775"/>
      <c r="AG192" s="775"/>
      <c r="AH192" s="775"/>
      <c r="AI192" s="775"/>
      <c r="AJ192" s="775"/>
      <c r="AK192" s="775"/>
      <c r="AL192" s="775"/>
      <c r="AM192" s="809" t="e">
        <f t="shared" si="28"/>
        <v>#DIV/0!</v>
      </c>
      <c r="AN192" s="775"/>
      <c r="AO192" s="786"/>
      <c r="AP192" s="775"/>
      <c r="AQ192" s="775"/>
      <c r="AR192" s="775"/>
      <c r="AS192" s="775"/>
      <c r="AT192" s="775"/>
      <c r="AU192" s="775"/>
      <c r="AV192" s="775"/>
      <c r="AW192" s="775"/>
      <c r="AX192" s="775"/>
      <c r="AY192" s="775"/>
      <c r="AZ192" s="809" t="e">
        <f t="shared" si="29"/>
        <v>#DIV/0!</v>
      </c>
      <c r="BA192" s="775"/>
      <c r="BB192" s="753"/>
      <c r="BC192" s="775"/>
      <c r="BD192" s="775"/>
      <c r="BE192" s="775"/>
      <c r="BF192" s="775"/>
      <c r="BG192" s="775"/>
      <c r="BH192" s="775"/>
      <c r="BI192" s="775"/>
      <c r="BJ192" s="775"/>
      <c r="BK192" s="775"/>
      <c r="BL192" s="775"/>
      <c r="BM192" s="809" t="e">
        <f t="shared" si="30"/>
        <v>#DIV/0!</v>
      </c>
      <c r="BN192" s="775"/>
      <c r="BO192" s="751"/>
      <c r="BP192" s="751"/>
      <c r="BQ192" s="751"/>
      <c r="BR192" s="751"/>
      <c r="BS192" s="751"/>
      <c r="BT192" s="751"/>
      <c r="BU192" s="751"/>
      <c r="BV192" s="751"/>
      <c r="BW192" s="751"/>
      <c r="BX192" s="751"/>
      <c r="BY192" s="751"/>
      <c r="BZ192" s="751"/>
      <c r="CA192" s="751"/>
      <c r="CB192" s="751"/>
      <c r="CC192" s="751"/>
      <c r="CD192" s="751"/>
      <c r="CE192" s="751"/>
      <c r="CF192" s="751"/>
      <c r="CG192" s="751"/>
    </row>
    <row r="193" spans="3:85" ht="14.25">
      <c r="C193" s="775"/>
      <c r="D193" s="775"/>
      <c r="E193" s="775"/>
      <c r="F193" s="775"/>
      <c r="G193" s="775"/>
      <c r="H193" s="775"/>
      <c r="I193" s="775"/>
      <c r="J193" s="775"/>
      <c r="K193" s="775"/>
      <c r="L193" s="775"/>
      <c r="M193" s="809" t="e">
        <f t="shared" si="31"/>
        <v>#DIV/0!</v>
      </c>
      <c r="N193" s="775"/>
      <c r="O193" s="753"/>
      <c r="P193" s="775"/>
      <c r="Q193" s="775"/>
      <c r="R193" s="775"/>
      <c r="S193" s="775"/>
      <c r="T193" s="775"/>
      <c r="U193" s="775"/>
      <c r="V193" s="775"/>
      <c r="W193" s="775"/>
      <c r="X193" s="775"/>
      <c r="Y193" s="775"/>
      <c r="Z193" s="809" t="e">
        <f t="shared" si="27"/>
        <v>#DIV/0!</v>
      </c>
      <c r="AA193" s="775"/>
      <c r="AB193" s="786"/>
      <c r="AC193" s="775"/>
      <c r="AD193" s="775"/>
      <c r="AE193" s="775"/>
      <c r="AF193" s="775"/>
      <c r="AG193" s="775"/>
      <c r="AH193" s="775"/>
      <c r="AI193" s="775"/>
      <c r="AJ193" s="775"/>
      <c r="AK193" s="775"/>
      <c r="AL193" s="775"/>
      <c r="AM193" s="809" t="e">
        <f t="shared" si="28"/>
        <v>#DIV/0!</v>
      </c>
      <c r="AN193" s="775"/>
      <c r="AO193" s="786"/>
      <c r="AP193" s="775"/>
      <c r="AQ193" s="775"/>
      <c r="AR193" s="775"/>
      <c r="AS193" s="775"/>
      <c r="AT193" s="775"/>
      <c r="AU193" s="775"/>
      <c r="AV193" s="775"/>
      <c r="AW193" s="775"/>
      <c r="AX193" s="775"/>
      <c r="AY193" s="775"/>
      <c r="AZ193" s="809" t="e">
        <f t="shared" si="29"/>
        <v>#DIV/0!</v>
      </c>
      <c r="BA193" s="775"/>
      <c r="BB193" s="753"/>
      <c r="BC193" s="775"/>
      <c r="BD193" s="775"/>
      <c r="BE193" s="775"/>
      <c r="BF193" s="775"/>
      <c r="BG193" s="775"/>
      <c r="BH193" s="775"/>
      <c r="BI193" s="775"/>
      <c r="BJ193" s="775"/>
      <c r="BK193" s="775"/>
      <c r="BL193" s="775"/>
      <c r="BM193" s="809" t="e">
        <f t="shared" si="30"/>
        <v>#DIV/0!</v>
      </c>
      <c r="BN193" s="775"/>
      <c r="BO193" s="751"/>
      <c r="BP193" s="751"/>
      <c r="BQ193" s="751"/>
      <c r="BR193" s="751"/>
      <c r="BS193" s="751"/>
      <c r="BT193" s="751"/>
      <c r="BU193" s="751"/>
      <c r="BV193" s="751"/>
      <c r="BW193" s="751"/>
      <c r="BX193" s="751"/>
      <c r="BY193" s="751"/>
      <c r="BZ193" s="751"/>
      <c r="CA193" s="751"/>
      <c r="CB193" s="751"/>
      <c r="CC193" s="751"/>
      <c r="CD193" s="751"/>
      <c r="CE193" s="751"/>
      <c r="CF193" s="751"/>
      <c r="CG193" s="751"/>
    </row>
    <row r="194" spans="3:85" ht="14.25">
      <c r="C194" s="775"/>
      <c r="D194" s="775"/>
      <c r="E194" s="775"/>
      <c r="F194" s="775"/>
      <c r="G194" s="775"/>
      <c r="H194" s="775"/>
      <c r="I194" s="775"/>
      <c r="J194" s="775"/>
      <c r="K194" s="775"/>
      <c r="L194" s="775"/>
      <c r="M194" s="809" t="e">
        <f t="shared" si="31"/>
        <v>#DIV/0!</v>
      </c>
      <c r="N194" s="775"/>
      <c r="O194" s="753"/>
      <c r="P194" s="775"/>
      <c r="Q194" s="775"/>
      <c r="R194" s="775"/>
      <c r="S194" s="775"/>
      <c r="T194" s="775"/>
      <c r="U194" s="775"/>
      <c r="V194" s="775"/>
      <c r="W194" s="775"/>
      <c r="X194" s="775"/>
      <c r="Y194" s="775"/>
      <c r="Z194" s="809" t="e">
        <f t="shared" si="27"/>
        <v>#DIV/0!</v>
      </c>
      <c r="AA194" s="775"/>
      <c r="AB194" s="786"/>
      <c r="AC194" s="775"/>
      <c r="AD194" s="775"/>
      <c r="AE194" s="775"/>
      <c r="AF194" s="775"/>
      <c r="AG194" s="775"/>
      <c r="AH194" s="775"/>
      <c r="AI194" s="775"/>
      <c r="AJ194" s="775"/>
      <c r="AK194" s="775"/>
      <c r="AL194" s="775"/>
      <c r="AM194" s="809" t="e">
        <f t="shared" si="28"/>
        <v>#DIV/0!</v>
      </c>
      <c r="AN194" s="775"/>
      <c r="AO194" s="786"/>
      <c r="AP194" s="775"/>
      <c r="AQ194" s="775"/>
      <c r="AR194" s="775"/>
      <c r="AS194" s="775"/>
      <c r="AT194" s="775"/>
      <c r="AU194" s="775"/>
      <c r="AV194" s="775"/>
      <c r="AW194" s="775"/>
      <c r="AX194" s="775"/>
      <c r="AY194" s="775"/>
      <c r="AZ194" s="809" t="e">
        <f t="shared" si="29"/>
        <v>#DIV/0!</v>
      </c>
      <c r="BA194" s="775"/>
      <c r="BB194" s="753"/>
      <c r="BC194" s="775"/>
      <c r="BD194" s="775"/>
      <c r="BE194" s="775"/>
      <c r="BF194" s="775"/>
      <c r="BG194" s="775"/>
      <c r="BH194" s="775"/>
      <c r="BI194" s="775"/>
      <c r="BJ194" s="775"/>
      <c r="BK194" s="775"/>
      <c r="BL194" s="775"/>
      <c r="BM194" s="809" t="e">
        <f t="shared" si="30"/>
        <v>#DIV/0!</v>
      </c>
      <c r="BN194" s="775"/>
      <c r="BO194" s="751"/>
      <c r="BP194" s="751"/>
      <c r="BQ194" s="751"/>
      <c r="BR194" s="751"/>
      <c r="BS194" s="751"/>
      <c r="BT194" s="751"/>
      <c r="BU194" s="751"/>
      <c r="BV194" s="751"/>
      <c r="BW194" s="751"/>
      <c r="BX194" s="751"/>
      <c r="BY194" s="751"/>
      <c r="BZ194" s="751"/>
      <c r="CA194" s="751"/>
      <c r="CB194" s="751"/>
      <c r="CC194" s="751"/>
      <c r="CD194" s="751"/>
      <c r="CE194" s="751"/>
      <c r="CF194" s="751"/>
      <c r="CG194" s="751"/>
    </row>
    <row r="195" spans="3:85" ht="14.25">
      <c r="C195" s="775"/>
      <c r="D195" s="775"/>
      <c r="E195" s="775"/>
      <c r="F195" s="775"/>
      <c r="G195" s="775"/>
      <c r="H195" s="775"/>
      <c r="I195" s="775"/>
      <c r="J195" s="775"/>
      <c r="K195" s="775"/>
      <c r="L195" s="775"/>
      <c r="M195" s="809" t="e">
        <f t="shared" si="31"/>
        <v>#DIV/0!</v>
      </c>
      <c r="N195" s="775"/>
      <c r="O195" s="753"/>
      <c r="P195" s="775"/>
      <c r="Q195" s="775"/>
      <c r="R195" s="775"/>
      <c r="S195" s="775"/>
      <c r="T195" s="775"/>
      <c r="U195" s="775"/>
      <c r="V195" s="775"/>
      <c r="W195" s="775"/>
      <c r="X195" s="775"/>
      <c r="Y195" s="775"/>
      <c r="Z195" s="809" t="e">
        <f t="shared" si="27"/>
        <v>#DIV/0!</v>
      </c>
      <c r="AA195" s="775"/>
      <c r="AB195" s="786"/>
      <c r="AC195" s="775"/>
      <c r="AD195" s="775"/>
      <c r="AE195" s="775"/>
      <c r="AF195" s="775"/>
      <c r="AG195" s="775"/>
      <c r="AH195" s="775"/>
      <c r="AI195" s="775"/>
      <c r="AJ195" s="775"/>
      <c r="AK195" s="775"/>
      <c r="AL195" s="775"/>
      <c r="AM195" s="809" t="e">
        <f t="shared" si="28"/>
        <v>#DIV/0!</v>
      </c>
      <c r="AN195" s="775"/>
      <c r="AO195" s="786"/>
      <c r="AP195" s="775"/>
      <c r="AQ195" s="775"/>
      <c r="AR195" s="775"/>
      <c r="AS195" s="775"/>
      <c r="AT195" s="775"/>
      <c r="AU195" s="775"/>
      <c r="AV195" s="775"/>
      <c r="AW195" s="775"/>
      <c r="AX195" s="775"/>
      <c r="AY195" s="775"/>
      <c r="AZ195" s="809" t="e">
        <f t="shared" si="29"/>
        <v>#DIV/0!</v>
      </c>
      <c r="BA195" s="775"/>
      <c r="BB195" s="753"/>
      <c r="BC195" s="775"/>
      <c r="BD195" s="775"/>
      <c r="BE195" s="775"/>
      <c r="BF195" s="775"/>
      <c r="BG195" s="775"/>
      <c r="BH195" s="775"/>
      <c r="BI195" s="775"/>
      <c r="BJ195" s="775"/>
      <c r="BK195" s="775"/>
      <c r="BL195" s="775"/>
      <c r="BM195" s="809" t="e">
        <f t="shared" si="30"/>
        <v>#DIV/0!</v>
      </c>
      <c r="BN195" s="775"/>
      <c r="BO195" s="751"/>
      <c r="BP195" s="751"/>
      <c r="BQ195" s="751"/>
      <c r="BR195" s="751"/>
      <c r="BS195" s="751"/>
      <c r="BT195" s="751"/>
      <c r="BU195" s="751"/>
      <c r="BV195" s="751"/>
      <c r="BW195" s="751"/>
      <c r="BX195" s="751"/>
      <c r="BY195" s="751"/>
      <c r="BZ195" s="751"/>
      <c r="CA195" s="751"/>
      <c r="CB195" s="751"/>
      <c r="CC195" s="751"/>
      <c r="CD195" s="751"/>
      <c r="CE195" s="751"/>
      <c r="CF195" s="751"/>
      <c r="CG195" s="751"/>
    </row>
    <row r="196" spans="3:85" ht="14.25">
      <c r="C196" s="775"/>
      <c r="D196" s="775"/>
      <c r="E196" s="775"/>
      <c r="F196" s="775"/>
      <c r="G196" s="775"/>
      <c r="H196" s="775"/>
      <c r="I196" s="775"/>
      <c r="J196" s="775"/>
      <c r="K196" s="775"/>
      <c r="L196" s="775"/>
      <c r="M196" s="809" t="e">
        <f t="shared" si="31"/>
        <v>#DIV/0!</v>
      </c>
      <c r="N196" s="775"/>
      <c r="O196" s="753"/>
      <c r="P196" s="775"/>
      <c r="Q196" s="775"/>
      <c r="R196" s="775"/>
      <c r="S196" s="775"/>
      <c r="T196" s="775"/>
      <c r="U196" s="775"/>
      <c r="V196" s="775"/>
      <c r="W196" s="775"/>
      <c r="X196" s="775"/>
      <c r="Y196" s="775"/>
      <c r="Z196" s="809" t="e">
        <f t="shared" si="27"/>
        <v>#DIV/0!</v>
      </c>
      <c r="AA196" s="775"/>
      <c r="AB196" s="786"/>
      <c r="AC196" s="775"/>
      <c r="AD196" s="775"/>
      <c r="AE196" s="775"/>
      <c r="AF196" s="775"/>
      <c r="AG196" s="775"/>
      <c r="AH196" s="775"/>
      <c r="AI196" s="775"/>
      <c r="AJ196" s="775"/>
      <c r="AK196" s="775"/>
      <c r="AL196" s="775"/>
      <c r="AM196" s="809" t="e">
        <f t="shared" si="28"/>
        <v>#DIV/0!</v>
      </c>
      <c r="AN196" s="775"/>
      <c r="AO196" s="786"/>
      <c r="AP196" s="775"/>
      <c r="AQ196" s="775"/>
      <c r="AR196" s="775"/>
      <c r="AS196" s="775"/>
      <c r="AT196" s="775"/>
      <c r="AU196" s="775"/>
      <c r="AV196" s="775"/>
      <c r="AW196" s="775"/>
      <c r="AX196" s="775"/>
      <c r="AY196" s="775"/>
      <c r="AZ196" s="809" t="e">
        <f t="shared" si="29"/>
        <v>#DIV/0!</v>
      </c>
      <c r="BA196" s="775"/>
      <c r="BB196" s="753"/>
      <c r="BC196" s="775"/>
      <c r="BD196" s="775"/>
      <c r="BE196" s="775"/>
      <c r="BF196" s="775"/>
      <c r="BG196" s="775"/>
      <c r="BH196" s="775"/>
      <c r="BI196" s="775"/>
      <c r="BJ196" s="775"/>
      <c r="BK196" s="775"/>
      <c r="BL196" s="775"/>
      <c r="BM196" s="809" t="e">
        <f t="shared" si="30"/>
        <v>#DIV/0!</v>
      </c>
      <c r="BN196" s="775"/>
      <c r="BO196" s="751"/>
      <c r="BP196" s="751"/>
      <c r="BQ196" s="751"/>
      <c r="BR196" s="751"/>
      <c r="BS196" s="751"/>
      <c r="BT196" s="751"/>
      <c r="BU196" s="751"/>
      <c r="BV196" s="751"/>
      <c r="BW196" s="751"/>
      <c r="BX196" s="751"/>
      <c r="BY196" s="751"/>
      <c r="BZ196" s="751"/>
      <c r="CA196" s="751"/>
      <c r="CB196" s="751"/>
      <c r="CC196" s="751"/>
      <c r="CD196" s="751"/>
      <c r="CE196" s="751"/>
      <c r="CF196" s="751"/>
      <c r="CG196" s="751"/>
    </row>
    <row r="197" spans="3:85" ht="14.25">
      <c r="C197" s="775"/>
      <c r="D197" s="775"/>
      <c r="E197" s="775"/>
      <c r="F197" s="775"/>
      <c r="G197" s="775"/>
      <c r="H197" s="775"/>
      <c r="I197" s="775"/>
      <c r="J197" s="775"/>
      <c r="K197" s="775"/>
      <c r="L197" s="775"/>
      <c r="M197" s="809" t="e">
        <f t="shared" si="31"/>
        <v>#DIV/0!</v>
      </c>
      <c r="N197" s="775"/>
      <c r="O197" s="753"/>
      <c r="P197" s="775"/>
      <c r="Q197" s="775"/>
      <c r="R197" s="775"/>
      <c r="S197" s="775"/>
      <c r="T197" s="775"/>
      <c r="U197" s="775"/>
      <c r="V197" s="775"/>
      <c r="W197" s="775"/>
      <c r="X197" s="775"/>
      <c r="Y197" s="775"/>
      <c r="Z197" s="809" t="e">
        <f t="shared" si="27"/>
        <v>#DIV/0!</v>
      </c>
      <c r="AA197" s="775"/>
      <c r="AB197" s="786"/>
      <c r="AC197" s="775"/>
      <c r="AD197" s="775"/>
      <c r="AE197" s="775"/>
      <c r="AF197" s="775"/>
      <c r="AG197" s="775"/>
      <c r="AH197" s="775"/>
      <c r="AI197" s="775"/>
      <c r="AJ197" s="775"/>
      <c r="AK197" s="775"/>
      <c r="AL197" s="775"/>
      <c r="AM197" s="809" t="e">
        <f t="shared" si="28"/>
        <v>#DIV/0!</v>
      </c>
      <c r="AN197" s="775"/>
      <c r="AO197" s="786"/>
      <c r="AP197" s="775"/>
      <c r="AQ197" s="775"/>
      <c r="AR197" s="775"/>
      <c r="AS197" s="775"/>
      <c r="AT197" s="775"/>
      <c r="AU197" s="775"/>
      <c r="AV197" s="775"/>
      <c r="AW197" s="775"/>
      <c r="AX197" s="775"/>
      <c r="AY197" s="775"/>
      <c r="AZ197" s="809" t="e">
        <f t="shared" si="29"/>
        <v>#DIV/0!</v>
      </c>
      <c r="BA197" s="775"/>
      <c r="BB197" s="753"/>
      <c r="BC197" s="775"/>
      <c r="BD197" s="775"/>
      <c r="BE197" s="775"/>
      <c r="BF197" s="775"/>
      <c r="BG197" s="775"/>
      <c r="BH197" s="775"/>
      <c r="BI197" s="775"/>
      <c r="BJ197" s="775"/>
      <c r="BK197" s="775"/>
      <c r="BL197" s="775"/>
      <c r="BM197" s="809" t="e">
        <f t="shared" si="30"/>
        <v>#DIV/0!</v>
      </c>
      <c r="BN197" s="775"/>
      <c r="BO197" s="751"/>
      <c r="BP197" s="751"/>
      <c r="BQ197" s="751"/>
      <c r="BR197" s="751"/>
      <c r="BS197" s="751"/>
      <c r="BT197" s="751"/>
      <c r="BU197" s="751"/>
      <c r="BV197" s="751"/>
      <c r="BW197" s="751"/>
      <c r="BX197" s="751"/>
      <c r="BY197" s="751"/>
      <c r="BZ197" s="751"/>
      <c r="CA197" s="751"/>
      <c r="CB197" s="751"/>
      <c r="CC197" s="751"/>
      <c r="CD197" s="751"/>
      <c r="CE197" s="751"/>
      <c r="CF197" s="751"/>
      <c r="CG197" s="751"/>
    </row>
    <row r="198" spans="3:85" ht="14.25">
      <c r="C198" s="775"/>
      <c r="D198" s="775"/>
      <c r="E198" s="775"/>
      <c r="F198" s="775"/>
      <c r="G198" s="775"/>
      <c r="H198" s="775"/>
      <c r="I198" s="775"/>
      <c r="J198" s="775"/>
      <c r="K198" s="775"/>
      <c r="L198" s="775"/>
      <c r="M198" s="809" t="e">
        <f t="shared" si="31"/>
        <v>#DIV/0!</v>
      </c>
      <c r="N198" s="775"/>
      <c r="O198" s="753"/>
      <c r="P198" s="775"/>
      <c r="Q198" s="775"/>
      <c r="R198" s="775"/>
      <c r="S198" s="775"/>
      <c r="T198" s="775"/>
      <c r="U198" s="775"/>
      <c r="V198" s="775"/>
      <c r="W198" s="775"/>
      <c r="X198" s="775"/>
      <c r="Y198" s="775"/>
      <c r="Z198" s="809" t="e">
        <f t="shared" si="27"/>
        <v>#DIV/0!</v>
      </c>
      <c r="AA198" s="775"/>
      <c r="AB198" s="786"/>
      <c r="AC198" s="775"/>
      <c r="AD198" s="775"/>
      <c r="AE198" s="775"/>
      <c r="AF198" s="775"/>
      <c r="AG198" s="775"/>
      <c r="AH198" s="775"/>
      <c r="AI198" s="775"/>
      <c r="AJ198" s="775"/>
      <c r="AK198" s="775"/>
      <c r="AL198" s="775"/>
      <c r="AM198" s="809" t="e">
        <f t="shared" si="28"/>
        <v>#DIV/0!</v>
      </c>
      <c r="AN198" s="775"/>
      <c r="AO198" s="786"/>
      <c r="AP198" s="775"/>
      <c r="AQ198" s="775"/>
      <c r="AR198" s="775"/>
      <c r="AS198" s="775"/>
      <c r="AT198" s="775"/>
      <c r="AU198" s="775"/>
      <c r="AV198" s="775"/>
      <c r="AW198" s="775"/>
      <c r="AX198" s="775"/>
      <c r="AY198" s="775"/>
      <c r="AZ198" s="809" t="e">
        <f t="shared" si="29"/>
        <v>#DIV/0!</v>
      </c>
      <c r="BA198" s="775"/>
      <c r="BB198" s="753"/>
      <c r="BC198" s="775"/>
      <c r="BD198" s="775"/>
      <c r="BE198" s="775"/>
      <c r="BF198" s="775"/>
      <c r="BG198" s="775"/>
      <c r="BH198" s="775"/>
      <c r="BI198" s="775"/>
      <c r="BJ198" s="775"/>
      <c r="BK198" s="775"/>
      <c r="BL198" s="775"/>
      <c r="BM198" s="809" t="e">
        <f t="shared" si="30"/>
        <v>#DIV/0!</v>
      </c>
      <c r="BN198" s="775"/>
      <c r="BO198" s="751"/>
      <c r="BP198" s="751"/>
      <c r="BQ198" s="751"/>
      <c r="BR198" s="751"/>
      <c r="BS198" s="751"/>
      <c r="BT198" s="751"/>
      <c r="BU198" s="751"/>
      <c r="BV198" s="751"/>
      <c r="BW198" s="751"/>
      <c r="BX198" s="751"/>
      <c r="BY198" s="751"/>
      <c r="BZ198" s="751"/>
      <c r="CA198" s="751"/>
      <c r="CB198" s="751"/>
      <c r="CC198" s="751"/>
      <c r="CD198" s="751"/>
      <c r="CE198" s="751"/>
      <c r="CF198" s="751"/>
      <c r="CG198" s="751"/>
    </row>
    <row r="199" spans="3:85" ht="14.25">
      <c r="C199" s="775"/>
      <c r="D199" s="775"/>
      <c r="E199" s="775"/>
      <c r="F199" s="775"/>
      <c r="G199" s="775"/>
      <c r="H199" s="775"/>
      <c r="I199" s="775"/>
      <c r="J199" s="775"/>
      <c r="K199" s="775"/>
      <c r="L199" s="775"/>
      <c r="M199" s="809" t="e">
        <f t="shared" si="31"/>
        <v>#DIV/0!</v>
      </c>
      <c r="N199" s="775"/>
      <c r="O199" s="753"/>
      <c r="P199" s="775"/>
      <c r="Q199" s="775"/>
      <c r="R199" s="775"/>
      <c r="S199" s="775"/>
      <c r="T199" s="775"/>
      <c r="U199" s="775"/>
      <c r="V199" s="775"/>
      <c r="W199" s="775"/>
      <c r="X199" s="775"/>
      <c r="Y199" s="775"/>
      <c r="Z199" s="809" t="e">
        <f t="shared" si="27"/>
        <v>#DIV/0!</v>
      </c>
      <c r="AA199" s="775"/>
      <c r="AB199" s="786"/>
      <c r="AC199" s="775"/>
      <c r="AD199" s="775"/>
      <c r="AE199" s="775"/>
      <c r="AF199" s="775"/>
      <c r="AG199" s="775"/>
      <c r="AH199" s="775"/>
      <c r="AI199" s="775"/>
      <c r="AJ199" s="775"/>
      <c r="AK199" s="775"/>
      <c r="AL199" s="775"/>
      <c r="AM199" s="809" t="e">
        <f t="shared" si="28"/>
        <v>#DIV/0!</v>
      </c>
      <c r="AN199" s="775"/>
      <c r="AO199" s="786"/>
      <c r="AP199" s="775"/>
      <c r="AQ199" s="775"/>
      <c r="AR199" s="775"/>
      <c r="AS199" s="775"/>
      <c r="AT199" s="775"/>
      <c r="AU199" s="775"/>
      <c r="AV199" s="775"/>
      <c r="AW199" s="775"/>
      <c r="AX199" s="775"/>
      <c r="AY199" s="775"/>
      <c r="AZ199" s="809" t="e">
        <f t="shared" si="29"/>
        <v>#DIV/0!</v>
      </c>
      <c r="BA199" s="775"/>
      <c r="BB199" s="753"/>
      <c r="BC199" s="775"/>
      <c r="BD199" s="775"/>
      <c r="BE199" s="775"/>
      <c r="BF199" s="775"/>
      <c r="BG199" s="775"/>
      <c r="BH199" s="775"/>
      <c r="BI199" s="775"/>
      <c r="BJ199" s="775"/>
      <c r="BK199" s="775"/>
      <c r="BL199" s="775"/>
      <c r="BM199" s="809" t="e">
        <f t="shared" si="30"/>
        <v>#DIV/0!</v>
      </c>
      <c r="BN199" s="775"/>
      <c r="BO199" s="751"/>
      <c r="BP199" s="751"/>
      <c r="BQ199" s="751"/>
      <c r="BR199" s="751"/>
      <c r="BS199" s="751"/>
      <c r="BT199" s="751"/>
      <c r="BU199" s="751"/>
      <c r="BV199" s="751"/>
      <c r="BW199" s="751"/>
      <c r="BX199" s="751"/>
      <c r="BY199" s="751"/>
      <c r="BZ199" s="751"/>
      <c r="CA199" s="751"/>
      <c r="CB199" s="751"/>
      <c r="CC199" s="751"/>
      <c r="CD199" s="751"/>
      <c r="CE199" s="751"/>
      <c r="CF199" s="751"/>
      <c r="CG199" s="751"/>
    </row>
    <row r="200" spans="3:85" ht="14.25">
      <c r="C200" s="775"/>
      <c r="D200" s="775"/>
      <c r="E200" s="775"/>
      <c r="F200" s="775"/>
      <c r="G200" s="775"/>
      <c r="H200" s="775"/>
      <c r="I200" s="775"/>
      <c r="J200" s="775"/>
      <c r="K200" s="775"/>
      <c r="L200" s="775"/>
      <c r="M200" s="809" t="e">
        <f t="shared" si="31"/>
        <v>#DIV/0!</v>
      </c>
      <c r="N200" s="775"/>
      <c r="O200" s="753"/>
      <c r="P200" s="775"/>
      <c r="Q200" s="775"/>
      <c r="R200" s="775"/>
      <c r="S200" s="775"/>
      <c r="T200" s="775"/>
      <c r="U200" s="775"/>
      <c r="V200" s="775"/>
      <c r="W200" s="775"/>
      <c r="X200" s="775"/>
      <c r="Y200" s="775"/>
      <c r="Z200" s="809" t="e">
        <f t="shared" si="27"/>
        <v>#DIV/0!</v>
      </c>
      <c r="AA200" s="775"/>
      <c r="AB200" s="786"/>
      <c r="AC200" s="775"/>
      <c r="AD200" s="775"/>
      <c r="AE200" s="775"/>
      <c r="AF200" s="775"/>
      <c r="AG200" s="775"/>
      <c r="AH200" s="775"/>
      <c r="AI200" s="775"/>
      <c r="AJ200" s="775"/>
      <c r="AK200" s="775"/>
      <c r="AL200" s="775"/>
      <c r="AM200" s="809" t="e">
        <f t="shared" si="28"/>
        <v>#DIV/0!</v>
      </c>
      <c r="AN200" s="775"/>
      <c r="AO200" s="786"/>
      <c r="AP200" s="775"/>
      <c r="AQ200" s="775"/>
      <c r="AR200" s="775"/>
      <c r="AS200" s="775"/>
      <c r="AT200" s="775"/>
      <c r="AU200" s="775"/>
      <c r="AV200" s="775"/>
      <c r="AW200" s="775"/>
      <c r="AX200" s="775"/>
      <c r="AY200" s="775"/>
      <c r="AZ200" s="809" t="e">
        <f t="shared" si="29"/>
        <v>#DIV/0!</v>
      </c>
      <c r="BA200" s="775"/>
      <c r="BB200" s="753"/>
      <c r="BC200" s="775"/>
      <c r="BD200" s="775"/>
      <c r="BE200" s="775"/>
      <c r="BF200" s="775"/>
      <c r="BG200" s="775"/>
      <c r="BH200" s="775"/>
      <c r="BI200" s="775"/>
      <c r="BJ200" s="775"/>
      <c r="BK200" s="775"/>
      <c r="BL200" s="775"/>
      <c r="BM200" s="809" t="e">
        <f t="shared" si="30"/>
        <v>#DIV/0!</v>
      </c>
      <c r="BN200" s="775"/>
      <c r="BO200" s="751"/>
      <c r="BP200" s="751"/>
      <c r="BQ200" s="751"/>
      <c r="BR200" s="751"/>
      <c r="BS200" s="751"/>
      <c r="BT200" s="751"/>
      <c r="BU200" s="751"/>
      <c r="BV200" s="751"/>
      <c r="BW200" s="751"/>
      <c r="BX200" s="751"/>
      <c r="BY200" s="751"/>
      <c r="BZ200" s="751"/>
      <c r="CA200" s="751"/>
      <c r="CB200" s="751"/>
      <c r="CC200" s="751"/>
      <c r="CD200" s="751"/>
      <c r="CE200" s="751"/>
      <c r="CF200" s="751"/>
      <c r="CG200" s="751"/>
    </row>
    <row r="201" spans="3:85" ht="14.25">
      <c r="C201" s="775"/>
      <c r="D201" s="775"/>
      <c r="E201" s="775"/>
      <c r="F201" s="775"/>
      <c r="G201" s="775"/>
      <c r="H201" s="775"/>
      <c r="I201" s="775"/>
      <c r="J201" s="775"/>
      <c r="K201" s="775"/>
      <c r="L201" s="775"/>
      <c r="M201" s="809" t="e">
        <f t="shared" si="31"/>
        <v>#DIV/0!</v>
      </c>
      <c r="N201" s="775"/>
      <c r="O201" s="753"/>
      <c r="P201" s="775"/>
      <c r="Q201" s="775"/>
      <c r="R201" s="775"/>
      <c r="S201" s="775"/>
      <c r="T201" s="775"/>
      <c r="U201" s="775"/>
      <c r="V201" s="775"/>
      <c r="W201" s="775"/>
      <c r="X201" s="775"/>
      <c r="Y201" s="775"/>
      <c r="Z201" s="809" t="e">
        <f t="shared" si="27"/>
        <v>#DIV/0!</v>
      </c>
      <c r="AA201" s="775"/>
      <c r="AB201" s="786"/>
      <c r="AC201" s="775"/>
      <c r="AD201" s="775"/>
      <c r="AE201" s="775"/>
      <c r="AF201" s="775"/>
      <c r="AG201" s="775"/>
      <c r="AH201" s="775"/>
      <c r="AI201" s="775"/>
      <c r="AJ201" s="775"/>
      <c r="AK201" s="775"/>
      <c r="AL201" s="775"/>
      <c r="AM201" s="809" t="e">
        <f t="shared" si="28"/>
        <v>#DIV/0!</v>
      </c>
      <c r="AN201" s="775"/>
      <c r="AO201" s="786"/>
      <c r="AP201" s="775"/>
      <c r="AQ201" s="775"/>
      <c r="AR201" s="775"/>
      <c r="AS201" s="775"/>
      <c r="AT201" s="775"/>
      <c r="AU201" s="775"/>
      <c r="AV201" s="775"/>
      <c r="AW201" s="775"/>
      <c r="AX201" s="775"/>
      <c r="AY201" s="775"/>
      <c r="AZ201" s="809" t="e">
        <f t="shared" si="29"/>
        <v>#DIV/0!</v>
      </c>
      <c r="BA201" s="775"/>
      <c r="BB201" s="753"/>
      <c r="BC201" s="775"/>
      <c r="BD201" s="775"/>
      <c r="BE201" s="775"/>
      <c r="BF201" s="775"/>
      <c r="BG201" s="775"/>
      <c r="BH201" s="775"/>
      <c r="BI201" s="775"/>
      <c r="BJ201" s="775"/>
      <c r="BK201" s="775"/>
      <c r="BL201" s="775"/>
      <c r="BM201" s="809" t="e">
        <f t="shared" si="30"/>
        <v>#DIV/0!</v>
      </c>
      <c r="BN201" s="775"/>
      <c r="BO201" s="751"/>
      <c r="BP201" s="751"/>
      <c r="BQ201" s="751"/>
      <c r="BR201" s="751"/>
      <c r="BS201" s="751"/>
      <c r="BT201" s="751"/>
      <c r="BU201" s="751"/>
      <c r="BV201" s="751"/>
      <c r="BW201" s="751"/>
      <c r="BX201" s="751"/>
      <c r="BY201" s="751"/>
      <c r="BZ201" s="751"/>
      <c r="CA201" s="751"/>
      <c r="CB201" s="751"/>
      <c r="CC201" s="751"/>
      <c r="CD201" s="751"/>
      <c r="CE201" s="751"/>
      <c r="CF201" s="751"/>
      <c r="CG201" s="751"/>
    </row>
    <row r="202" spans="3:85" ht="14.25">
      <c r="C202" s="775"/>
      <c r="D202" s="775"/>
      <c r="E202" s="775"/>
      <c r="F202" s="775"/>
      <c r="G202" s="775"/>
      <c r="H202" s="775"/>
      <c r="I202" s="775"/>
      <c r="J202" s="775"/>
      <c r="K202" s="775"/>
      <c r="L202" s="775"/>
      <c r="M202" s="809" t="e">
        <f t="shared" si="31"/>
        <v>#DIV/0!</v>
      </c>
      <c r="N202" s="775"/>
      <c r="O202" s="753"/>
      <c r="P202" s="775"/>
      <c r="Q202" s="775"/>
      <c r="R202" s="775"/>
      <c r="S202" s="775"/>
      <c r="T202" s="775"/>
      <c r="U202" s="775"/>
      <c r="V202" s="775"/>
      <c r="W202" s="775"/>
      <c r="X202" s="775"/>
      <c r="Y202" s="775"/>
      <c r="Z202" s="809" t="e">
        <f t="shared" si="27"/>
        <v>#DIV/0!</v>
      </c>
      <c r="AA202" s="775"/>
      <c r="AB202" s="786"/>
      <c r="AC202" s="775"/>
      <c r="AD202" s="775"/>
      <c r="AE202" s="775"/>
      <c r="AF202" s="775"/>
      <c r="AG202" s="775"/>
      <c r="AH202" s="775"/>
      <c r="AI202" s="775"/>
      <c r="AJ202" s="775"/>
      <c r="AK202" s="775"/>
      <c r="AL202" s="775"/>
      <c r="AM202" s="809" t="e">
        <f t="shared" si="28"/>
        <v>#DIV/0!</v>
      </c>
      <c r="AN202" s="775"/>
      <c r="AO202" s="786"/>
      <c r="AP202" s="775"/>
      <c r="AQ202" s="775"/>
      <c r="AR202" s="775"/>
      <c r="AS202" s="775"/>
      <c r="AT202" s="775"/>
      <c r="AU202" s="775"/>
      <c r="AV202" s="775"/>
      <c r="AW202" s="775"/>
      <c r="AX202" s="775"/>
      <c r="AY202" s="775"/>
      <c r="AZ202" s="809" t="e">
        <f t="shared" si="29"/>
        <v>#DIV/0!</v>
      </c>
      <c r="BA202" s="775"/>
      <c r="BB202" s="753"/>
      <c r="BC202" s="775"/>
      <c r="BD202" s="775"/>
      <c r="BE202" s="775"/>
      <c r="BF202" s="775"/>
      <c r="BG202" s="775"/>
      <c r="BH202" s="775"/>
      <c r="BI202" s="775"/>
      <c r="BJ202" s="775"/>
      <c r="BK202" s="775"/>
      <c r="BL202" s="775"/>
      <c r="BM202" s="809" t="e">
        <f t="shared" si="30"/>
        <v>#DIV/0!</v>
      </c>
      <c r="BN202" s="775"/>
      <c r="BO202" s="751"/>
      <c r="BP202" s="751"/>
      <c r="BQ202" s="751"/>
      <c r="BR202" s="751"/>
      <c r="BS202" s="751"/>
      <c r="BT202" s="751"/>
      <c r="BU202" s="751"/>
      <c r="BV202" s="751"/>
      <c r="BW202" s="751"/>
      <c r="BX202" s="751"/>
      <c r="BY202" s="751"/>
      <c r="BZ202" s="751"/>
      <c r="CA202" s="751"/>
      <c r="CB202" s="751"/>
      <c r="CC202" s="751"/>
      <c r="CD202" s="751"/>
      <c r="CE202" s="751"/>
      <c r="CF202" s="751"/>
      <c r="CG202" s="751"/>
    </row>
    <row r="203" spans="3:85">
      <c r="D203" s="781"/>
      <c r="E203" s="781"/>
      <c r="F203" s="781"/>
      <c r="G203" s="781"/>
      <c r="O203" s="753"/>
      <c r="Q203" s="781"/>
      <c r="R203" s="781"/>
      <c r="S203" s="781"/>
      <c r="T203" s="781"/>
      <c r="AB203" s="786"/>
      <c r="AC203" s="786"/>
      <c r="AD203" s="781"/>
      <c r="AE203" s="781"/>
      <c r="AF203" s="781"/>
      <c r="AG203" s="781"/>
      <c r="AQ203" s="781"/>
      <c r="AR203" s="781"/>
      <c r="AS203" s="781"/>
      <c r="AT203" s="781"/>
      <c r="BB203" s="753"/>
      <c r="BD203" s="781"/>
      <c r="BE203" s="781"/>
      <c r="BF203" s="781"/>
      <c r="BG203" s="781"/>
      <c r="BN203" s="751"/>
      <c r="BO203" s="751"/>
      <c r="BP203" s="751"/>
      <c r="BQ203" s="751"/>
      <c r="BR203" s="751"/>
      <c r="BS203" s="751"/>
      <c r="BT203" s="751"/>
      <c r="BU203" s="751"/>
      <c r="BV203" s="751"/>
      <c r="BW203" s="751"/>
      <c r="BX203" s="751"/>
      <c r="BY203" s="751"/>
      <c r="BZ203" s="751"/>
      <c r="CA203" s="751"/>
      <c r="CB203" s="751"/>
      <c r="CC203" s="751"/>
      <c r="CD203" s="751"/>
      <c r="CE203" s="751"/>
      <c r="CF203" s="751"/>
      <c r="CG203" s="751"/>
    </row>
    <row r="204" spans="3:85">
      <c r="D204" s="772" t="s">
        <v>2608</v>
      </c>
      <c r="E204" s="810">
        <f>COUNTIF($M$176:$M$202, "&gt;=0.15")</f>
        <v>0</v>
      </c>
      <c r="F204" s="781"/>
      <c r="H204" s="751" t="s">
        <v>2609</v>
      </c>
      <c r="Q204" s="772" t="s">
        <v>2608</v>
      </c>
      <c r="R204" s="810">
        <f>COUNTIF($M$176:$M$202, "&gt;=0.15")</f>
        <v>0</v>
      </c>
      <c r="S204" s="781"/>
      <c r="AB204" s="786"/>
      <c r="AC204" s="786"/>
      <c r="AD204" s="772" t="s">
        <v>2608</v>
      </c>
      <c r="AE204" s="810">
        <f>COUNTIF($M$176:$M$202, "&gt;=0.15")</f>
        <v>0</v>
      </c>
      <c r="AF204" s="781"/>
      <c r="AQ204" s="772" t="s">
        <v>2608</v>
      </c>
      <c r="AR204" s="810">
        <f>COUNTIF($M$176:$M$202, "&gt;=0.15")</f>
        <v>0</v>
      </c>
      <c r="AS204" s="781"/>
      <c r="BD204" s="772" t="s">
        <v>2608</v>
      </c>
      <c r="BE204" s="810">
        <f>COUNTIF($M$176:$M$202, "&gt;=0.15")</f>
        <v>0</v>
      </c>
      <c r="BF204" s="781"/>
      <c r="BN204" s="751"/>
      <c r="BO204" s="751"/>
      <c r="BP204" s="751"/>
      <c r="BQ204" s="751"/>
      <c r="BR204" s="751"/>
      <c r="BS204" s="751"/>
      <c r="BT204" s="751"/>
      <c r="BU204" s="751"/>
      <c r="BV204" s="751"/>
      <c r="BW204" s="751"/>
      <c r="BX204" s="751"/>
      <c r="BY204" s="751"/>
      <c r="BZ204" s="751"/>
      <c r="CA204" s="751"/>
      <c r="CB204" s="751"/>
      <c r="CC204" s="751"/>
      <c r="CD204" s="751"/>
      <c r="CE204" s="751"/>
      <c r="CF204" s="751"/>
      <c r="CG204" s="751"/>
    </row>
    <row r="205" spans="3:85">
      <c r="D205" s="772" t="s">
        <v>2610</v>
      </c>
      <c r="E205" s="811">
        <f>COUNTIF($M$176:$M$202, "&lt;=0.05")</f>
        <v>0</v>
      </c>
      <c r="Q205" s="772" t="s">
        <v>2610</v>
      </c>
      <c r="R205" s="811">
        <f>COUNTIF($M$176:$M$202, "&lt;=0.05")</f>
        <v>0</v>
      </c>
      <c r="AB205" s="786"/>
      <c r="AC205" s="786"/>
      <c r="AD205" s="772" t="s">
        <v>2610</v>
      </c>
      <c r="AE205" s="811">
        <f>COUNTIF($M$176:$M$202, "&lt;=0.05")</f>
        <v>0</v>
      </c>
      <c r="AO205" s="786"/>
      <c r="AP205" s="786"/>
      <c r="AQ205" s="772" t="s">
        <v>2610</v>
      </c>
      <c r="AR205" s="811">
        <f>COUNTIF($M$176:$M$202, "&lt;=0.05")</f>
        <v>0</v>
      </c>
      <c r="BD205" s="772" t="s">
        <v>2610</v>
      </c>
      <c r="BE205" s="811">
        <f>COUNTIF($M$176:$M$202, "&lt;=0.05")</f>
        <v>0</v>
      </c>
      <c r="BN205" s="751"/>
      <c r="BO205" s="751"/>
      <c r="BP205" s="751"/>
      <c r="BQ205" s="751"/>
      <c r="BR205" s="751"/>
      <c r="BS205" s="751"/>
      <c r="BT205" s="751"/>
      <c r="BU205" s="751"/>
      <c r="BV205" s="751"/>
      <c r="BW205" s="751"/>
      <c r="BX205" s="751"/>
      <c r="BY205" s="751"/>
      <c r="BZ205" s="751"/>
      <c r="CA205" s="751"/>
      <c r="CB205" s="751"/>
      <c r="CC205" s="751"/>
      <c r="CD205" s="751"/>
      <c r="CE205" s="751"/>
      <c r="CF205" s="751"/>
      <c r="CG205" s="751"/>
    </row>
    <row r="206" spans="3:85">
      <c r="T206" s="786"/>
      <c r="U206" s="786"/>
      <c r="V206" s="786"/>
      <c r="W206" s="786"/>
      <c r="X206" s="786"/>
      <c r="Y206" s="786"/>
      <c r="Z206" s="786"/>
      <c r="AA206" s="786"/>
      <c r="AB206" s="786"/>
      <c r="AC206" s="786"/>
      <c r="AD206" s="786"/>
      <c r="AE206" s="786"/>
      <c r="AF206" s="786"/>
      <c r="AG206" s="786"/>
      <c r="AH206" s="786"/>
      <c r="AI206" s="786"/>
      <c r="AJ206" s="786"/>
      <c r="AK206" s="786"/>
      <c r="AL206" s="786"/>
      <c r="AM206" s="786"/>
      <c r="BN206" s="751"/>
      <c r="BO206" s="751"/>
      <c r="BP206" s="751"/>
      <c r="BQ206" s="751"/>
      <c r="BR206" s="751"/>
      <c r="BS206" s="751"/>
      <c r="BT206" s="751"/>
      <c r="BU206" s="751"/>
      <c r="BV206" s="751"/>
      <c r="BW206" s="751"/>
      <c r="BX206" s="751"/>
      <c r="BY206" s="751"/>
      <c r="BZ206" s="751"/>
      <c r="CA206" s="751"/>
      <c r="CB206" s="751"/>
      <c r="CC206" s="751"/>
      <c r="CD206" s="751"/>
      <c r="CE206" s="751"/>
      <c r="CF206" s="751"/>
      <c r="CG206" s="751"/>
    </row>
    <row r="207" spans="3:85">
      <c r="T207" s="786"/>
      <c r="U207" s="786"/>
      <c r="V207" s="786"/>
      <c r="W207" s="786"/>
      <c r="X207" s="786"/>
      <c r="Y207" s="786"/>
      <c r="Z207" s="786"/>
      <c r="AA207" s="786"/>
      <c r="AB207" s="786"/>
      <c r="AC207" s="786"/>
      <c r="AD207" s="786"/>
      <c r="AE207" s="786"/>
      <c r="AF207" s="786"/>
      <c r="AG207" s="786"/>
      <c r="AH207" s="786"/>
      <c r="AI207" s="786"/>
      <c r="AJ207" s="786"/>
      <c r="AK207" s="786"/>
      <c r="AL207" s="786"/>
      <c r="AM207" s="786"/>
      <c r="BN207" s="751"/>
      <c r="BO207" s="751"/>
      <c r="BP207" s="751"/>
      <c r="BQ207" s="751"/>
      <c r="BR207" s="751"/>
      <c r="BS207" s="751"/>
      <c r="BT207" s="751"/>
      <c r="BU207" s="751"/>
      <c r="BV207" s="751"/>
      <c r="BW207" s="751"/>
      <c r="BX207" s="751"/>
      <c r="BY207" s="751"/>
      <c r="BZ207" s="751"/>
      <c r="CA207" s="751"/>
      <c r="CB207" s="751"/>
      <c r="CC207" s="751"/>
      <c r="CD207" s="751"/>
      <c r="CE207" s="751"/>
      <c r="CF207" s="751"/>
      <c r="CG207" s="751"/>
    </row>
    <row r="208" spans="3:85">
      <c r="T208" s="786"/>
      <c r="U208" s="786"/>
      <c r="V208" s="786"/>
      <c r="W208" s="786"/>
      <c r="X208" s="786"/>
      <c r="Y208" s="786"/>
      <c r="Z208" s="786"/>
      <c r="AA208" s="786"/>
      <c r="AB208" s="786"/>
      <c r="AC208" s="786"/>
      <c r="AD208" s="786"/>
      <c r="AE208" s="786"/>
      <c r="AF208" s="786"/>
      <c r="AG208" s="786"/>
      <c r="AH208" s="786"/>
      <c r="AI208" s="786"/>
      <c r="AJ208" s="786"/>
      <c r="AK208" s="786"/>
      <c r="AL208" s="786"/>
      <c r="AM208" s="786"/>
      <c r="BN208" s="751"/>
      <c r="BO208" s="751"/>
      <c r="BP208" s="751"/>
      <c r="BQ208" s="751"/>
      <c r="BR208" s="751"/>
      <c r="BS208" s="751"/>
      <c r="BT208" s="751"/>
      <c r="BU208" s="751"/>
      <c r="BV208" s="751"/>
      <c r="BW208" s="751"/>
      <c r="BX208" s="751"/>
      <c r="BY208" s="751"/>
      <c r="BZ208" s="751"/>
      <c r="CA208" s="751"/>
      <c r="CB208" s="751"/>
      <c r="CC208" s="751"/>
      <c r="CD208" s="751"/>
      <c r="CE208" s="751"/>
      <c r="CF208" s="751"/>
      <c r="CG208" s="751"/>
    </row>
    <row r="209" spans="20:85">
      <c r="T209" s="786"/>
      <c r="U209" s="786"/>
      <c r="V209" s="786"/>
      <c r="W209" s="786"/>
      <c r="X209" s="786"/>
      <c r="Y209" s="786"/>
      <c r="Z209" s="786"/>
      <c r="AA209" s="786"/>
      <c r="AB209" s="786"/>
      <c r="AC209" s="786"/>
      <c r="AD209" s="786"/>
      <c r="AE209" s="786"/>
      <c r="AF209" s="786"/>
      <c r="AG209" s="786"/>
      <c r="AH209" s="786"/>
      <c r="AI209" s="786"/>
      <c r="AJ209" s="786"/>
      <c r="AK209" s="786"/>
      <c r="AL209" s="786"/>
      <c r="AM209" s="786"/>
      <c r="BN209" s="751"/>
      <c r="BO209" s="751"/>
      <c r="BP209" s="751"/>
      <c r="BQ209" s="751"/>
      <c r="BR209" s="751"/>
      <c r="BS209" s="751"/>
      <c r="BT209" s="751"/>
      <c r="BU209" s="751"/>
      <c r="BV209" s="751"/>
      <c r="BW209" s="751"/>
      <c r="BX209" s="751"/>
      <c r="BY209" s="751"/>
      <c r="BZ209" s="751"/>
      <c r="CA209" s="751"/>
      <c r="CB209" s="751"/>
      <c r="CC209" s="751"/>
      <c r="CD209" s="751"/>
      <c r="CE209" s="751"/>
      <c r="CF209" s="751"/>
      <c r="CG209" s="751"/>
    </row>
    <row r="210" spans="20:85">
      <c r="T210" s="786"/>
      <c r="U210" s="786"/>
      <c r="V210" s="786"/>
      <c r="W210" s="786"/>
      <c r="X210" s="786"/>
      <c r="Y210" s="786"/>
      <c r="Z210" s="786"/>
      <c r="AA210" s="786"/>
      <c r="AB210" s="786"/>
      <c r="AC210" s="786"/>
      <c r="AD210" s="786"/>
      <c r="AE210" s="786"/>
      <c r="AF210" s="786"/>
      <c r="AG210" s="786"/>
      <c r="AH210" s="786"/>
      <c r="AI210" s="786"/>
      <c r="AJ210" s="786"/>
      <c r="AK210" s="786"/>
      <c r="AL210" s="786"/>
      <c r="AM210" s="786"/>
      <c r="BN210" s="751"/>
      <c r="BO210" s="751"/>
      <c r="BP210" s="751"/>
      <c r="BQ210" s="751"/>
      <c r="BR210" s="751"/>
      <c r="BS210" s="751"/>
      <c r="BT210" s="751"/>
      <c r="BU210" s="751"/>
      <c r="BV210" s="751"/>
      <c r="BW210" s="751"/>
      <c r="BX210" s="751"/>
      <c r="BY210" s="751"/>
      <c r="BZ210" s="751"/>
      <c r="CA210" s="751"/>
      <c r="CB210" s="751"/>
      <c r="CC210" s="751"/>
      <c r="CD210" s="751"/>
      <c r="CE210" s="751"/>
      <c r="CF210" s="751"/>
      <c r="CG210" s="751"/>
    </row>
    <row r="211" spans="20:85">
      <c r="T211" s="786"/>
      <c r="U211" s="786"/>
      <c r="V211" s="786"/>
      <c r="W211" s="786"/>
      <c r="X211" s="786"/>
      <c r="Y211" s="786"/>
      <c r="Z211" s="786"/>
      <c r="AA211" s="786"/>
      <c r="AB211" s="786"/>
      <c r="AC211" s="786"/>
      <c r="AD211" s="786"/>
      <c r="AE211" s="786"/>
      <c r="AF211" s="786"/>
      <c r="AG211" s="786"/>
      <c r="AH211" s="786"/>
      <c r="AI211" s="786"/>
      <c r="AJ211" s="786"/>
      <c r="AK211" s="786"/>
      <c r="AL211" s="786"/>
      <c r="AM211" s="786"/>
      <c r="BN211" s="751"/>
      <c r="BO211" s="751"/>
      <c r="BP211" s="751"/>
      <c r="BQ211" s="751"/>
      <c r="BR211" s="751"/>
      <c r="BS211" s="751"/>
      <c r="BT211" s="751"/>
      <c r="BU211" s="751"/>
      <c r="BV211" s="751"/>
      <c r="BW211" s="751"/>
      <c r="BX211" s="751"/>
      <c r="BY211" s="751"/>
      <c r="BZ211" s="751"/>
      <c r="CA211" s="751"/>
      <c r="CB211" s="751"/>
      <c r="CC211" s="751"/>
      <c r="CD211" s="751"/>
      <c r="CE211" s="751"/>
      <c r="CF211" s="751"/>
      <c r="CG211" s="751"/>
    </row>
    <row r="212" spans="20:85">
      <c r="T212" s="786"/>
      <c r="U212" s="786"/>
      <c r="V212" s="786"/>
      <c r="W212" s="786"/>
      <c r="X212" s="786"/>
      <c r="Y212" s="786"/>
      <c r="Z212" s="786"/>
      <c r="AA212" s="786"/>
      <c r="AB212" s="786"/>
      <c r="AC212" s="786"/>
      <c r="AD212" s="786"/>
      <c r="AE212" s="786"/>
      <c r="AF212" s="786"/>
      <c r="AG212" s="786"/>
      <c r="AH212" s="786"/>
      <c r="AI212" s="786"/>
      <c r="AJ212" s="786"/>
      <c r="AK212" s="786"/>
      <c r="AL212" s="786"/>
      <c r="AM212" s="786"/>
      <c r="BN212" s="751"/>
      <c r="BO212" s="751"/>
      <c r="BP212" s="751"/>
      <c r="BQ212" s="751"/>
      <c r="BR212" s="751"/>
      <c r="BS212" s="751"/>
      <c r="BT212" s="751"/>
      <c r="BU212" s="751"/>
      <c r="BV212" s="751"/>
      <c r="BW212" s="751"/>
      <c r="BX212" s="751"/>
      <c r="BY212" s="751"/>
      <c r="BZ212" s="751"/>
      <c r="CA212" s="751"/>
      <c r="CB212" s="751"/>
      <c r="CC212" s="751"/>
      <c r="CD212" s="751"/>
      <c r="CE212" s="751"/>
      <c r="CF212" s="751"/>
      <c r="CG212" s="751"/>
    </row>
    <row r="213" spans="20:85">
      <c r="T213" s="786"/>
      <c r="U213" s="786"/>
      <c r="V213" s="786"/>
      <c r="W213" s="786"/>
      <c r="X213" s="786"/>
      <c r="Y213" s="786"/>
      <c r="Z213" s="786"/>
      <c r="AA213" s="786"/>
      <c r="AB213" s="786"/>
      <c r="AC213" s="786"/>
      <c r="AD213" s="786"/>
      <c r="AE213" s="786"/>
      <c r="AF213" s="786"/>
      <c r="AG213" s="786"/>
      <c r="AH213" s="786"/>
      <c r="AI213" s="786"/>
      <c r="AJ213" s="786"/>
      <c r="AK213" s="786"/>
      <c r="AL213" s="786"/>
      <c r="AM213" s="786"/>
      <c r="BN213" s="751"/>
      <c r="BO213" s="751"/>
      <c r="BP213" s="751"/>
      <c r="BQ213" s="751"/>
      <c r="BR213" s="751"/>
      <c r="BS213" s="751"/>
      <c r="BT213" s="751"/>
      <c r="BU213" s="751"/>
      <c r="BV213" s="751"/>
      <c r="BW213" s="751"/>
      <c r="BX213" s="751"/>
      <c r="BY213" s="751"/>
      <c r="BZ213" s="751"/>
      <c r="CA213" s="751"/>
      <c r="CB213" s="751"/>
      <c r="CC213" s="751"/>
      <c r="CD213" s="751"/>
      <c r="CE213" s="751"/>
      <c r="CF213" s="751"/>
      <c r="CG213" s="751"/>
    </row>
    <row r="214" spans="20:85">
      <c r="T214" s="786"/>
      <c r="U214" s="786"/>
      <c r="V214" s="786"/>
      <c r="W214" s="786"/>
      <c r="X214" s="786"/>
      <c r="Y214" s="786"/>
      <c r="Z214" s="786"/>
      <c r="AA214" s="786"/>
      <c r="AB214" s="786"/>
      <c r="AC214" s="786"/>
      <c r="AD214" s="786"/>
      <c r="AE214" s="786"/>
      <c r="AF214" s="786"/>
      <c r="AG214" s="786"/>
      <c r="AH214" s="786"/>
      <c r="AI214" s="786"/>
      <c r="AJ214" s="786"/>
      <c r="AK214" s="786"/>
      <c r="AL214" s="786"/>
      <c r="AM214" s="786"/>
      <c r="BN214" s="751"/>
      <c r="BO214" s="751"/>
      <c r="BP214" s="751"/>
      <c r="BQ214" s="751"/>
      <c r="BR214" s="751"/>
      <c r="BS214" s="751"/>
      <c r="BT214" s="751"/>
      <c r="BU214" s="751"/>
      <c r="BV214" s="751"/>
      <c r="BW214" s="751"/>
      <c r="BX214" s="751"/>
      <c r="BY214" s="751"/>
      <c r="BZ214" s="751"/>
      <c r="CA214" s="751"/>
      <c r="CB214" s="751"/>
      <c r="CC214" s="751"/>
      <c r="CD214" s="751"/>
      <c r="CE214" s="751"/>
      <c r="CF214" s="751"/>
      <c r="CG214" s="751"/>
    </row>
    <row r="215" spans="20:85">
      <c r="T215" s="786"/>
      <c r="U215" s="786"/>
      <c r="V215" s="786"/>
      <c r="W215" s="786"/>
      <c r="X215" s="786"/>
      <c r="Y215" s="786"/>
      <c r="Z215" s="786"/>
      <c r="AA215" s="786"/>
      <c r="AB215" s="786"/>
      <c r="AC215" s="786"/>
      <c r="AD215" s="786"/>
      <c r="AE215" s="786"/>
      <c r="AF215" s="786"/>
      <c r="AG215" s="786"/>
      <c r="AH215" s="786"/>
      <c r="AI215" s="786"/>
      <c r="AJ215" s="786"/>
      <c r="AK215" s="786"/>
      <c r="AL215" s="786"/>
      <c r="AM215" s="786"/>
      <c r="BN215" s="751"/>
      <c r="BO215" s="751"/>
      <c r="BP215" s="751"/>
      <c r="BQ215" s="751"/>
      <c r="BR215" s="751"/>
      <c r="BS215" s="751"/>
      <c r="BT215" s="751"/>
      <c r="BU215" s="751"/>
      <c r="BV215" s="751"/>
      <c r="BW215" s="751"/>
      <c r="BX215" s="751"/>
      <c r="BY215" s="751"/>
      <c r="BZ215" s="751"/>
      <c r="CA215" s="751"/>
      <c r="CB215" s="751"/>
      <c r="CC215" s="751"/>
      <c r="CD215" s="751"/>
      <c r="CE215" s="751"/>
      <c r="CF215" s="751"/>
      <c r="CG215" s="751"/>
    </row>
    <row r="216" spans="20:85">
      <c r="T216" s="786"/>
      <c r="U216" s="786"/>
      <c r="V216" s="786"/>
      <c r="W216" s="786"/>
      <c r="X216" s="786"/>
      <c r="Y216" s="786"/>
      <c r="Z216" s="786"/>
      <c r="AA216" s="786"/>
      <c r="AB216" s="786"/>
      <c r="AC216" s="786"/>
      <c r="AD216" s="786"/>
      <c r="AE216" s="786"/>
      <c r="AF216" s="786"/>
      <c r="AG216" s="786"/>
      <c r="AH216" s="786"/>
      <c r="AI216" s="786"/>
      <c r="AJ216" s="786"/>
      <c r="AK216" s="786"/>
      <c r="AL216" s="786"/>
      <c r="AM216" s="786"/>
      <c r="BN216" s="751"/>
      <c r="BO216" s="751"/>
      <c r="BP216" s="751"/>
      <c r="BQ216" s="751"/>
      <c r="BR216" s="751"/>
      <c r="BS216" s="751"/>
      <c r="BT216" s="751"/>
      <c r="BU216" s="751"/>
      <c r="BV216" s="751"/>
      <c r="BW216" s="751"/>
      <c r="BX216" s="751"/>
      <c r="BY216" s="751"/>
      <c r="BZ216" s="751"/>
      <c r="CA216" s="751"/>
      <c r="CB216" s="751"/>
      <c r="CC216" s="751"/>
      <c r="CD216" s="751"/>
      <c r="CE216" s="751"/>
      <c r="CF216" s="751"/>
      <c r="CG216" s="751"/>
    </row>
    <row r="217" spans="20:85">
      <c r="T217" s="786"/>
      <c r="U217" s="786"/>
      <c r="V217" s="786"/>
      <c r="W217" s="786"/>
      <c r="X217" s="786"/>
      <c r="Y217" s="786"/>
      <c r="Z217" s="786"/>
      <c r="AA217" s="786"/>
      <c r="AB217" s="786"/>
      <c r="AC217" s="786"/>
      <c r="AD217" s="786"/>
      <c r="AE217" s="786"/>
      <c r="AF217" s="786"/>
      <c r="AG217" s="786"/>
      <c r="AH217" s="786"/>
      <c r="AI217" s="786"/>
      <c r="AJ217" s="786"/>
      <c r="AK217" s="786"/>
      <c r="AL217" s="786"/>
      <c r="AM217" s="786"/>
      <c r="BN217" s="751"/>
      <c r="BO217" s="751"/>
      <c r="BP217" s="751"/>
      <c r="BQ217" s="751"/>
      <c r="BR217" s="751"/>
      <c r="BS217" s="751"/>
      <c r="BT217" s="751"/>
      <c r="BU217" s="751"/>
      <c r="BV217" s="751"/>
      <c r="BW217" s="751"/>
      <c r="BX217" s="751"/>
      <c r="BY217" s="751"/>
      <c r="BZ217" s="751"/>
      <c r="CA217" s="751"/>
      <c r="CB217" s="751"/>
      <c r="CC217" s="751"/>
      <c r="CD217" s="751"/>
      <c r="CE217" s="751"/>
      <c r="CF217" s="751"/>
      <c r="CG217" s="751"/>
    </row>
    <row r="218" spans="20:85">
      <c r="T218" s="786"/>
      <c r="U218" s="786"/>
      <c r="V218" s="786"/>
      <c r="W218" s="786"/>
      <c r="X218" s="786"/>
      <c r="Y218" s="786"/>
      <c r="Z218" s="786"/>
      <c r="AA218" s="786"/>
      <c r="AB218" s="786"/>
      <c r="AC218" s="786"/>
      <c r="AD218" s="786"/>
      <c r="AE218" s="786"/>
      <c r="AF218" s="786"/>
      <c r="AG218" s="786"/>
      <c r="AH218" s="786"/>
      <c r="AI218" s="786"/>
      <c r="AJ218" s="786"/>
      <c r="AK218" s="786"/>
      <c r="AL218" s="786"/>
      <c r="AM218" s="786"/>
      <c r="BN218" s="751"/>
      <c r="BO218" s="751"/>
      <c r="BP218" s="751"/>
      <c r="BQ218" s="751"/>
      <c r="BR218" s="751"/>
      <c r="BS218" s="751"/>
      <c r="BT218" s="751"/>
      <c r="BU218" s="751"/>
      <c r="BV218" s="751"/>
      <c r="BW218" s="751"/>
      <c r="BX218" s="751"/>
      <c r="BY218" s="751"/>
      <c r="BZ218" s="751"/>
      <c r="CA218" s="751"/>
      <c r="CB218" s="751"/>
      <c r="CC218" s="751"/>
      <c r="CD218" s="751"/>
      <c r="CE218" s="751"/>
      <c r="CF218" s="751"/>
      <c r="CG218" s="751"/>
    </row>
    <row r="219" spans="20:85">
      <c r="T219" s="786"/>
      <c r="U219" s="786"/>
      <c r="V219" s="786"/>
      <c r="W219" s="786"/>
      <c r="X219" s="786"/>
      <c r="Y219" s="786"/>
      <c r="Z219" s="786"/>
      <c r="AA219" s="786"/>
      <c r="AB219" s="786"/>
      <c r="AC219" s="786"/>
      <c r="AD219" s="786"/>
      <c r="AE219" s="786"/>
      <c r="AF219" s="786"/>
      <c r="AG219" s="786"/>
      <c r="AH219" s="786"/>
      <c r="AI219" s="786"/>
      <c r="AJ219" s="786"/>
      <c r="AK219" s="786"/>
      <c r="AL219" s="786"/>
      <c r="AM219" s="786"/>
      <c r="BN219" s="751"/>
      <c r="BO219" s="751"/>
      <c r="BP219" s="751"/>
      <c r="BQ219" s="751"/>
      <c r="BR219" s="751"/>
      <c r="BS219" s="751"/>
      <c r="BT219" s="751"/>
      <c r="BU219" s="751"/>
      <c r="BV219" s="751"/>
      <c r="BW219" s="751"/>
      <c r="BX219" s="751"/>
      <c r="BY219" s="751"/>
      <c r="BZ219" s="751"/>
      <c r="CA219" s="751"/>
      <c r="CB219" s="751"/>
      <c r="CC219" s="751"/>
      <c r="CD219" s="751"/>
      <c r="CE219" s="751"/>
      <c r="CF219" s="751"/>
      <c r="CG219" s="751"/>
    </row>
    <row r="220" spans="20:85">
      <c r="T220" s="786"/>
      <c r="U220" s="786"/>
      <c r="V220" s="786"/>
      <c r="W220" s="786"/>
      <c r="X220" s="786"/>
      <c r="Y220" s="786"/>
      <c r="Z220" s="786"/>
      <c r="AA220" s="786"/>
      <c r="AB220" s="786"/>
      <c r="AC220" s="786"/>
      <c r="AD220" s="786"/>
      <c r="AE220" s="786"/>
      <c r="AF220" s="786"/>
      <c r="AG220" s="786"/>
      <c r="AH220" s="786"/>
      <c r="AI220" s="786"/>
      <c r="AJ220" s="786"/>
      <c r="AK220" s="786"/>
      <c r="AL220" s="786"/>
      <c r="AM220" s="786"/>
      <c r="BN220" s="751"/>
      <c r="BO220" s="751"/>
      <c r="BP220" s="751"/>
      <c r="BQ220" s="751"/>
      <c r="BR220" s="751"/>
      <c r="BS220" s="751"/>
      <c r="BT220" s="751"/>
      <c r="BU220" s="751"/>
      <c r="BV220" s="751"/>
      <c r="BW220" s="751"/>
      <c r="BX220" s="751"/>
      <c r="BY220" s="751"/>
      <c r="BZ220" s="751"/>
      <c r="CA220" s="751"/>
      <c r="CB220" s="751"/>
      <c r="CC220" s="751"/>
      <c r="CD220" s="751"/>
      <c r="CE220" s="751"/>
      <c r="CF220" s="751"/>
      <c r="CG220" s="751"/>
    </row>
    <row r="221" spans="20:85">
      <c r="T221" s="786"/>
      <c r="U221" s="786"/>
      <c r="V221" s="786"/>
      <c r="W221" s="786"/>
      <c r="X221" s="786"/>
      <c r="Y221" s="786"/>
      <c r="Z221" s="786"/>
      <c r="AA221" s="786"/>
      <c r="AB221" s="786"/>
      <c r="AC221" s="786"/>
      <c r="AD221" s="786"/>
      <c r="AE221" s="786"/>
      <c r="AF221" s="786"/>
      <c r="AG221" s="786"/>
      <c r="AH221" s="786"/>
      <c r="AI221" s="786"/>
      <c r="AJ221" s="786"/>
      <c r="AK221" s="786"/>
      <c r="AL221" s="786"/>
      <c r="AM221" s="786"/>
      <c r="BN221" s="751"/>
      <c r="BO221" s="751"/>
      <c r="BP221" s="751"/>
      <c r="BQ221" s="751"/>
      <c r="BR221" s="751"/>
      <c r="BS221" s="751"/>
      <c r="BT221" s="751"/>
      <c r="BU221" s="751"/>
      <c r="BV221" s="751"/>
      <c r="BW221" s="751"/>
      <c r="BX221" s="751"/>
      <c r="BY221" s="751"/>
      <c r="BZ221" s="751"/>
      <c r="CA221" s="751"/>
      <c r="CB221" s="751"/>
      <c r="CC221" s="751"/>
      <c r="CD221" s="751"/>
      <c r="CE221" s="751"/>
      <c r="CF221" s="751"/>
      <c r="CG221" s="751"/>
    </row>
    <row r="222" spans="20:85">
      <c r="T222" s="786"/>
      <c r="U222" s="786"/>
      <c r="V222" s="786"/>
      <c r="W222" s="786"/>
      <c r="X222" s="786"/>
      <c r="Y222" s="786"/>
      <c r="Z222" s="786"/>
      <c r="AA222" s="786"/>
      <c r="AB222" s="786"/>
      <c r="AC222" s="786"/>
      <c r="AD222" s="786"/>
      <c r="AE222" s="786"/>
      <c r="AF222" s="786"/>
      <c r="AG222" s="786"/>
      <c r="AH222" s="786"/>
      <c r="AI222" s="786"/>
      <c r="AJ222" s="786"/>
      <c r="AK222" s="786"/>
      <c r="AL222" s="786"/>
      <c r="AM222" s="786"/>
      <c r="BN222" s="751"/>
      <c r="BO222" s="751"/>
      <c r="BP222" s="751"/>
      <c r="BQ222" s="751"/>
      <c r="BR222" s="751"/>
      <c r="BS222" s="751"/>
      <c r="BT222" s="751"/>
      <c r="BU222" s="751"/>
      <c r="BV222" s="751"/>
      <c r="BW222" s="751"/>
      <c r="BX222" s="751"/>
      <c r="BY222" s="751"/>
      <c r="BZ222" s="751"/>
      <c r="CA222" s="751"/>
      <c r="CB222" s="751"/>
      <c r="CC222" s="751"/>
      <c r="CD222" s="751"/>
      <c r="CE222" s="751"/>
      <c r="CF222" s="751"/>
      <c r="CG222" s="751"/>
    </row>
    <row r="223" spans="20:85">
      <c r="T223" s="786"/>
      <c r="U223" s="786"/>
      <c r="V223" s="786"/>
      <c r="W223" s="786"/>
      <c r="X223" s="786"/>
      <c r="Y223" s="786"/>
      <c r="Z223" s="786"/>
      <c r="AA223" s="786"/>
      <c r="AB223" s="786"/>
      <c r="AC223" s="786"/>
      <c r="AD223" s="786"/>
      <c r="AE223" s="786"/>
      <c r="AF223" s="786"/>
      <c r="AG223" s="786"/>
      <c r="AH223" s="786"/>
      <c r="AI223" s="786"/>
      <c r="AJ223" s="786"/>
      <c r="AK223" s="786"/>
      <c r="AL223" s="786"/>
      <c r="AM223" s="786"/>
      <c r="BN223" s="751"/>
      <c r="BO223" s="751"/>
      <c r="BP223" s="751"/>
      <c r="BQ223" s="751"/>
      <c r="BR223" s="751"/>
      <c r="BS223" s="751"/>
      <c r="BT223" s="751"/>
      <c r="BU223" s="751"/>
      <c r="BV223" s="751"/>
      <c r="BW223" s="751"/>
      <c r="BX223" s="751"/>
      <c r="BY223" s="751"/>
      <c r="BZ223" s="751"/>
      <c r="CA223" s="751"/>
      <c r="CB223" s="751"/>
      <c r="CC223" s="751"/>
      <c r="CD223" s="751"/>
      <c r="CE223" s="751"/>
      <c r="CF223" s="751"/>
      <c r="CG223" s="751"/>
    </row>
    <row r="224" spans="20:85">
      <c r="T224" s="786"/>
      <c r="U224" s="786"/>
      <c r="V224" s="786"/>
      <c r="W224" s="786"/>
      <c r="X224" s="786"/>
      <c r="Y224" s="786"/>
      <c r="Z224" s="786"/>
      <c r="AA224" s="786"/>
      <c r="AB224" s="786"/>
      <c r="AC224" s="786"/>
      <c r="AD224" s="786"/>
      <c r="AE224" s="786"/>
      <c r="AF224" s="786"/>
      <c r="AG224" s="786"/>
      <c r="AH224" s="786"/>
      <c r="AI224" s="786"/>
      <c r="AJ224" s="786"/>
      <c r="AK224" s="786"/>
      <c r="AL224" s="786"/>
      <c r="AM224" s="786"/>
      <c r="BN224" s="751"/>
      <c r="BO224" s="751"/>
      <c r="BP224" s="751"/>
      <c r="BQ224" s="751"/>
      <c r="BR224" s="751"/>
      <c r="BS224" s="751"/>
      <c r="BT224" s="751"/>
      <c r="BU224" s="751"/>
      <c r="BV224" s="751"/>
      <c r="BW224" s="751"/>
      <c r="BX224" s="751"/>
      <c r="BY224" s="751"/>
      <c r="BZ224" s="751"/>
      <c r="CA224" s="751"/>
      <c r="CB224" s="751"/>
      <c r="CC224" s="751"/>
      <c r="CD224" s="751"/>
      <c r="CE224" s="751"/>
      <c r="CF224" s="751"/>
      <c r="CG224" s="751"/>
    </row>
    <row r="225" spans="20:85">
      <c r="T225" s="786"/>
      <c r="U225" s="786"/>
      <c r="V225" s="786"/>
      <c r="W225" s="786"/>
      <c r="X225" s="786"/>
      <c r="Y225" s="786"/>
      <c r="Z225" s="786"/>
      <c r="AA225" s="786"/>
      <c r="AB225" s="786"/>
      <c r="AC225" s="786"/>
      <c r="AD225" s="786"/>
      <c r="AE225" s="786"/>
      <c r="AF225" s="786"/>
      <c r="AG225" s="786"/>
      <c r="AH225" s="786"/>
      <c r="AI225" s="786"/>
      <c r="AJ225" s="786"/>
      <c r="AK225" s="786"/>
      <c r="AL225" s="786"/>
      <c r="AM225" s="786"/>
      <c r="BN225" s="751"/>
      <c r="BO225" s="751"/>
      <c r="BP225" s="751"/>
      <c r="BQ225" s="751"/>
      <c r="BR225" s="751"/>
      <c r="BS225" s="751"/>
      <c r="BT225" s="751"/>
      <c r="BU225" s="751"/>
      <c r="BV225" s="751"/>
      <c r="BW225" s="751"/>
      <c r="BX225" s="751"/>
      <c r="BY225" s="751"/>
      <c r="BZ225" s="751"/>
      <c r="CA225" s="751"/>
      <c r="CB225" s="751"/>
      <c r="CC225" s="751"/>
      <c r="CD225" s="751"/>
      <c r="CE225" s="751"/>
      <c r="CF225" s="751"/>
      <c r="CG225" s="751"/>
    </row>
    <row r="226" spans="20:85">
      <c r="T226" s="786"/>
      <c r="U226" s="786"/>
      <c r="V226" s="786"/>
      <c r="W226" s="786"/>
      <c r="X226" s="786"/>
      <c r="Y226" s="786"/>
      <c r="Z226" s="786"/>
      <c r="AA226" s="786"/>
      <c r="AB226" s="786"/>
      <c r="AC226" s="786"/>
      <c r="AD226" s="786"/>
      <c r="AE226" s="786"/>
      <c r="AF226" s="786"/>
      <c r="AG226" s="786"/>
      <c r="AH226" s="786"/>
      <c r="AI226" s="786"/>
      <c r="AJ226" s="786"/>
      <c r="AK226" s="786"/>
      <c r="AL226" s="786"/>
      <c r="AM226" s="786"/>
      <c r="BN226" s="751"/>
      <c r="BO226" s="751"/>
      <c r="BP226" s="751"/>
      <c r="BQ226" s="751"/>
      <c r="BR226" s="751"/>
      <c r="BS226" s="751"/>
      <c r="BT226" s="751"/>
      <c r="BU226" s="751"/>
      <c r="BV226" s="751"/>
      <c r="BW226" s="751"/>
      <c r="BX226" s="751"/>
      <c r="BY226" s="751"/>
      <c r="BZ226" s="751"/>
      <c r="CA226" s="751"/>
      <c r="CB226" s="751"/>
      <c r="CC226" s="751"/>
      <c r="CD226" s="751"/>
      <c r="CE226" s="751"/>
      <c r="CF226" s="751"/>
      <c r="CG226" s="751"/>
    </row>
    <row r="227" spans="20:85">
      <c r="T227" s="786"/>
      <c r="U227" s="786"/>
      <c r="V227" s="786"/>
      <c r="W227" s="786"/>
      <c r="X227" s="786"/>
      <c r="Y227" s="786"/>
      <c r="Z227" s="786"/>
      <c r="AA227" s="786"/>
      <c r="AB227" s="786"/>
      <c r="AC227" s="786"/>
      <c r="AD227" s="786"/>
      <c r="AE227" s="786"/>
      <c r="AF227" s="786"/>
      <c r="AG227" s="786"/>
      <c r="AH227" s="786"/>
      <c r="AI227" s="786"/>
      <c r="AJ227" s="786"/>
      <c r="AK227" s="786"/>
      <c r="AL227" s="786"/>
      <c r="AM227" s="786"/>
      <c r="BN227" s="751"/>
      <c r="BO227" s="751"/>
      <c r="BP227" s="751"/>
      <c r="BQ227" s="751"/>
      <c r="BR227" s="751"/>
      <c r="BS227" s="751"/>
      <c r="BT227" s="751"/>
      <c r="BU227" s="751"/>
      <c r="BV227" s="751"/>
      <c r="BW227" s="751"/>
      <c r="BX227" s="751"/>
      <c r="BY227" s="751"/>
      <c r="BZ227" s="751"/>
      <c r="CA227" s="751"/>
      <c r="CB227" s="751"/>
      <c r="CC227" s="751"/>
      <c r="CD227" s="751"/>
      <c r="CE227" s="751"/>
      <c r="CF227" s="751"/>
      <c r="CG227" s="751"/>
    </row>
    <row r="228" spans="20:85">
      <c r="T228" s="786"/>
      <c r="U228" s="786"/>
      <c r="V228" s="786"/>
      <c r="W228" s="786"/>
      <c r="X228" s="786"/>
      <c r="Y228" s="786"/>
      <c r="Z228" s="786"/>
      <c r="AA228" s="786"/>
      <c r="AB228" s="786"/>
      <c r="AC228" s="786"/>
      <c r="AD228" s="786"/>
      <c r="AE228" s="786"/>
      <c r="AF228" s="786"/>
      <c r="AG228" s="786"/>
      <c r="AH228" s="786"/>
      <c r="AI228" s="786"/>
      <c r="AJ228" s="786"/>
      <c r="AK228" s="786"/>
      <c r="AL228" s="786"/>
      <c r="AM228" s="786"/>
      <c r="BN228" s="751"/>
      <c r="BO228" s="751"/>
      <c r="BP228" s="751"/>
      <c r="BQ228" s="751"/>
      <c r="BR228" s="751"/>
      <c r="BS228" s="751"/>
      <c r="BT228" s="751"/>
      <c r="BU228" s="751"/>
      <c r="BV228" s="751"/>
      <c r="BW228" s="751"/>
      <c r="BX228" s="751"/>
      <c r="BY228" s="751"/>
      <c r="BZ228" s="751"/>
      <c r="CA228" s="751"/>
      <c r="CB228" s="751"/>
      <c r="CC228" s="751"/>
      <c r="CD228" s="751"/>
      <c r="CE228" s="751"/>
      <c r="CF228" s="751"/>
      <c r="CG228" s="751"/>
    </row>
    <row r="229" spans="20:85">
      <c r="T229" s="786"/>
      <c r="U229" s="786"/>
      <c r="V229" s="786"/>
      <c r="W229" s="786"/>
      <c r="X229" s="786"/>
      <c r="Y229" s="786"/>
      <c r="Z229" s="786"/>
      <c r="AA229" s="786"/>
      <c r="AB229" s="786"/>
      <c r="AC229" s="786"/>
      <c r="AD229" s="786"/>
      <c r="AE229" s="786"/>
      <c r="AF229" s="786"/>
      <c r="AG229" s="786"/>
      <c r="AH229" s="786"/>
      <c r="AI229" s="786"/>
      <c r="AJ229" s="786"/>
      <c r="AK229" s="786"/>
      <c r="AL229" s="786"/>
      <c r="AM229" s="786"/>
      <c r="BN229" s="751"/>
      <c r="BO229" s="751"/>
      <c r="BP229" s="751"/>
      <c r="BQ229" s="751"/>
      <c r="BR229" s="751"/>
      <c r="BS229" s="751"/>
      <c r="BT229" s="751"/>
      <c r="BU229" s="751"/>
      <c r="BV229" s="751"/>
      <c r="BW229" s="751"/>
      <c r="BX229" s="751"/>
      <c r="BY229" s="751"/>
      <c r="BZ229" s="751"/>
      <c r="CA229" s="751"/>
      <c r="CB229" s="751"/>
      <c r="CC229" s="751"/>
      <c r="CD229" s="751"/>
      <c r="CE229" s="751"/>
      <c r="CF229" s="751"/>
      <c r="CG229" s="751"/>
    </row>
    <row r="230" spans="20:85">
      <c r="T230" s="786"/>
      <c r="U230" s="786"/>
      <c r="V230" s="786"/>
      <c r="W230" s="786"/>
      <c r="X230" s="786"/>
      <c r="Y230" s="786"/>
      <c r="Z230" s="786"/>
      <c r="AA230" s="786"/>
      <c r="AB230" s="786"/>
      <c r="AC230" s="786"/>
      <c r="AD230" s="786"/>
      <c r="AE230" s="786"/>
      <c r="AF230" s="786"/>
      <c r="AG230" s="786"/>
      <c r="AH230" s="786"/>
      <c r="AI230" s="786"/>
      <c r="AJ230" s="786"/>
      <c r="AK230" s="786"/>
      <c r="AL230" s="786"/>
      <c r="AM230" s="786"/>
      <c r="BN230" s="751"/>
      <c r="BO230" s="751"/>
      <c r="BP230" s="751"/>
      <c r="BQ230" s="751"/>
      <c r="BR230" s="751"/>
      <c r="BS230" s="751"/>
      <c r="BT230" s="751"/>
      <c r="BU230" s="751"/>
      <c r="BV230" s="751"/>
      <c r="BW230" s="751"/>
      <c r="BX230" s="751"/>
      <c r="BY230" s="751"/>
      <c r="BZ230" s="751"/>
      <c r="CA230" s="751"/>
      <c r="CB230" s="751"/>
      <c r="CC230" s="751"/>
      <c r="CD230" s="751"/>
      <c r="CE230" s="751"/>
      <c r="CF230" s="751"/>
      <c r="CG230" s="751"/>
    </row>
    <row r="231" spans="20:85">
      <c r="T231" s="786"/>
      <c r="U231" s="786"/>
      <c r="V231" s="786"/>
      <c r="W231" s="786"/>
      <c r="X231" s="786"/>
      <c r="Y231" s="786"/>
      <c r="Z231" s="786"/>
      <c r="AA231" s="786"/>
      <c r="AB231" s="786"/>
      <c r="AC231" s="786"/>
      <c r="AD231" s="786"/>
      <c r="AE231" s="786"/>
      <c r="AF231" s="786"/>
      <c r="AG231" s="786"/>
      <c r="AH231" s="786"/>
      <c r="AI231" s="786"/>
      <c r="AJ231" s="786"/>
      <c r="AK231" s="786"/>
      <c r="AL231" s="786"/>
      <c r="AM231" s="786"/>
      <c r="BN231" s="751"/>
      <c r="BO231" s="751"/>
      <c r="BP231" s="751"/>
      <c r="BQ231" s="751"/>
      <c r="BR231" s="751"/>
      <c r="BS231" s="751"/>
      <c r="BT231" s="751"/>
      <c r="BU231" s="751"/>
      <c r="BV231" s="751"/>
      <c r="BW231" s="751"/>
      <c r="BX231" s="751"/>
      <c r="BY231" s="751"/>
      <c r="BZ231" s="751"/>
      <c r="CA231" s="751"/>
      <c r="CB231" s="751"/>
      <c r="CC231" s="751"/>
      <c r="CD231" s="751"/>
      <c r="CE231" s="751"/>
      <c r="CF231" s="751"/>
      <c r="CG231" s="751"/>
    </row>
    <row r="232" spans="20:85">
      <c r="T232" s="786"/>
      <c r="U232" s="786"/>
      <c r="V232" s="786"/>
      <c r="W232" s="786"/>
      <c r="X232" s="786"/>
      <c r="Y232" s="786"/>
      <c r="Z232" s="786"/>
      <c r="AA232" s="786"/>
      <c r="AB232" s="786"/>
      <c r="AC232" s="786"/>
      <c r="AD232" s="786"/>
      <c r="AE232" s="786"/>
      <c r="AF232" s="786"/>
      <c r="AG232" s="786"/>
      <c r="AH232" s="786"/>
      <c r="AI232" s="786"/>
      <c r="AJ232" s="786"/>
      <c r="AK232" s="786"/>
      <c r="AL232" s="786"/>
      <c r="AM232" s="786"/>
      <c r="BN232" s="751"/>
      <c r="BO232" s="751"/>
      <c r="BP232" s="751"/>
      <c r="BQ232" s="751"/>
      <c r="BR232" s="751"/>
      <c r="BS232" s="751"/>
      <c r="BT232" s="751"/>
      <c r="BU232" s="751"/>
      <c r="BV232" s="751"/>
      <c r="BW232" s="751"/>
      <c r="BX232" s="751"/>
      <c r="BY232" s="751"/>
      <c r="BZ232" s="751"/>
      <c r="CA232" s="751"/>
      <c r="CB232" s="751"/>
      <c r="CC232" s="751"/>
      <c r="CD232" s="751"/>
      <c r="CE232" s="751"/>
      <c r="CF232" s="751"/>
      <c r="CG232" s="751"/>
    </row>
    <row r="233" spans="20:85">
      <c r="T233" s="786"/>
      <c r="U233" s="786"/>
      <c r="V233" s="786"/>
      <c r="W233" s="786"/>
      <c r="X233" s="786"/>
      <c r="Y233" s="786"/>
      <c r="Z233" s="786"/>
      <c r="AA233" s="786"/>
      <c r="AB233" s="786"/>
      <c r="AC233" s="786"/>
      <c r="AD233" s="786"/>
      <c r="AE233" s="786"/>
      <c r="AF233" s="786"/>
      <c r="AG233" s="786"/>
      <c r="AH233" s="786"/>
      <c r="AI233" s="786"/>
      <c r="AJ233" s="786"/>
      <c r="AK233" s="786"/>
      <c r="AL233" s="786"/>
      <c r="AM233" s="786"/>
      <c r="BN233" s="751"/>
      <c r="BO233" s="751"/>
      <c r="BP233" s="751"/>
      <c r="BQ233" s="751"/>
      <c r="BR233" s="751"/>
      <c r="BS233" s="751"/>
      <c r="BT233" s="751"/>
      <c r="BU233" s="751"/>
      <c r="BV233" s="751"/>
      <c r="BW233" s="751"/>
      <c r="BX233" s="751"/>
      <c r="BY233" s="751"/>
      <c r="BZ233" s="751"/>
      <c r="CA233" s="751"/>
      <c r="CB233" s="751"/>
      <c r="CC233" s="751"/>
      <c r="CD233" s="751"/>
      <c r="CE233" s="751"/>
      <c r="CF233" s="751"/>
      <c r="CG233" s="751"/>
    </row>
    <row r="234" spans="20:85">
      <c r="T234" s="786"/>
      <c r="U234" s="786"/>
      <c r="V234" s="786"/>
      <c r="W234" s="786"/>
      <c r="X234" s="786"/>
      <c r="Y234" s="786"/>
      <c r="Z234" s="786"/>
      <c r="AA234" s="786"/>
      <c r="AB234" s="786"/>
      <c r="AC234" s="786"/>
      <c r="AD234" s="786"/>
      <c r="AE234" s="786"/>
      <c r="AF234" s="786"/>
      <c r="AG234" s="786"/>
      <c r="AH234" s="786"/>
      <c r="AI234" s="786"/>
      <c r="AJ234" s="786"/>
      <c r="AK234" s="786"/>
      <c r="AL234" s="786"/>
      <c r="AM234" s="786"/>
      <c r="BN234" s="751"/>
      <c r="BO234" s="751"/>
      <c r="BP234" s="751"/>
      <c r="BQ234" s="751"/>
      <c r="BR234" s="751"/>
      <c r="BS234" s="751"/>
      <c r="BT234" s="751"/>
      <c r="BU234" s="751"/>
      <c r="BV234" s="751"/>
      <c r="BW234" s="751"/>
      <c r="BX234" s="751"/>
      <c r="BY234" s="751"/>
      <c r="BZ234" s="751"/>
      <c r="CA234" s="751"/>
      <c r="CB234" s="751"/>
      <c r="CC234" s="751"/>
      <c r="CD234" s="751"/>
      <c r="CE234" s="751"/>
      <c r="CF234" s="751"/>
      <c r="CG234" s="751"/>
    </row>
    <row r="235" spans="20:85">
      <c r="T235" s="786"/>
      <c r="U235" s="786"/>
      <c r="V235" s="786"/>
      <c r="W235" s="786"/>
      <c r="X235" s="786"/>
      <c r="Y235" s="786"/>
      <c r="Z235" s="786"/>
      <c r="AA235" s="786"/>
      <c r="AB235" s="786"/>
      <c r="AC235" s="786"/>
      <c r="AD235" s="786"/>
      <c r="AE235" s="786"/>
      <c r="AF235" s="786"/>
      <c r="AG235" s="786"/>
      <c r="AH235" s="786"/>
      <c r="AI235" s="786"/>
      <c r="AJ235" s="786"/>
      <c r="AK235" s="786"/>
      <c r="AL235" s="786"/>
      <c r="AM235" s="786"/>
      <c r="BN235" s="751"/>
      <c r="BO235" s="751"/>
      <c r="BP235" s="751"/>
      <c r="BQ235" s="751"/>
      <c r="BR235" s="751"/>
      <c r="BS235" s="751"/>
      <c r="BT235" s="751"/>
      <c r="BU235" s="751"/>
      <c r="BV235" s="751"/>
      <c r="BW235" s="751"/>
      <c r="BX235" s="751"/>
      <c r="BY235" s="751"/>
      <c r="BZ235" s="751"/>
      <c r="CA235" s="751"/>
      <c r="CB235" s="751"/>
      <c r="CC235" s="751"/>
      <c r="CD235" s="751"/>
      <c r="CE235" s="751"/>
      <c r="CF235" s="751"/>
      <c r="CG235" s="751"/>
    </row>
    <row r="236" spans="20:85">
      <c r="T236" s="786"/>
      <c r="U236" s="786"/>
      <c r="V236" s="786"/>
      <c r="W236" s="786"/>
      <c r="X236" s="786"/>
      <c r="Y236" s="786"/>
      <c r="Z236" s="786"/>
      <c r="AA236" s="786"/>
      <c r="AB236" s="786"/>
      <c r="AC236" s="786"/>
      <c r="AD236" s="786"/>
      <c r="AE236" s="786"/>
      <c r="AF236" s="786"/>
      <c r="AG236" s="786"/>
      <c r="AH236" s="786"/>
      <c r="AI236" s="786"/>
      <c r="AJ236" s="786"/>
      <c r="AK236" s="786"/>
      <c r="AL236" s="786"/>
      <c r="AM236" s="786"/>
      <c r="BN236" s="751"/>
      <c r="BO236" s="751"/>
      <c r="BP236" s="751"/>
      <c r="BQ236" s="751"/>
      <c r="BR236" s="751"/>
      <c r="BS236" s="751"/>
      <c r="BT236" s="751"/>
      <c r="BU236" s="751"/>
      <c r="BV236" s="751"/>
      <c r="BW236" s="751"/>
      <c r="BX236" s="751"/>
      <c r="BY236" s="751"/>
      <c r="BZ236" s="751"/>
      <c r="CA236" s="751"/>
      <c r="CB236" s="751"/>
      <c r="CC236" s="751"/>
      <c r="CD236" s="751"/>
      <c r="CE236" s="751"/>
      <c r="CF236" s="751"/>
      <c r="CG236" s="751"/>
    </row>
    <row r="237" spans="20:85">
      <c r="T237" s="786"/>
      <c r="U237" s="786"/>
      <c r="V237" s="786"/>
      <c r="W237" s="786"/>
      <c r="X237" s="786"/>
      <c r="Y237" s="786"/>
      <c r="Z237" s="786"/>
      <c r="AA237" s="786"/>
      <c r="AB237" s="786"/>
      <c r="AC237" s="786"/>
      <c r="AD237" s="786"/>
      <c r="AE237" s="786"/>
      <c r="AF237" s="786"/>
      <c r="AG237" s="786"/>
      <c r="AH237" s="786"/>
      <c r="AI237" s="786"/>
      <c r="AJ237" s="786"/>
      <c r="AK237" s="786"/>
      <c r="AL237" s="786"/>
      <c r="AM237" s="786"/>
      <c r="BN237" s="751"/>
      <c r="BO237" s="751"/>
      <c r="BP237" s="751"/>
      <c r="BQ237" s="751"/>
      <c r="BR237" s="751"/>
      <c r="BS237" s="751"/>
      <c r="BT237" s="751"/>
      <c r="BU237" s="751"/>
      <c r="BV237" s="751"/>
      <c r="BW237" s="751"/>
      <c r="BX237" s="751"/>
      <c r="BY237" s="751"/>
      <c r="BZ237" s="751"/>
      <c r="CA237" s="751"/>
      <c r="CB237" s="751"/>
      <c r="CC237" s="751"/>
      <c r="CD237" s="751"/>
      <c r="CE237" s="751"/>
      <c r="CF237" s="751"/>
      <c r="CG237" s="751"/>
    </row>
    <row r="238" spans="20:85">
      <c r="T238" s="786"/>
      <c r="U238" s="786"/>
      <c r="V238" s="786"/>
      <c r="W238" s="786"/>
      <c r="X238" s="786"/>
      <c r="Y238" s="786"/>
      <c r="Z238" s="786"/>
      <c r="AA238" s="786"/>
      <c r="AB238" s="786"/>
      <c r="AC238" s="786"/>
      <c r="AD238" s="786"/>
      <c r="AE238" s="786"/>
      <c r="AF238" s="786"/>
      <c r="AG238" s="786"/>
      <c r="AH238" s="786"/>
      <c r="AI238" s="786"/>
      <c r="AJ238" s="786"/>
      <c r="AK238" s="786"/>
      <c r="AL238" s="786"/>
      <c r="AM238" s="786"/>
      <c r="BN238" s="751"/>
      <c r="BO238" s="751"/>
      <c r="BP238" s="751"/>
      <c r="BQ238" s="751"/>
      <c r="BR238" s="751"/>
      <c r="BS238" s="751"/>
      <c r="BT238" s="751"/>
      <c r="BU238" s="751"/>
      <c r="BV238" s="751"/>
      <c r="BW238" s="751"/>
      <c r="BX238" s="751"/>
      <c r="BY238" s="751"/>
      <c r="BZ238" s="751"/>
      <c r="CA238" s="751"/>
      <c r="CB238" s="751"/>
      <c r="CC238" s="751"/>
      <c r="CD238" s="751"/>
      <c r="CE238" s="751"/>
      <c r="CF238" s="751"/>
      <c r="CG238" s="751"/>
    </row>
    <row r="239" spans="20:85">
      <c r="T239" s="786"/>
      <c r="U239" s="786"/>
      <c r="V239" s="786"/>
      <c r="W239" s="786"/>
      <c r="X239" s="786"/>
      <c r="Y239" s="786"/>
      <c r="Z239" s="786"/>
      <c r="AA239" s="786"/>
      <c r="AB239" s="786"/>
      <c r="AC239" s="786"/>
      <c r="AD239" s="786"/>
      <c r="AE239" s="786"/>
      <c r="AF239" s="786"/>
      <c r="AG239" s="786"/>
      <c r="AH239" s="786"/>
      <c r="AI239" s="786"/>
      <c r="AJ239" s="786"/>
      <c r="AK239" s="786"/>
      <c r="AL239" s="786"/>
      <c r="AM239" s="786"/>
      <c r="BN239" s="751"/>
      <c r="BO239" s="751"/>
      <c r="BP239" s="751"/>
      <c r="BQ239" s="751"/>
      <c r="BR239" s="751"/>
      <c r="BS239" s="751"/>
      <c r="BT239" s="751"/>
      <c r="BU239" s="751"/>
      <c r="BV239" s="751"/>
      <c r="BW239" s="751"/>
      <c r="BX239" s="751"/>
      <c r="BY239" s="751"/>
      <c r="BZ239" s="751"/>
      <c r="CA239" s="751"/>
      <c r="CB239" s="751"/>
      <c r="CC239" s="751"/>
      <c r="CD239" s="751"/>
      <c r="CE239" s="751"/>
      <c r="CF239" s="751"/>
      <c r="CG239" s="751"/>
    </row>
    <row r="240" spans="20:85">
      <c r="T240" s="786"/>
      <c r="U240" s="786"/>
      <c r="V240" s="786"/>
      <c r="W240" s="786"/>
      <c r="X240" s="786"/>
      <c r="Y240" s="786"/>
      <c r="Z240" s="786"/>
      <c r="AA240" s="786"/>
      <c r="AB240" s="786"/>
      <c r="AC240" s="786"/>
      <c r="AD240" s="786"/>
      <c r="AE240" s="786"/>
      <c r="AF240" s="786"/>
      <c r="AG240" s="786"/>
      <c r="AH240" s="786"/>
      <c r="AI240" s="786"/>
      <c r="AJ240" s="786"/>
      <c r="AK240" s="786"/>
      <c r="AL240" s="786"/>
      <c r="AM240" s="786"/>
      <c r="BN240" s="751"/>
      <c r="BO240" s="751"/>
      <c r="BP240" s="751"/>
      <c r="BQ240" s="751"/>
      <c r="BR240" s="751"/>
      <c r="BS240" s="751"/>
      <c r="BT240" s="751"/>
      <c r="BU240" s="751"/>
      <c r="BV240" s="751"/>
      <c r="BW240" s="751"/>
      <c r="BX240" s="751"/>
      <c r="BY240" s="751"/>
      <c r="BZ240" s="751"/>
      <c r="CA240" s="751"/>
      <c r="CB240" s="751"/>
      <c r="CC240" s="751"/>
      <c r="CD240" s="751"/>
      <c r="CE240" s="751"/>
      <c r="CF240" s="751"/>
      <c r="CG240" s="751"/>
    </row>
    <row r="241" spans="20:85">
      <c r="T241" s="786"/>
      <c r="U241" s="786"/>
      <c r="V241" s="786"/>
      <c r="W241" s="786"/>
      <c r="X241" s="786"/>
      <c r="Y241" s="786"/>
      <c r="Z241" s="786"/>
      <c r="AA241" s="786"/>
      <c r="AB241" s="786"/>
      <c r="AC241" s="786"/>
      <c r="AD241" s="786"/>
      <c r="AE241" s="786"/>
      <c r="AF241" s="786"/>
      <c r="AG241" s="786"/>
      <c r="AH241" s="786"/>
      <c r="AI241" s="786"/>
      <c r="AJ241" s="786"/>
      <c r="AK241" s="786"/>
      <c r="AL241" s="786"/>
      <c r="AM241" s="786"/>
      <c r="BN241" s="751"/>
      <c r="BO241" s="751"/>
      <c r="BP241" s="751"/>
      <c r="BQ241" s="751"/>
      <c r="BR241" s="751"/>
      <c r="BS241" s="751"/>
      <c r="BT241" s="751"/>
      <c r="BU241" s="751"/>
      <c r="BV241" s="751"/>
      <c r="BW241" s="751"/>
      <c r="BX241" s="751"/>
      <c r="BY241" s="751"/>
      <c r="BZ241" s="751"/>
      <c r="CA241" s="751"/>
      <c r="CB241" s="751"/>
      <c r="CC241" s="751"/>
      <c r="CD241" s="751"/>
      <c r="CE241" s="751"/>
      <c r="CF241" s="751"/>
      <c r="CG241" s="751"/>
    </row>
    <row r="242" spans="20:85">
      <c r="T242" s="786"/>
      <c r="U242" s="786"/>
      <c r="V242" s="786"/>
      <c r="W242" s="786"/>
      <c r="X242" s="786"/>
      <c r="Y242" s="786"/>
      <c r="Z242" s="786"/>
      <c r="AA242" s="786"/>
      <c r="AB242" s="786"/>
      <c r="AC242" s="786"/>
      <c r="AD242" s="786"/>
      <c r="AE242" s="786"/>
      <c r="AF242" s="786"/>
      <c r="AG242" s="786"/>
      <c r="AH242" s="786"/>
      <c r="AI242" s="786"/>
      <c r="AJ242" s="786"/>
      <c r="AK242" s="786"/>
      <c r="AL242" s="786"/>
      <c r="AM242" s="786"/>
      <c r="BN242" s="751"/>
      <c r="BO242" s="751"/>
      <c r="BP242" s="751"/>
      <c r="BQ242" s="751"/>
      <c r="BR242" s="751"/>
      <c r="BS242" s="751"/>
      <c r="BT242" s="751"/>
      <c r="BU242" s="751"/>
      <c r="BV242" s="751"/>
      <c r="BW242" s="751"/>
      <c r="BX242" s="751"/>
      <c r="BY242" s="751"/>
      <c r="BZ242" s="751"/>
      <c r="CA242" s="751"/>
      <c r="CB242" s="751"/>
      <c r="CC242" s="751"/>
      <c r="CD242" s="751"/>
      <c r="CE242" s="751"/>
      <c r="CF242" s="751"/>
      <c r="CG242" s="751"/>
    </row>
    <row r="243" spans="20:85">
      <c r="T243" s="786"/>
      <c r="U243" s="786"/>
      <c r="V243" s="786"/>
      <c r="W243" s="786"/>
      <c r="X243" s="786"/>
      <c r="Y243" s="786"/>
      <c r="Z243" s="786"/>
      <c r="AA243" s="786"/>
      <c r="AB243" s="786"/>
      <c r="AC243" s="786"/>
      <c r="AD243" s="786"/>
      <c r="AE243" s="786"/>
      <c r="AF243" s="786"/>
      <c r="AG243" s="786"/>
      <c r="AH243" s="786"/>
      <c r="AI243" s="786"/>
      <c r="AJ243" s="786"/>
      <c r="AK243" s="786"/>
      <c r="AL243" s="786"/>
      <c r="AM243" s="786"/>
      <c r="BN243" s="751"/>
      <c r="BO243" s="751"/>
      <c r="BP243" s="751"/>
      <c r="BQ243" s="751"/>
      <c r="BR243" s="751"/>
      <c r="BS243" s="751"/>
      <c r="BT243" s="751"/>
      <c r="BU243" s="751"/>
      <c r="BV243" s="751"/>
      <c r="BW243" s="751"/>
      <c r="BX243" s="751"/>
      <c r="BY243" s="751"/>
      <c r="BZ243" s="751"/>
      <c r="CA243" s="751"/>
      <c r="CB243" s="751"/>
      <c r="CC243" s="751"/>
      <c r="CD243" s="751"/>
      <c r="CE243" s="751"/>
      <c r="CF243" s="751"/>
      <c r="CG243" s="751"/>
    </row>
    <row r="244" spans="20:85">
      <c r="T244" s="786"/>
      <c r="U244" s="786"/>
      <c r="V244" s="786"/>
      <c r="W244" s="786"/>
      <c r="X244" s="786"/>
      <c r="Y244" s="786"/>
      <c r="Z244" s="786"/>
      <c r="AA244" s="786"/>
      <c r="AB244" s="786"/>
      <c r="AC244" s="786"/>
      <c r="AD244" s="786"/>
      <c r="AE244" s="786"/>
      <c r="AF244" s="786"/>
      <c r="AG244" s="786"/>
      <c r="AH244" s="786"/>
      <c r="AI244" s="786"/>
      <c r="AJ244" s="786"/>
      <c r="AK244" s="786"/>
      <c r="AL244" s="786"/>
      <c r="AM244" s="786"/>
      <c r="BN244" s="751"/>
      <c r="BO244" s="751"/>
      <c r="BP244" s="751"/>
      <c r="BQ244" s="751"/>
      <c r="BR244" s="751"/>
      <c r="BS244" s="751"/>
      <c r="BT244" s="751"/>
      <c r="BU244" s="751"/>
      <c r="BV244" s="751"/>
      <c r="BW244" s="751"/>
      <c r="BX244" s="751"/>
      <c r="BY244" s="751"/>
      <c r="BZ244" s="751"/>
      <c r="CA244" s="751"/>
      <c r="CB244" s="751"/>
      <c r="CC244" s="751"/>
      <c r="CD244" s="751"/>
      <c r="CE244" s="751"/>
      <c r="CF244" s="751"/>
      <c r="CG244" s="751"/>
    </row>
    <row r="245" spans="20:85">
      <c r="T245" s="786"/>
      <c r="U245" s="786"/>
      <c r="V245" s="786"/>
      <c r="W245" s="786"/>
      <c r="X245" s="786"/>
      <c r="Y245" s="786"/>
      <c r="Z245" s="786"/>
      <c r="AA245" s="786"/>
      <c r="AB245" s="786"/>
      <c r="AC245" s="786"/>
      <c r="AD245" s="786"/>
      <c r="AE245" s="786"/>
      <c r="AF245" s="786"/>
      <c r="AG245" s="786"/>
      <c r="AH245" s="786"/>
      <c r="AI245" s="786"/>
      <c r="AJ245" s="786"/>
      <c r="AK245" s="786"/>
      <c r="AL245" s="786"/>
      <c r="AM245" s="786"/>
      <c r="BN245" s="751"/>
      <c r="BO245" s="751"/>
      <c r="BP245" s="751"/>
      <c r="BQ245" s="751"/>
      <c r="BR245" s="751"/>
      <c r="BS245" s="751"/>
      <c r="BT245" s="751"/>
      <c r="BU245" s="751"/>
      <c r="BV245" s="751"/>
      <c r="BW245" s="751"/>
      <c r="BX245" s="751"/>
      <c r="BY245" s="751"/>
      <c r="BZ245" s="751"/>
      <c r="CA245" s="751"/>
      <c r="CB245" s="751"/>
      <c r="CC245" s="751"/>
      <c r="CD245" s="751"/>
      <c r="CE245" s="751"/>
      <c r="CF245" s="751"/>
      <c r="CG245" s="751"/>
    </row>
    <row r="246" spans="20:85">
      <c r="T246" s="786"/>
      <c r="U246" s="786"/>
      <c r="V246" s="786"/>
      <c r="W246" s="786"/>
      <c r="X246" s="786"/>
      <c r="Y246" s="786"/>
      <c r="Z246" s="786"/>
      <c r="AA246" s="786"/>
      <c r="AB246" s="786"/>
      <c r="AC246" s="786"/>
      <c r="AD246" s="786"/>
      <c r="AE246" s="786"/>
      <c r="AF246" s="786"/>
      <c r="AG246" s="786"/>
      <c r="AH246" s="786"/>
      <c r="AI246" s="786"/>
      <c r="AJ246" s="786"/>
      <c r="AK246" s="786"/>
      <c r="AL246" s="786"/>
      <c r="AM246" s="786"/>
      <c r="BN246" s="751"/>
      <c r="BO246" s="751"/>
      <c r="BP246" s="751"/>
      <c r="BQ246" s="751"/>
      <c r="BR246" s="751"/>
      <c r="BS246" s="751"/>
      <c r="BT246" s="751"/>
      <c r="BU246" s="751"/>
      <c r="BV246" s="751"/>
      <c r="BW246" s="751"/>
      <c r="BX246" s="751"/>
      <c r="BY246" s="751"/>
      <c r="BZ246" s="751"/>
      <c r="CA246" s="751"/>
      <c r="CB246" s="751"/>
      <c r="CC246" s="751"/>
      <c r="CD246" s="751"/>
      <c r="CE246" s="751"/>
      <c r="CF246" s="751"/>
      <c r="CG246" s="751"/>
    </row>
    <row r="247" spans="20:85">
      <c r="T247" s="786"/>
      <c r="U247" s="786"/>
      <c r="V247" s="786"/>
      <c r="W247" s="786"/>
      <c r="X247" s="786"/>
      <c r="Y247" s="786"/>
      <c r="Z247" s="786"/>
      <c r="AA247" s="786"/>
      <c r="AB247" s="786"/>
      <c r="AC247" s="786"/>
      <c r="AD247" s="786"/>
      <c r="AE247" s="786"/>
      <c r="AF247" s="786"/>
      <c r="AG247" s="786"/>
      <c r="AH247" s="786"/>
      <c r="AI247" s="786"/>
      <c r="AJ247" s="786"/>
      <c r="AK247" s="786"/>
      <c r="AL247" s="786"/>
      <c r="AM247" s="786"/>
      <c r="BN247" s="751"/>
      <c r="BO247" s="751"/>
      <c r="BP247" s="751"/>
      <c r="BQ247" s="751"/>
      <c r="BR247" s="751"/>
      <c r="BS247" s="751"/>
      <c r="BT247" s="751"/>
      <c r="BU247" s="751"/>
      <c r="BV247" s="751"/>
      <c r="BW247" s="751"/>
      <c r="BX247" s="751"/>
      <c r="BY247" s="751"/>
      <c r="BZ247" s="751"/>
      <c r="CA247" s="751"/>
      <c r="CB247" s="751"/>
      <c r="CC247" s="751"/>
      <c r="CD247" s="751"/>
      <c r="CE247" s="751"/>
      <c r="CF247" s="751"/>
      <c r="CG247" s="751"/>
    </row>
    <row r="248" spans="20:85">
      <c r="T248" s="786"/>
      <c r="U248" s="786"/>
      <c r="V248" s="786"/>
      <c r="W248" s="786"/>
      <c r="X248" s="786"/>
      <c r="Y248" s="786"/>
      <c r="Z248" s="786"/>
      <c r="AA248" s="786"/>
      <c r="AB248" s="786"/>
      <c r="AC248" s="786"/>
      <c r="AD248" s="786"/>
      <c r="AE248" s="786"/>
      <c r="AF248" s="786"/>
      <c r="AG248" s="786"/>
      <c r="AH248" s="786"/>
      <c r="AI248" s="786"/>
      <c r="AJ248" s="786"/>
      <c r="AK248" s="786"/>
      <c r="AL248" s="786"/>
      <c r="AM248" s="786"/>
      <c r="BN248" s="751"/>
      <c r="BO248" s="751"/>
      <c r="BP248" s="751"/>
      <c r="BQ248" s="751"/>
      <c r="BR248" s="751"/>
      <c r="BS248" s="751"/>
      <c r="BT248" s="751"/>
      <c r="BU248" s="751"/>
      <c r="BV248" s="751"/>
      <c r="BW248" s="751"/>
      <c r="BX248" s="751"/>
      <c r="BY248" s="751"/>
      <c r="BZ248" s="751"/>
      <c r="CA248" s="751"/>
      <c r="CB248" s="751"/>
      <c r="CC248" s="751"/>
      <c r="CD248" s="751"/>
      <c r="CE248" s="751"/>
      <c r="CF248" s="751"/>
      <c r="CG248" s="751"/>
    </row>
    <row r="249" spans="20:85">
      <c r="T249" s="786"/>
      <c r="U249" s="786"/>
      <c r="V249" s="786"/>
      <c r="W249" s="786"/>
      <c r="X249" s="786"/>
      <c r="Y249" s="786"/>
      <c r="Z249" s="786"/>
      <c r="AA249" s="786"/>
      <c r="AB249" s="786"/>
      <c r="AC249" s="786"/>
      <c r="AD249" s="786"/>
      <c r="AE249" s="786"/>
      <c r="AF249" s="786"/>
      <c r="AG249" s="786"/>
      <c r="AH249" s="786"/>
      <c r="AI249" s="786"/>
      <c r="AJ249" s="786"/>
      <c r="AK249" s="786"/>
      <c r="AL249" s="786"/>
      <c r="AM249" s="786"/>
      <c r="BN249" s="751"/>
      <c r="BO249" s="751"/>
      <c r="BP249" s="751"/>
      <c r="BQ249" s="751"/>
      <c r="BR249" s="751"/>
      <c r="BS249" s="751"/>
      <c r="BT249" s="751"/>
      <c r="BU249" s="751"/>
      <c r="BV249" s="751"/>
      <c r="BW249" s="751"/>
      <c r="BX249" s="751"/>
      <c r="BY249" s="751"/>
      <c r="BZ249" s="751"/>
      <c r="CA249" s="751"/>
      <c r="CB249" s="751"/>
      <c r="CC249" s="751"/>
      <c r="CD249" s="751"/>
      <c r="CE249" s="751"/>
      <c r="CF249" s="751"/>
      <c r="CG249" s="751"/>
    </row>
    <row r="250" spans="20:85">
      <c r="T250" s="786"/>
      <c r="U250" s="786"/>
      <c r="V250" s="786"/>
      <c r="W250" s="786"/>
      <c r="X250" s="786"/>
      <c r="Y250" s="786"/>
      <c r="Z250" s="786"/>
      <c r="AA250" s="786"/>
      <c r="AB250" s="786"/>
      <c r="AC250" s="786"/>
      <c r="AD250" s="786"/>
      <c r="AE250" s="786"/>
      <c r="AF250" s="786"/>
      <c r="AG250" s="786"/>
      <c r="AH250" s="786"/>
      <c r="AI250" s="786"/>
      <c r="AJ250" s="786"/>
      <c r="AK250" s="786"/>
      <c r="AL250" s="786"/>
      <c r="AM250" s="786"/>
      <c r="BN250" s="751"/>
      <c r="BO250" s="751"/>
      <c r="BP250" s="751"/>
      <c r="BQ250" s="751"/>
      <c r="BR250" s="751"/>
      <c r="BS250" s="751"/>
      <c r="BT250" s="751"/>
      <c r="BU250" s="751"/>
      <c r="BV250" s="751"/>
      <c r="BW250" s="751"/>
      <c r="BX250" s="751"/>
      <c r="BY250" s="751"/>
      <c r="BZ250" s="751"/>
      <c r="CA250" s="751"/>
      <c r="CB250" s="751"/>
      <c r="CC250" s="751"/>
      <c r="CD250" s="751"/>
      <c r="CE250" s="751"/>
      <c r="CF250" s="751"/>
      <c r="CG250" s="751"/>
    </row>
    <row r="251" spans="20:85">
      <c r="T251" s="786"/>
      <c r="U251" s="786"/>
      <c r="V251" s="786"/>
      <c r="W251" s="786"/>
      <c r="X251" s="786"/>
      <c r="Y251" s="786"/>
      <c r="Z251" s="786"/>
      <c r="AA251" s="786"/>
      <c r="AB251" s="786"/>
      <c r="AC251" s="786"/>
      <c r="AD251" s="786"/>
      <c r="AE251" s="786"/>
      <c r="AF251" s="786"/>
      <c r="AG251" s="786"/>
      <c r="AH251" s="786"/>
      <c r="AI251" s="786"/>
      <c r="AJ251" s="786"/>
      <c r="AK251" s="786"/>
      <c r="AL251" s="786"/>
      <c r="AM251" s="786"/>
      <c r="BN251" s="751"/>
      <c r="BO251" s="751"/>
      <c r="BP251" s="751"/>
      <c r="BQ251" s="751"/>
      <c r="BR251" s="751"/>
      <c r="BS251" s="751"/>
      <c r="BT251" s="751"/>
      <c r="BU251" s="751"/>
      <c r="BV251" s="751"/>
      <c r="BW251" s="751"/>
      <c r="BX251" s="751"/>
      <c r="BY251" s="751"/>
      <c r="BZ251" s="751"/>
      <c r="CA251" s="751"/>
      <c r="CB251" s="751"/>
      <c r="CC251" s="751"/>
      <c r="CD251" s="751"/>
      <c r="CE251" s="751"/>
      <c r="CF251" s="751"/>
      <c r="CG251" s="751"/>
    </row>
    <row r="252" spans="20:85">
      <c r="T252" s="786"/>
      <c r="U252" s="786"/>
      <c r="V252" s="786"/>
      <c r="W252" s="786"/>
      <c r="X252" s="786"/>
      <c r="Y252" s="786"/>
      <c r="Z252" s="786"/>
      <c r="AA252" s="786"/>
      <c r="AB252" s="786"/>
      <c r="AC252" s="786"/>
      <c r="AD252" s="786"/>
      <c r="AE252" s="786"/>
      <c r="AF252" s="786"/>
      <c r="AG252" s="786"/>
      <c r="AH252" s="786"/>
      <c r="AI252" s="786"/>
      <c r="AJ252" s="786"/>
      <c r="AK252" s="786"/>
      <c r="AL252" s="786"/>
      <c r="AM252" s="786"/>
      <c r="BN252" s="751"/>
      <c r="BO252" s="751"/>
      <c r="BP252" s="751"/>
      <c r="BQ252" s="751"/>
      <c r="BR252" s="751"/>
      <c r="BS252" s="751"/>
      <c r="BT252" s="751"/>
      <c r="BU252" s="751"/>
      <c r="BV252" s="751"/>
      <c r="BW252" s="751"/>
      <c r="BX252" s="751"/>
      <c r="BY252" s="751"/>
      <c r="BZ252" s="751"/>
      <c r="CA252" s="751"/>
      <c r="CB252" s="751"/>
      <c r="CC252" s="751"/>
      <c r="CD252" s="751"/>
      <c r="CE252" s="751"/>
      <c r="CF252" s="751"/>
      <c r="CG252" s="751"/>
    </row>
    <row r="253" spans="20:85">
      <c r="T253" s="786"/>
      <c r="U253" s="786"/>
      <c r="V253" s="786"/>
      <c r="W253" s="786"/>
      <c r="X253" s="786"/>
      <c r="Y253" s="786"/>
      <c r="Z253" s="786"/>
      <c r="AA253" s="786"/>
      <c r="AB253" s="786"/>
      <c r="AC253" s="786"/>
      <c r="AD253" s="786"/>
      <c r="AE253" s="786"/>
      <c r="AF253" s="786"/>
      <c r="AG253" s="786"/>
      <c r="AH253" s="786"/>
      <c r="AI253" s="786"/>
      <c r="AJ253" s="786"/>
      <c r="AK253" s="786"/>
      <c r="AL253" s="786"/>
      <c r="AM253" s="786"/>
      <c r="BN253" s="751"/>
      <c r="BO253" s="751"/>
      <c r="BP253" s="751"/>
      <c r="BQ253" s="751"/>
      <c r="BR253" s="751"/>
      <c r="BS253" s="751"/>
      <c r="BT253" s="751"/>
      <c r="BU253" s="751"/>
      <c r="BV253" s="751"/>
      <c r="BW253" s="751"/>
      <c r="BX253" s="751"/>
      <c r="BY253" s="751"/>
      <c r="BZ253" s="751"/>
      <c r="CA253" s="751"/>
      <c r="CB253" s="751"/>
      <c r="CC253" s="751"/>
      <c r="CD253" s="751"/>
      <c r="CE253" s="751"/>
      <c r="CF253" s="751"/>
      <c r="CG253" s="751"/>
    </row>
    <row r="254" spans="20:85">
      <c r="T254" s="786"/>
      <c r="U254" s="786"/>
      <c r="V254" s="786"/>
      <c r="W254" s="786"/>
      <c r="X254" s="786"/>
      <c r="Y254" s="786"/>
      <c r="Z254" s="786"/>
      <c r="AA254" s="786"/>
      <c r="AB254" s="786"/>
      <c r="AC254" s="786"/>
      <c r="AD254" s="786"/>
      <c r="AE254" s="786"/>
      <c r="AF254" s="786"/>
      <c r="AG254" s="786"/>
      <c r="AH254" s="786"/>
      <c r="AI254" s="786"/>
      <c r="AJ254" s="786"/>
      <c r="AK254" s="786"/>
      <c r="AL254" s="786"/>
      <c r="AM254" s="786"/>
      <c r="BN254" s="751"/>
      <c r="BO254" s="751"/>
      <c r="BP254" s="751"/>
      <c r="BQ254" s="751"/>
      <c r="BR254" s="751"/>
      <c r="BS254" s="751"/>
      <c r="BT254" s="751"/>
      <c r="BU254" s="751"/>
      <c r="BV254" s="751"/>
      <c r="BW254" s="751"/>
      <c r="BX254" s="751"/>
      <c r="BY254" s="751"/>
      <c r="BZ254" s="751"/>
      <c r="CA254" s="751"/>
      <c r="CB254" s="751"/>
      <c r="CC254" s="751"/>
      <c r="CD254" s="751"/>
      <c r="CE254" s="751"/>
      <c r="CF254" s="751"/>
      <c r="CG254" s="751"/>
    </row>
    <row r="255" spans="20:85">
      <c r="T255" s="786"/>
      <c r="U255" s="786"/>
      <c r="V255" s="786"/>
      <c r="W255" s="786"/>
      <c r="X255" s="786"/>
      <c r="Y255" s="786"/>
      <c r="Z255" s="786"/>
      <c r="AA255" s="786"/>
      <c r="AB255" s="786"/>
      <c r="AC255" s="786"/>
      <c r="AD255" s="786"/>
      <c r="AE255" s="786"/>
      <c r="AF255" s="786"/>
      <c r="AG255" s="786"/>
      <c r="AH255" s="786"/>
      <c r="AI255" s="786"/>
      <c r="AJ255" s="786"/>
      <c r="AK255" s="786"/>
      <c r="AL255" s="786"/>
      <c r="AM255" s="786"/>
      <c r="BN255" s="751"/>
      <c r="BO255" s="751"/>
      <c r="BP255" s="751"/>
      <c r="BQ255" s="751"/>
      <c r="BR255" s="751"/>
      <c r="BS255" s="751"/>
      <c r="BT255" s="751"/>
      <c r="BU255" s="751"/>
      <c r="BV255" s="751"/>
      <c r="BW255" s="751"/>
      <c r="BX255" s="751"/>
      <c r="BY255" s="751"/>
      <c r="BZ255" s="751"/>
      <c r="CA255" s="751"/>
      <c r="CB255" s="751"/>
      <c r="CC255" s="751"/>
      <c r="CD255" s="751"/>
      <c r="CE255" s="751"/>
      <c r="CF255" s="751"/>
      <c r="CG255" s="751"/>
    </row>
    <row r="256" spans="20:85">
      <c r="T256" s="786"/>
      <c r="U256" s="786"/>
      <c r="V256" s="786"/>
      <c r="W256" s="786"/>
      <c r="X256" s="786"/>
      <c r="Y256" s="786"/>
      <c r="Z256" s="786"/>
      <c r="AA256" s="786"/>
      <c r="AB256" s="786"/>
      <c r="AC256" s="786"/>
      <c r="AD256" s="786"/>
      <c r="AE256" s="786"/>
      <c r="AF256" s="786"/>
      <c r="AG256" s="786"/>
      <c r="AH256" s="786"/>
      <c r="AI256" s="786"/>
      <c r="AJ256" s="786"/>
      <c r="AK256" s="786"/>
      <c r="AL256" s="786"/>
      <c r="AM256" s="786"/>
      <c r="BN256" s="751"/>
      <c r="BO256" s="751"/>
      <c r="BP256" s="751"/>
      <c r="BQ256" s="751"/>
      <c r="BR256" s="751"/>
      <c r="BS256" s="751"/>
      <c r="BT256" s="751"/>
      <c r="BU256" s="751"/>
      <c r="BV256" s="751"/>
      <c r="BW256" s="751"/>
      <c r="BX256" s="751"/>
      <c r="BY256" s="751"/>
      <c r="BZ256" s="751"/>
      <c r="CA256" s="751"/>
      <c r="CB256" s="751"/>
      <c r="CC256" s="751"/>
      <c r="CD256" s="751"/>
      <c r="CE256" s="751"/>
      <c r="CF256" s="751"/>
      <c r="CG256" s="751"/>
    </row>
    <row r="257" spans="20:85">
      <c r="T257" s="786"/>
      <c r="U257" s="786"/>
      <c r="V257" s="786"/>
      <c r="W257" s="786"/>
      <c r="X257" s="786"/>
      <c r="Y257" s="786"/>
      <c r="Z257" s="786"/>
      <c r="AA257" s="786"/>
      <c r="AB257" s="786"/>
      <c r="AC257" s="786"/>
      <c r="AD257" s="786"/>
      <c r="AE257" s="786"/>
      <c r="AF257" s="786"/>
      <c r="AG257" s="786"/>
      <c r="AH257" s="786"/>
      <c r="AI257" s="786"/>
      <c r="AJ257" s="786"/>
      <c r="AK257" s="786"/>
      <c r="AL257" s="786"/>
      <c r="AM257" s="786"/>
      <c r="BN257" s="751"/>
      <c r="BO257" s="751"/>
      <c r="BP257" s="751"/>
      <c r="BQ257" s="751"/>
      <c r="BR257" s="751"/>
      <c r="BS257" s="751"/>
      <c r="BT257" s="751"/>
      <c r="BU257" s="751"/>
      <c r="BV257" s="751"/>
      <c r="BW257" s="751"/>
      <c r="BX257" s="751"/>
      <c r="BY257" s="751"/>
      <c r="BZ257" s="751"/>
      <c r="CA257" s="751"/>
      <c r="CB257" s="751"/>
      <c r="CC257" s="751"/>
      <c r="CD257" s="751"/>
      <c r="CE257" s="751"/>
      <c r="CF257" s="751"/>
      <c r="CG257" s="751"/>
    </row>
  </sheetData>
  <mergeCells count="24">
    <mergeCell ref="BJ174:BL174"/>
    <mergeCell ref="AR137:AT137"/>
    <mergeCell ref="AU137:AV137"/>
    <mergeCell ref="BD137:BF137"/>
    <mergeCell ref="BG137:BH137"/>
    <mergeCell ref="AJ174:AK174"/>
    <mergeCell ref="AT174:AV174"/>
    <mergeCell ref="AW174:AY174"/>
    <mergeCell ref="BG174:BI174"/>
    <mergeCell ref="M122:N122"/>
    <mergeCell ref="T122:U122"/>
    <mergeCell ref="AA122:AB122"/>
    <mergeCell ref="AH122:AI122"/>
    <mergeCell ref="AI137:AJ137"/>
    <mergeCell ref="G174:I174"/>
    <mergeCell ref="J174:K174"/>
    <mergeCell ref="T174:V174"/>
    <mergeCell ref="W174:X174"/>
    <mergeCell ref="AG174:AI174"/>
    <mergeCell ref="H137:J137"/>
    <mergeCell ref="K137:L137"/>
    <mergeCell ref="T137:V137"/>
    <mergeCell ref="W137:X137"/>
    <mergeCell ref="AF137:AH137"/>
  </mergeCells>
  <dataValidations count="3">
    <dataValidation type="list" allowBlank="1" showInputMessage="1" showErrorMessage="1" sqref="Y25:Y30 R25:R30 K25:K30 AF25:AF30 D25:D30 Y38:Y43 R38:R43 K38:K43 AF38:AF43 D38:D43" xr:uid="{8C1702BE-5C87-47F1-B084-2983C7377E4F}">
      <formula1>"Diesel, Electric, Hybrid, Petrol"</formula1>
    </dataValidation>
    <dataValidation type="list" allowBlank="1" showInputMessage="1" showErrorMessage="1" sqref="Z25:Z30 S25:S30 L25:L30 AG25:AG30 E25:E30 AG38:AG43 L38:L43 S38:S43 Z38:Z43 E38:E43" xr:uid="{8CEF7FA7-5698-40EC-A2A5-060BD4B7C8F9}">
      <formula1>"Miles travelled, Kilometres travelled, Litres of fuel,"</formula1>
    </dataValidation>
    <dataValidation type="list" allowBlank="1" showInputMessage="1" showErrorMessage="1" sqref="G51:G77 AI51:AI77 N51:N77 U51:U77 AB51:AB77 G88:G114 AI88:AI114 N88:N114 U88:U114 AB88:AB114 E176 R176 AE176 AR176 BE176" xr:uid="{89151052-CDDE-4531-B42B-C4AFDB1C62DC}">
      <formula1>"Yes, No"</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H42"/>
  <sheetViews>
    <sheetView topLeftCell="A4" zoomScale="80" zoomScaleNormal="80" workbookViewId="0">
      <selection activeCell="F43" sqref="F43"/>
    </sheetView>
  </sheetViews>
  <sheetFormatPr defaultColWidth="10.265625" defaultRowHeight="12.4"/>
  <cols>
    <col min="1" max="1" width="5.86328125" style="826" customWidth="1"/>
    <col min="2" max="2" width="28.73046875" style="827" customWidth="1"/>
    <col min="3" max="3" width="50.265625" style="827" customWidth="1"/>
    <col min="4" max="4" width="38.265625" style="826" customWidth="1"/>
    <col min="5" max="5" width="29.3984375" style="826" customWidth="1"/>
    <col min="6" max="6" width="10.265625" style="826"/>
    <col min="7" max="7" width="13.265625" style="826" customWidth="1"/>
    <col min="8" max="8" width="129.3984375" style="826" customWidth="1"/>
    <col min="9" max="16384" width="10.265625" style="826"/>
  </cols>
  <sheetData>
    <row r="1" spans="1:7" s="817" customFormat="1" ht="23.25">
      <c r="A1" s="89" t="str">
        <f>'1.1 Cover'!A2</f>
        <v>Regulatory Reporting Pack</v>
      </c>
      <c r="B1" s="113"/>
    </row>
    <row r="2" spans="1:7" s="817" customFormat="1" ht="23.25">
      <c r="A2" s="89" t="str">
        <f>'1.1 Cover'!A3</f>
        <v>Price base - 2018/19</v>
      </c>
      <c r="B2" s="113"/>
    </row>
    <row r="3" spans="1:7" s="817" customFormat="1" ht="23.25">
      <c r="A3" s="89" t="str">
        <f>'1.1 Cover'!A4</f>
        <v>Regulatory Year: April 2021 - March 2022</v>
      </c>
      <c r="B3" s="113"/>
    </row>
    <row r="4" spans="1:7" s="817" customFormat="1" ht="23.25">
      <c r="A4" s="89" t="s">
        <v>1377</v>
      </c>
      <c r="B4" s="113"/>
    </row>
    <row r="5" spans="1:7" s="453" customFormat="1">
      <c r="B5" s="814"/>
      <c r="C5" s="814"/>
    </row>
    <row r="6" spans="1:7" s="453" customFormat="1">
      <c r="B6" s="814"/>
      <c r="C6" s="814"/>
      <c r="G6" s="818"/>
    </row>
    <row r="7" spans="1:7" s="453" customFormat="1" ht="13.5">
      <c r="B7" s="819"/>
      <c r="C7" s="819" t="s">
        <v>1696</v>
      </c>
      <c r="D7" s="820" t="s">
        <v>1697</v>
      </c>
      <c r="E7" s="820" t="s">
        <v>1359</v>
      </c>
      <c r="F7" s="821" t="s">
        <v>1327</v>
      </c>
      <c r="G7" s="822" t="s">
        <v>1420</v>
      </c>
    </row>
    <row r="8" spans="1:7" s="453" customFormat="1" ht="24.75">
      <c r="B8" s="423" t="s">
        <v>1328</v>
      </c>
      <c r="C8" s="815" t="s">
        <v>2679</v>
      </c>
      <c r="D8" s="816" t="s">
        <v>1329</v>
      </c>
      <c r="E8" s="816" t="s">
        <v>277</v>
      </c>
      <c r="F8" s="816" t="s">
        <v>2</v>
      </c>
      <c r="G8" s="823"/>
    </row>
    <row r="9" spans="1:7" s="453" customFormat="1">
      <c r="B9" s="424"/>
      <c r="C9" s="1391" t="s">
        <v>2676</v>
      </c>
      <c r="D9" s="1392"/>
      <c r="E9" s="816" t="s">
        <v>277</v>
      </c>
      <c r="F9" s="816" t="s">
        <v>2</v>
      </c>
      <c r="G9" s="824">
        <f>G8*0.14</f>
        <v>0</v>
      </c>
    </row>
    <row r="10" spans="1:7" s="453" customFormat="1" ht="24.75">
      <c r="B10" s="424"/>
      <c r="C10" s="815" t="s">
        <v>1330</v>
      </c>
      <c r="D10" s="816" t="s">
        <v>1331</v>
      </c>
      <c r="E10" s="427" t="s">
        <v>277</v>
      </c>
      <c r="F10" s="816" t="s">
        <v>2</v>
      </c>
      <c r="G10" s="823"/>
    </row>
    <row r="11" spans="1:7" s="453" customFormat="1">
      <c r="B11" s="424"/>
      <c r="C11" s="1391" t="s">
        <v>2817</v>
      </c>
      <c r="D11" s="1392"/>
      <c r="E11" s="427" t="s">
        <v>277</v>
      </c>
      <c r="F11" s="816" t="s">
        <v>2</v>
      </c>
      <c r="G11" s="824">
        <f>G10*0.14</f>
        <v>0</v>
      </c>
    </row>
    <row r="12" spans="1:7" s="453" customFormat="1">
      <c r="B12" s="424"/>
      <c r="C12" s="155" t="s">
        <v>1332</v>
      </c>
      <c r="D12" s="816" t="s">
        <v>1333</v>
      </c>
      <c r="E12" s="427" t="s">
        <v>277</v>
      </c>
      <c r="F12" s="816" t="s">
        <v>2</v>
      </c>
      <c r="G12" s="823"/>
    </row>
    <row r="13" spans="1:7" s="453" customFormat="1">
      <c r="B13" s="424"/>
      <c r="C13" s="815" t="s">
        <v>1334</v>
      </c>
      <c r="D13" s="816" t="s">
        <v>1333</v>
      </c>
      <c r="E13" s="427" t="s">
        <v>277</v>
      </c>
      <c r="F13" s="816" t="s">
        <v>2</v>
      </c>
      <c r="G13" s="823"/>
    </row>
    <row r="14" spans="1:7" s="453" customFormat="1">
      <c r="B14" s="424"/>
      <c r="C14" s="1388" t="s">
        <v>2671</v>
      </c>
      <c r="D14" s="1390"/>
      <c r="E14" s="427" t="s">
        <v>277</v>
      </c>
      <c r="F14" s="816" t="s">
        <v>2</v>
      </c>
      <c r="G14" s="824">
        <f>SUM(G12:G13)</f>
        <v>0</v>
      </c>
    </row>
    <row r="15" spans="1:7" s="453" customFormat="1">
      <c r="B15" s="424"/>
      <c r="C15" s="815" t="s">
        <v>1335</v>
      </c>
      <c r="D15" s="816" t="s">
        <v>1336</v>
      </c>
      <c r="E15" s="427" t="s">
        <v>278</v>
      </c>
      <c r="F15" s="816" t="s">
        <v>2</v>
      </c>
      <c r="G15" s="425"/>
    </row>
    <row r="16" spans="1:7" s="453" customFormat="1">
      <c r="B16" s="424"/>
      <c r="C16" s="1391" t="s">
        <v>2677</v>
      </c>
      <c r="D16" s="1392"/>
      <c r="E16" s="816" t="s">
        <v>278</v>
      </c>
      <c r="F16" s="816" t="s">
        <v>2</v>
      </c>
      <c r="G16" s="824">
        <f>G15*0.14</f>
        <v>0</v>
      </c>
    </row>
    <row r="17" spans="2:8" s="453" customFormat="1" ht="24.75">
      <c r="B17" s="424"/>
      <c r="C17" s="815" t="s">
        <v>1337</v>
      </c>
      <c r="D17" s="816" t="s">
        <v>1338</v>
      </c>
      <c r="E17" s="427"/>
      <c r="F17" s="816" t="s">
        <v>2</v>
      </c>
      <c r="G17" s="425"/>
    </row>
    <row r="18" spans="2:8" s="453" customFormat="1">
      <c r="B18" s="426"/>
      <c r="C18" s="428" t="s">
        <v>2678</v>
      </c>
      <c r="D18" s="427"/>
      <c r="E18" s="427"/>
      <c r="F18" s="816" t="s">
        <v>2</v>
      </c>
      <c r="G18" s="824">
        <f>((G9-G11)+G14+G16+G17)</f>
        <v>0</v>
      </c>
    </row>
    <row r="19" spans="2:8" s="453" customFormat="1"/>
    <row r="20" spans="2:8" s="453" customFormat="1"/>
    <row r="21" spans="2:8" s="453" customFormat="1"/>
    <row r="22" spans="2:8" s="453" customFormat="1" ht="24.75">
      <c r="B22" s="452" t="s">
        <v>1339</v>
      </c>
      <c r="C22" s="452" t="s">
        <v>1697</v>
      </c>
      <c r="D22" s="452" t="s">
        <v>1359</v>
      </c>
      <c r="E22" s="452" t="s">
        <v>1327</v>
      </c>
      <c r="F22" s="452" t="s">
        <v>1420</v>
      </c>
      <c r="H22" s="453" t="s">
        <v>1698</v>
      </c>
    </row>
    <row r="23" spans="2:8" s="453" customFormat="1" ht="61.9">
      <c r="B23" s="815" t="s">
        <v>1340</v>
      </c>
      <c r="C23" s="816" t="s">
        <v>1341</v>
      </c>
      <c r="D23" s="427" t="s">
        <v>277</v>
      </c>
      <c r="E23" s="816" t="s">
        <v>2</v>
      </c>
      <c r="F23" s="823"/>
      <c r="H23" s="814" t="s">
        <v>1699</v>
      </c>
    </row>
    <row r="24" spans="2:8" s="453" customFormat="1">
      <c r="B24" s="815" t="s">
        <v>1342</v>
      </c>
      <c r="C24" s="816" t="s">
        <v>1341</v>
      </c>
      <c r="D24" s="427" t="s">
        <v>277</v>
      </c>
      <c r="E24" s="816" t="s">
        <v>2</v>
      </c>
      <c r="F24" s="823"/>
    </row>
    <row r="25" spans="2:8" s="453" customFormat="1" ht="49.5">
      <c r="B25" s="815" t="s">
        <v>1343</v>
      </c>
      <c r="C25" s="816" t="s">
        <v>1341</v>
      </c>
      <c r="D25" s="427" t="s">
        <v>277</v>
      </c>
      <c r="E25" s="816" t="s">
        <v>2</v>
      </c>
      <c r="F25" s="823"/>
      <c r="H25" s="814" t="s">
        <v>1700</v>
      </c>
    </row>
    <row r="26" spans="2:8" s="453" customFormat="1">
      <c r="B26" s="1388" t="s">
        <v>2670</v>
      </c>
      <c r="C26" s="1390"/>
      <c r="D26" s="427" t="s">
        <v>277</v>
      </c>
      <c r="E26" s="816" t="s">
        <v>2</v>
      </c>
      <c r="F26" s="825">
        <f>SUM(F23:F25)</f>
        <v>0</v>
      </c>
      <c r="H26" s="814"/>
    </row>
    <row r="27" spans="2:8" s="453" customFormat="1" ht="24.75">
      <c r="B27" s="815" t="s">
        <v>1344</v>
      </c>
      <c r="C27" s="816" t="s">
        <v>1345</v>
      </c>
      <c r="D27" s="427" t="s">
        <v>278</v>
      </c>
      <c r="E27" s="816" t="s">
        <v>2</v>
      </c>
      <c r="F27" s="823"/>
    </row>
    <row r="28" spans="2:8" s="453" customFormat="1">
      <c r="B28" s="815" t="s">
        <v>1346</v>
      </c>
      <c r="C28" s="816" t="s">
        <v>1345</v>
      </c>
      <c r="D28" s="427" t="s">
        <v>278</v>
      </c>
      <c r="E28" s="816" t="s">
        <v>2</v>
      </c>
      <c r="F28" s="823"/>
    </row>
    <row r="29" spans="2:8" s="453" customFormat="1">
      <c r="B29" s="1388" t="s">
        <v>2672</v>
      </c>
      <c r="C29" s="1390"/>
      <c r="D29" s="427" t="s">
        <v>278</v>
      </c>
      <c r="E29" s="816" t="s">
        <v>2</v>
      </c>
      <c r="F29" s="825">
        <f>SUM(F27:F28)</f>
        <v>0</v>
      </c>
    </row>
    <row r="30" spans="2:8" s="453" customFormat="1">
      <c r="B30" s="1388" t="s">
        <v>2675</v>
      </c>
      <c r="C30" s="1389"/>
      <c r="D30" s="1390"/>
      <c r="E30" s="816" t="s">
        <v>2</v>
      </c>
      <c r="F30" s="825">
        <f>F26+F29</f>
        <v>0</v>
      </c>
    </row>
    <row r="31" spans="2:8" s="453" customFormat="1" ht="24.75">
      <c r="B31" s="815" t="s">
        <v>1347</v>
      </c>
      <c r="C31" s="816" t="s">
        <v>1348</v>
      </c>
      <c r="D31" s="427" t="s">
        <v>278</v>
      </c>
      <c r="E31" s="816" t="s">
        <v>2</v>
      </c>
      <c r="F31" s="823"/>
    </row>
    <row r="32" spans="2:8" s="453" customFormat="1" ht="24.75">
      <c r="B32" s="815" t="s">
        <v>1349</v>
      </c>
      <c r="C32" s="816" t="s">
        <v>1348</v>
      </c>
      <c r="D32" s="427" t="s">
        <v>278</v>
      </c>
      <c r="E32" s="816" t="s">
        <v>2</v>
      </c>
      <c r="F32" s="823"/>
    </row>
    <row r="33" spans="2:6" s="453" customFormat="1" ht="37.15">
      <c r="B33" s="815" t="s">
        <v>1350</v>
      </c>
      <c r="C33" s="816" t="s">
        <v>1348</v>
      </c>
      <c r="D33" s="427" t="s">
        <v>278</v>
      </c>
      <c r="E33" s="816" t="s">
        <v>2</v>
      </c>
      <c r="F33" s="425"/>
    </row>
    <row r="34" spans="2:6" s="453" customFormat="1" ht="37.15">
      <c r="B34" s="815" t="s">
        <v>1351</v>
      </c>
      <c r="C34" s="816" t="s">
        <v>1348</v>
      </c>
      <c r="D34" s="427" t="s">
        <v>278</v>
      </c>
      <c r="E34" s="816" t="s">
        <v>2</v>
      </c>
      <c r="F34" s="823"/>
    </row>
    <row r="35" spans="2:6" s="453" customFormat="1">
      <c r="B35" s="1388" t="s">
        <v>2673</v>
      </c>
      <c r="C35" s="1390"/>
      <c r="D35" s="427" t="s">
        <v>278</v>
      </c>
      <c r="E35" s="816" t="s">
        <v>2</v>
      </c>
      <c r="F35" s="825">
        <f>SUM(F31:F34)</f>
        <v>0</v>
      </c>
    </row>
    <row r="36" spans="2:6" ht="24.75">
      <c r="B36" s="815" t="s">
        <v>1352</v>
      </c>
      <c r="C36" s="816" t="s">
        <v>1353</v>
      </c>
      <c r="D36" s="427" t="s">
        <v>277</v>
      </c>
      <c r="E36" s="816" t="s">
        <v>2</v>
      </c>
      <c r="F36" s="823"/>
    </row>
    <row r="37" spans="2:6" ht="24.75">
      <c r="B37" s="815" t="s">
        <v>1354</v>
      </c>
      <c r="C37" s="816" t="s">
        <v>1355</v>
      </c>
      <c r="D37" s="427" t="s">
        <v>278</v>
      </c>
      <c r="E37" s="816" t="s">
        <v>2</v>
      </c>
      <c r="F37" s="823"/>
    </row>
    <row r="38" spans="2:6">
      <c r="B38" s="1388" t="s">
        <v>2674</v>
      </c>
      <c r="C38" s="1389"/>
      <c r="D38" s="1390"/>
      <c r="E38" s="816" t="s">
        <v>2</v>
      </c>
      <c r="F38" s="825">
        <f>SUM(F36:F37)</f>
        <v>0</v>
      </c>
    </row>
    <row r="39" spans="2:6">
      <c r="B39" s="428" t="s">
        <v>1568</v>
      </c>
      <c r="C39" s="828" t="s">
        <v>2818</v>
      </c>
      <c r="D39" s="829"/>
      <c r="E39" s="829" t="s">
        <v>2</v>
      </c>
      <c r="F39" s="830">
        <f>F30-F35-G18</f>
        <v>0</v>
      </c>
    </row>
    <row r="42" spans="2:6" ht="24.75">
      <c r="B42" s="428" t="s">
        <v>2819</v>
      </c>
      <c r="C42" s="828" t="s">
        <v>2820</v>
      </c>
      <c r="D42" s="829"/>
      <c r="E42" s="829" t="s">
        <v>2</v>
      </c>
      <c r="F42" s="830">
        <f>0.39*(8.5-F39)-F38</f>
        <v>3.3149999999999999</v>
      </c>
    </row>
  </sheetData>
  <mergeCells count="9">
    <mergeCell ref="B38:D38"/>
    <mergeCell ref="B30:D30"/>
    <mergeCell ref="B26:C26"/>
    <mergeCell ref="C9:D9"/>
    <mergeCell ref="C16:D16"/>
    <mergeCell ref="C14:D14"/>
    <mergeCell ref="B29:C29"/>
    <mergeCell ref="B35:C35"/>
    <mergeCell ref="C11:D11"/>
  </mergeCells>
  <pageMargins left="0.23622047244094491" right="0.23622047244094491" top="0.74803149606299213" bottom="0.74803149606299213" header="0.31496062992125984" footer="0.31496062992125984"/>
  <pageSetup paperSize="8"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90" zoomScaleNormal="90" workbookViewId="0"/>
  </sheetViews>
  <sheetFormatPr defaultRowHeight="14.25"/>
  <cols>
    <col min="1" max="1" width="12.86328125" customWidth="1"/>
  </cols>
  <sheetData>
    <row r="1" spans="1:2" s="73" customFormat="1" ht="23.25">
      <c r="A1" s="89" t="str">
        <f>'1.1 Cover'!A2</f>
        <v>Regulatory Reporting Pack</v>
      </c>
    </row>
    <row r="2" spans="1:2" s="73" customFormat="1" ht="23.25">
      <c r="A2" s="89" t="str">
        <f>'1.1 Cover'!A3</f>
        <v>Price base - 2018/19</v>
      </c>
    </row>
    <row r="3" spans="1:2" s="73" customFormat="1" ht="23.25">
      <c r="A3" s="89" t="str">
        <f>'1.1 Cover'!A4</f>
        <v>Regulatory Year: April 2021 - March 2022</v>
      </c>
    </row>
    <row r="4" spans="1:2" s="73" customFormat="1" ht="23.25">
      <c r="A4" s="89" t="s">
        <v>8</v>
      </c>
    </row>
    <row r="7" spans="1:2">
      <c r="B7" s="67" t="s">
        <v>72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P76"/>
  <sheetViews>
    <sheetView zoomScale="80" zoomScaleNormal="80" workbookViewId="0"/>
  </sheetViews>
  <sheetFormatPr defaultColWidth="10.265625" defaultRowHeight="12.4"/>
  <cols>
    <col min="1" max="1" width="5.86328125" style="910" customWidth="1"/>
    <col min="2" max="2" width="28.73046875" style="911" customWidth="1"/>
    <col min="3" max="4" width="38.1328125" style="911" customWidth="1"/>
    <col min="5" max="5" width="32" style="911" bestFit="1" customWidth="1"/>
    <col min="6" max="6" width="56.86328125" style="910" customWidth="1"/>
    <col min="7" max="7" width="43.3984375" style="910" bestFit="1" customWidth="1"/>
    <col min="8" max="8" width="41.1328125" style="910" customWidth="1"/>
    <col min="9" max="9" width="38.86328125" style="910" customWidth="1"/>
    <col min="10" max="10" width="40" style="910" customWidth="1"/>
    <col min="11" max="11" width="37.1328125" style="910" customWidth="1"/>
    <col min="12" max="12" width="27.1328125" style="910" bestFit="1" customWidth="1"/>
    <col min="13" max="14" width="33.86328125" style="910" bestFit="1" customWidth="1"/>
    <col min="15" max="15" width="25.73046875" style="910" bestFit="1" customWidth="1"/>
    <col min="16" max="16" width="18.3984375" style="910" bestFit="1" customWidth="1"/>
    <col min="17" max="16384" width="10.265625" style="910"/>
  </cols>
  <sheetData>
    <row r="1" spans="1:16" s="880" customFormat="1" ht="23.25">
      <c r="A1" s="879" t="str">
        <f>'1.1 Cover'!A2</f>
        <v>Regulatory Reporting Pack</v>
      </c>
    </row>
    <row r="2" spans="1:16" s="880" customFormat="1" ht="23.25">
      <c r="A2" s="879" t="str">
        <f>'1.1 Cover'!A3</f>
        <v>Price base - 2018/19</v>
      </c>
    </row>
    <row r="3" spans="1:16" s="880" customFormat="1" ht="23.25">
      <c r="A3" s="879" t="str">
        <f>'1.1 Cover'!A4</f>
        <v>Regulatory Year: April 2021 - March 2022</v>
      </c>
    </row>
    <row r="4" spans="1:16" s="880" customFormat="1" ht="23.25">
      <c r="A4" s="879" t="s">
        <v>2644</v>
      </c>
    </row>
    <row r="5" spans="1:16" s="883" customFormat="1" ht="12.75">
      <c r="A5" s="881"/>
      <c r="B5" s="881"/>
      <c r="C5" s="881"/>
      <c r="D5" s="881"/>
      <c r="E5" s="881"/>
      <c r="F5" s="881"/>
      <c r="G5" s="881"/>
      <c r="H5" s="881"/>
      <c r="I5" s="881"/>
      <c r="J5" s="882"/>
      <c r="K5" s="882"/>
    </row>
    <row r="6" spans="1:16" s="882" customFormat="1">
      <c r="B6" s="884"/>
      <c r="C6" s="884"/>
      <c r="D6" s="884"/>
      <c r="E6" s="884"/>
    </row>
    <row r="7" spans="1:16" s="882" customFormat="1">
      <c r="B7" s="885" t="s">
        <v>1356</v>
      </c>
      <c r="C7" s="884"/>
      <c r="D7" s="884"/>
      <c r="E7" s="884"/>
    </row>
    <row r="8" spans="1:16" s="882" customFormat="1">
      <c r="B8" s="884"/>
      <c r="C8" s="884"/>
      <c r="D8" s="884"/>
      <c r="E8" s="884"/>
      <c r="I8" s="886"/>
    </row>
    <row r="9" spans="1:16" s="882" customFormat="1" ht="24.75">
      <c r="B9" s="887" t="s">
        <v>1357</v>
      </c>
      <c r="C9" s="887" t="s">
        <v>1358</v>
      </c>
      <c r="D9" s="887" t="s">
        <v>1359</v>
      </c>
      <c r="E9" s="887" t="s">
        <v>1360</v>
      </c>
      <c r="F9" s="887" t="s">
        <v>2825</v>
      </c>
      <c r="G9" s="888" t="s">
        <v>2826</v>
      </c>
      <c r="H9" s="888" t="s">
        <v>1361</v>
      </c>
      <c r="I9" s="888" t="s">
        <v>1362</v>
      </c>
      <c r="J9" s="889" t="s">
        <v>1363</v>
      </c>
      <c r="K9" s="890" t="s">
        <v>1364</v>
      </c>
      <c r="L9" s="890" t="s">
        <v>2823</v>
      </c>
      <c r="M9" s="889" t="s">
        <v>1365</v>
      </c>
      <c r="N9" s="889" t="s">
        <v>2824</v>
      </c>
      <c r="O9" s="889" t="s">
        <v>1366</v>
      </c>
      <c r="P9" s="889" t="s">
        <v>1367</v>
      </c>
    </row>
    <row r="10" spans="1:16" s="882" customFormat="1">
      <c r="B10" s="891"/>
      <c r="C10" s="887"/>
      <c r="D10" s="887"/>
      <c r="E10" s="887"/>
      <c r="F10" s="887"/>
      <c r="G10" s="888"/>
      <c r="H10" s="888"/>
      <c r="I10" s="888"/>
      <c r="J10" s="889"/>
      <c r="K10" s="890"/>
      <c r="L10" s="890"/>
      <c r="M10" s="892"/>
      <c r="N10" s="892"/>
      <c r="O10" s="892"/>
      <c r="P10" s="892"/>
    </row>
    <row r="11" spans="1:16" s="882" customFormat="1">
      <c r="B11" s="891"/>
      <c r="C11" s="887"/>
      <c r="D11" s="887"/>
      <c r="E11" s="887"/>
      <c r="F11" s="887"/>
      <c r="G11" s="888"/>
      <c r="H11" s="888"/>
      <c r="I11" s="888"/>
      <c r="J11" s="889"/>
      <c r="K11" s="890"/>
      <c r="L11" s="890"/>
      <c r="M11" s="892"/>
      <c r="N11" s="892"/>
      <c r="O11" s="892"/>
      <c r="P11" s="892"/>
    </row>
    <row r="12" spans="1:16" s="882" customFormat="1">
      <c r="B12" s="891"/>
      <c r="C12" s="887"/>
      <c r="D12" s="887"/>
      <c r="E12" s="887"/>
      <c r="F12" s="887"/>
      <c r="G12" s="888"/>
      <c r="H12" s="888"/>
      <c r="I12" s="888"/>
      <c r="J12" s="889"/>
      <c r="K12" s="890"/>
      <c r="L12" s="890"/>
      <c r="M12" s="892"/>
      <c r="N12" s="892"/>
      <c r="O12" s="892"/>
      <c r="P12" s="892"/>
    </row>
    <row r="13" spans="1:16" s="882" customFormat="1">
      <c r="B13" s="891"/>
      <c r="C13" s="887"/>
      <c r="D13" s="887"/>
      <c r="E13" s="887"/>
      <c r="F13" s="887"/>
      <c r="G13" s="888"/>
      <c r="H13" s="888"/>
      <c r="I13" s="888"/>
      <c r="J13" s="889"/>
      <c r="K13" s="890"/>
      <c r="L13" s="890"/>
      <c r="M13" s="892"/>
      <c r="N13" s="892"/>
      <c r="O13" s="892"/>
      <c r="P13" s="892"/>
    </row>
    <row r="14" spans="1:16" s="882" customFormat="1">
      <c r="B14" s="891"/>
      <c r="C14" s="887"/>
      <c r="D14" s="887"/>
      <c r="E14" s="887"/>
      <c r="F14" s="887"/>
      <c r="G14" s="888"/>
      <c r="H14" s="888"/>
      <c r="I14" s="888"/>
      <c r="J14" s="889"/>
      <c r="K14" s="890"/>
      <c r="L14" s="890"/>
      <c r="M14" s="892"/>
      <c r="N14" s="892"/>
      <c r="O14" s="892"/>
      <c r="P14" s="892"/>
    </row>
    <row r="15" spans="1:16" s="882" customFormat="1">
      <c r="B15" s="891"/>
      <c r="C15" s="887"/>
      <c r="D15" s="887"/>
      <c r="E15" s="887"/>
      <c r="F15" s="887"/>
      <c r="G15" s="888"/>
      <c r="H15" s="888"/>
      <c r="I15" s="888"/>
      <c r="J15" s="889"/>
      <c r="K15" s="890"/>
      <c r="L15" s="890"/>
      <c r="M15" s="892"/>
      <c r="N15" s="892"/>
      <c r="O15" s="892"/>
      <c r="P15" s="892"/>
    </row>
    <row r="16" spans="1:16" s="882" customFormat="1">
      <c r="B16" s="887"/>
      <c r="C16" s="887"/>
      <c r="D16" s="887"/>
      <c r="E16" s="887"/>
      <c r="F16" s="887"/>
      <c r="G16" s="888"/>
      <c r="H16" s="888"/>
      <c r="I16" s="888"/>
      <c r="J16" s="889"/>
      <c r="K16" s="890"/>
      <c r="L16" s="890"/>
      <c r="M16" s="892"/>
      <c r="N16" s="892"/>
      <c r="O16" s="892"/>
      <c r="P16" s="892"/>
    </row>
    <row r="17" spans="2:16" s="882" customFormat="1">
      <c r="B17" s="891"/>
      <c r="C17" s="887"/>
      <c r="D17" s="887"/>
      <c r="E17" s="887"/>
      <c r="F17" s="887"/>
      <c r="G17" s="888"/>
      <c r="H17" s="888"/>
      <c r="I17" s="888"/>
      <c r="J17" s="889"/>
      <c r="K17" s="890"/>
      <c r="L17" s="890"/>
      <c r="M17" s="892"/>
      <c r="N17" s="892"/>
      <c r="O17" s="892"/>
      <c r="P17" s="892"/>
    </row>
    <row r="18" spans="2:16" s="882" customFormat="1">
      <c r="B18" s="891"/>
      <c r="C18" s="887"/>
      <c r="D18" s="887"/>
      <c r="E18" s="887"/>
      <c r="F18" s="887"/>
      <c r="G18" s="888"/>
      <c r="H18" s="888"/>
      <c r="I18" s="888"/>
      <c r="J18" s="889"/>
      <c r="K18" s="890"/>
      <c r="L18" s="890"/>
      <c r="M18" s="892"/>
      <c r="N18" s="892"/>
      <c r="O18" s="892"/>
      <c r="P18" s="892"/>
    </row>
    <row r="19" spans="2:16" s="882" customFormat="1">
      <c r="B19" s="891"/>
      <c r="C19" s="887"/>
      <c r="D19" s="887"/>
      <c r="E19" s="887"/>
      <c r="F19" s="887"/>
      <c r="G19" s="888"/>
      <c r="H19" s="888"/>
      <c r="I19" s="888"/>
      <c r="J19" s="889"/>
      <c r="K19" s="890"/>
      <c r="L19" s="890"/>
      <c r="M19" s="892"/>
      <c r="N19" s="892"/>
      <c r="O19" s="892"/>
      <c r="P19" s="892"/>
    </row>
    <row r="20" spans="2:16" s="882" customFormat="1">
      <c r="B20" s="891"/>
      <c r="C20" s="887"/>
      <c r="D20" s="887"/>
      <c r="E20" s="887"/>
      <c r="F20" s="887"/>
      <c r="G20" s="888"/>
      <c r="H20" s="888"/>
      <c r="I20" s="888"/>
      <c r="J20" s="889"/>
      <c r="K20" s="890"/>
      <c r="L20" s="890"/>
      <c r="M20" s="892"/>
      <c r="N20" s="892"/>
      <c r="O20" s="892"/>
      <c r="P20" s="892"/>
    </row>
    <row r="21" spans="2:16" s="882" customFormat="1">
      <c r="B21" s="891"/>
      <c r="C21" s="887"/>
      <c r="D21" s="887"/>
      <c r="E21" s="887"/>
      <c r="F21" s="887"/>
      <c r="G21" s="888"/>
      <c r="H21" s="888"/>
      <c r="I21" s="888"/>
      <c r="J21" s="889"/>
      <c r="K21" s="890"/>
      <c r="L21" s="890"/>
      <c r="M21" s="892"/>
      <c r="N21" s="892"/>
      <c r="O21" s="892"/>
      <c r="P21" s="892"/>
    </row>
    <row r="22" spans="2:16" s="882" customFormat="1">
      <c r="B22" s="891"/>
      <c r="C22" s="887"/>
      <c r="D22" s="887"/>
      <c r="E22" s="887"/>
      <c r="F22" s="887"/>
      <c r="G22" s="888"/>
      <c r="H22" s="888"/>
      <c r="I22" s="888"/>
      <c r="J22" s="889"/>
      <c r="K22" s="890"/>
      <c r="L22" s="890"/>
      <c r="M22" s="892"/>
      <c r="N22" s="892"/>
      <c r="O22" s="892"/>
      <c r="P22" s="892"/>
    </row>
    <row r="23" spans="2:16" s="882" customFormat="1">
      <c r="B23" s="891"/>
      <c r="C23" s="887"/>
      <c r="D23" s="887"/>
      <c r="E23" s="887"/>
      <c r="F23" s="887"/>
      <c r="G23" s="888"/>
      <c r="H23" s="888"/>
      <c r="I23" s="888"/>
      <c r="J23" s="889"/>
      <c r="K23" s="890"/>
      <c r="L23" s="890"/>
      <c r="M23" s="892"/>
      <c r="N23" s="892"/>
      <c r="O23" s="892"/>
      <c r="P23" s="892"/>
    </row>
    <row r="24" spans="2:16" s="882" customFormat="1">
      <c r="B24" s="891"/>
      <c r="C24" s="892"/>
      <c r="D24" s="892"/>
      <c r="E24" s="892"/>
      <c r="F24" s="892"/>
      <c r="G24" s="888"/>
      <c r="H24" s="888"/>
      <c r="I24" s="888"/>
      <c r="J24" s="889"/>
      <c r="K24" s="890"/>
      <c r="L24" s="890"/>
      <c r="M24" s="892"/>
      <c r="N24" s="892"/>
      <c r="O24" s="892"/>
      <c r="P24" s="892"/>
    </row>
    <row r="25" spans="2:16" s="882" customFormat="1">
      <c r="B25" s="893"/>
      <c r="F25" s="894"/>
      <c r="G25" s="895"/>
      <c r="H25" s="894"/>
      <c r="I25" s="896"/>
    </row>
    <row r="26" spans="2:16" s="882" customFormat="1">
      <c r="B26" s="885" t="s">
        <v>1368</v>
      </c>
      <c r="F26" s="894"/>
      <c r="G26" s="895"/>
      <c r="H26" s="894"/>
      <c r="I26" s="896"/>
    </row>
    <row r="27" spans="2:16" s="882" customFormat="1">
      <c r="B27" s="897"/>
      <c r="C27" s="898"/>
      <c r="D27" s="898"/>
      <c r="E27" s="898"/>
      <c r="F27" s="899"/>
      <c r="G27" s="900"/>
      <c r="H27" s="899"/>
      <c r="I27" s="901"/>
      <c r="J27" s="898"/>
      <c r="K27" s="898"/>
    </row>
    <row r="28" spans="2:16" s="882" customFormat="1" ht="26.45" customHeight="1">
      <c r="B28" s="891" t="s">
        <v>1357</v>
      </c>
      <c r="C28" s="902" t="s">
        <v>1358</v>
      </c>
      <c r="D28" s="902" t="s">
        <v>1359</v>
      </c>
      <c r="E28" s="891" t="s">
        <v>1361</v>
      </c>
      <c r="F28" s="891" t="s">
        <v>2821</v>
      </c>
      <c r="G28" s="902" t="s">
        <v>1370</v>
      </c>
      <c r="H28" s="903" t="s">
        <v>1369</v>
      </c>
      <c r="I28" s="1393" t="s">
        <v>1371</v>
      </c>
      <c r="J28" s="1394"/>
      <c r="K28" s="902" t="s">
        <v>1372</v>
      </c>
      <c r="L28" s="889" t="s">
        <v>2822</v>
      </c>
      <c r="M28" s="889" t="s">
        <v>1373</v>
      </c>
    </row>
    <row r="29" spans="2:16" s="882" customFormat="1" ht="12.75">
      <c r="B29" s="904"/>
      <c r="C29" s="905"/>
      <c r="D29" s="905"/>
      <c r="E29" s="905"/>
      <c r="F29" s="905"/>
      <c r="G29" s="906"/>
      <c r="H29" s="892"/>
      <c r="I29" s="892"/>
      <c r="J29" s="907"/>
      <c r="K29" s="892"/>
      <c r="L29" s="892"/>
      <c r="M29" s="892"/>
    </row>
    <row r="30" spans="2:16" s="882" customFormat="1" ht="12.75">
      <c r="B30" s="904"/>
      <c r="C30" s="905"/>
      <c r="D30" s="905"/>
      <c r="E30" s="905"/>
      <c r="F30" s="905"/>
      <c r="G30" s="906"/>
      <c r="H30" s="892"/>
      <c r="I30" s="892"/>
      <c r="J30" s="907"/>
      <c r="K30" s="892"/>
      <c r="L30" s="892"/>
      <c r="M30" s="892"/>
    </row>
    <row r="31" spans="2:16" s="882" customFormat="1" ht="12.75">
      <c r="B31" s="904"/>
      <c r="C31" s="905"/>
      <c r="D31" s="905"/>
      <c r="E31" s="905"/>
      <c r="F31" s="905"/>
      <c r="G31" s="906"/>
      <c r="H31" s="892"/>
      <c r="I31" s="892"/>
      <c r="J31" s="907"/>
      <c r="K31" s="892"/>
      <c r="L31" s="892"/>
      <c r="M31" s="892"/>
    </row>
    <row r="32" spans="2:16" s="882" customFormat="1" ht="12.75">
      <c r="B32" s="904"/>
      <c r="C32" s="905"/>
      <c r="D32" s="905"/>
      <c r="E32" s="905"/>
      <c r="F32" s="905"/>
      <c r="G32" s="906"/>
      <c r="H32" s="892"/>
      <c r="I32" s="892"/>
      <c r="J32" s="907"/>
      <c r="K32" s="892"/>
      <c r="L32" s="892"/>
      <c r="M32" s="892"/>
    </row>
    <row r="33" spans="2:13" s="882" customFormat="1" ht="12.75">
      <c r="B33" s="904"/>
      <c r="C33" s="905"/>
      <c r="D33" s="905"/>
      <c r="E33" s="905"/>
      <c r="F33" s="905"/>
      <c r="G33" s="906"/>
      <c r="H33" s="892"/>
      <c r="I33" s="892"/>
      <c r="J33" s="907"/>
      <c r="K33" s="892"/>
      <c r="L33" s="892"/>
      <c r="M33" s="892"/>
    </row>
    <row r="34" spans="2:13" s="882" customFormat="1" ht="12.75">
      <c r="B34" s="904"/>
      <c r="C34" s="905"/>
      <c r="D34" s="905"/>
      <c r="E34" s="905"/>
      <c r="F34" s="905"/>
      <c r="G34" s="906"/>
      <c r="H34" s="892"/>
      <c r="I34" s="892"/>
      <c r="J34" s="907"/>
      <c r="K34" s="892"/>
      <c r="L34" s="892"/>
      <c r="M34" s="892"/>
    </row>
    <row r="35" spans="2:13" s="882" customFormat="1" ht="12.75">
      <c r="B35" s="904"/>
      <c r="C35" s="905"/>
      <c r="D35" s="905"/>
      <c r="E35" s="905"/>
      <c r="F35" s="905"/>
      <c r="G35" s="906"/>
      <c r="H35" s="892"/>
      <c r="I35" s="892"/>
      <c r="J35" s="907"/>
      <c r="K35" s="892"/>
      <c r="L35" s="892"/>
      <c r="M35" s="892"/>
    </row>
    <row r="36" spans="2:13" s="882" customFormat="1" ht="12.75">
      <c r="B36" s="904"/>
      <c r="C36" s="905"/>
      <c r="D36" s="905"/>
      <c r="E36" s="905"/>
      <c r="F36" s="905"/>
      <c r="G36" s="906"/>
      <c r="H36" s="892"/>
      <c r="I36" s="892"/>
      <c r="J36" s="908"/>
      <c r="K36" s="892"/>
      <c r="L36" s="892"/>
      <c r="M36" s="892"/>
    </row>
    <row r="37" spans="2:13" s="882" customFormat="1" ht="12.75">
      <c r="B37" s="904"/>
      <c r="C37" s="905"/>
      <c r="D37" s="905"/>
      <c r="E37" s="905"/>
      <c r="F37" s="905"/>
      <c r="G37" s="906"/>
      <c r="H37" s="892"/>
      <c r="I37" s="892"/>
      <c r="J37" s="907"/>
      <c r="K37" s="892"/>
      <c r="L37" s="892"/>
      <c r="M37" s="892"/>
    </row>
    <row r="38" spans="2:13" s="882" customFormat="1" ht="12.75">
      <c r="B38" s="904"/>
      <c r="C38" s="905"/>
      <c r="D38" s="905"/>
      <c r="E38" s="905"/>
      <c r="F38" s="905"/>
      <c r="G38" s="906"/>
      <c r="H38" s="892"/>
      <c r="I38" s="892"/>
      <c r="J38" s="907"/>
      <c r="K38" s="892"/>
      <c r="L38" s="892"/>
      <c r="M38" s="892"/>
    </row>
    <row r="39" spans="2:13" s="882" customFormat="1" ht="12.75">
      <c r="B39" s="904"/>
      <c r="C39" s="905"/>
      <c r="D39" s="905"/>
      <c r="E39" s="905"/>
      <c r="F39" s="905"/>
      <c r="G39" s="906"/>
      <c r="H39" s="892"/>
      <c r="I39" s="892"/>
      <c r="J39" s="907"/>
      <c r="K39" s="892"/>
      <c r="L39" s="892"/>
      <c r="M39" s="892"/>
    </row>
    <row r="40" spans="2:13" s="882" customFormat="1">
      <c r="B40" s="909"/>
      <c r="C40" s="909"/>
      <c r="D40" s="909"/>
      <c r="E40" s="905"/>
      <c r="F40" s="905"/>
      <c r="G40" s="892"/>
      <c r="H40" s="892"/>
      <c r="I40" s="892"/>
      <c r="J40" s="907"/>
      <c r="K40" s="892"/>
      <c r="L40" s="892"/>
      <c r="M40" s="892"/>
    </row>
    <row r="41" spans="2:13" s="882" customFormat="1">
      <c r="B41" s="904"/>
      <c r="C41" s="909"/>
      <c r="D41" s="909"/>
      <c r="E41" s="905"/>
      <c r="F41" s="905"/>
      <c r="G41" s="892"/>
      <c r="H41" s="892"/>
      <c r="I41" s="892"/>
      <c r="J41" s="907"/>
      <c r="K41" s="892"/>
      <c r="L41" s="892"/>
      <c r="M41" s="892"/>
    </row>
    <row r="43" spans="2:13" ht="24.75">
      <c r="B43" s="885" t="s">
        <v>1374</v>
      </c>
      <c r="C43" s="882"/>
      <c r="D43" s="882"/>
      <c r="E43" s="882"/>
      <c r="F43" s="894"/>
      <c r="G43" s="895"/>
      <c r="H43" s="894"/>
      <c r="I43" s="896"/>
      <c r="J43" s="882"/>
      <c r="K43" s="882"/>
    </row>
    <row r="44" spans="2:13">
      <c r="B44" s="897"/>
      <c r="C44" s="898"/>
      <c r="D44" s="898"/>
      <c r="E44" s="898"/>
      <c r="F44" s="899"/>
      <c r="G44" s="900"/>
      <c r="H44" s="899"/>
      <c r="I44" s="901"/>
      <c r="J44" s="898"/>
      <c r="K44" s="898"/>
    </row>
    <row r="45" spans="2:13">
      <c r="B45" s="891" t="s">
        <v>1357</v>
      </c>
      <c r="C45" s="902" t="s">
        <v>1358</v>
      </c>
      <c r="D45" s="902" t="s">
        <v>1359</v>
      </c>
      <c r="E45" s="891" t="s">
        <v>1361</v>
      </c>
      <c r="F45" s="891" t="s">
        <v>2821</v>
      </c>
      <c r="G45" s="902" t="s">
        <v>2828</v>
      </c>
      <c r="H45" s="902" t="s">
        <v>2827</v>
      </c>
      <c r="I45" s="902" t="s">
        <v>1373</v>
      </c>
    </row>
    <row r="46" spans="2:13">
      <c r="B46" s="904"/>
      <c r="C46" s="905"/>
      <c r="D46" s="905"/>
      <c r="E46" s="905"/>
      <c r="F46" s="905"/>
      <c r="G46" s="892"/>
      <c r="H46" s="892"/>
      <c r="I46" s="892"/>
    </row>
    <row r="47" spans="2:13">
      <c r="B47" s="904"/>
      <c r="C47" s="905"/>
      <c r="D47" s="905"/>
      <c r="E47" s="905"/>
      <c r="F47" s="905"/>
      <c r="G47" s="892"/>
      <c r="H47" s="892"/>
      <c r="I47" s="892"/>
    </row>
    <row r="48" spans="2:13">
      <c r="B48" s="904"/>
      <c r="C48" s="905"/>
      <c r="D48" s="905"/>
      <c r="E48" s="905"/>
      <c r="F48" s="905"/>
      <c r="G48" s="892"/>
      <c r="H48" s="892"/>
      <c r="I48" s="892"/>
    </row>
    <row r="49" spans="2:9">
      <c r="B49" s="904"/>
      <c r="C49" s="905"/>
      <c r="D49" s="905"/>
      <c r="E49" s="905"/>
      <c r="F49" s="905"/>
      <c r="G49" s="892"/>
      <c r="H49" s="892"/>
      <c r="I49" s="892"/>
    </row>
    <row r="50" spans="2:9">
      <c r="B50" s="904"/>
      <c r="C50" s="905"/>
      <c r="D50" s="905"/>
      <c r="E50" s="905"/>
      <c r="F50" s="905"/>
      <c r="G50" s="892"/>
      <c r="H50" s="892"/>
      <c r="I50" s="892"/>
    </row>
    <row r="51" spans="2:9">
      <c r="B51" s="904"/>
      <c r="C51" s="905"/>
      <c r="D51" s="905"/>
      <c r="E51" s="905"/>
      <c r="F51" s="905"/>
      <c r="G51" s="892"/>
      <c r="H51" s="892"/>
      <c r="I51" s="892"/>
    </row>
    <row r="52" spans="2:9">
      <c r="B52" s="904"/>
      <c r="C52" s="905"/>
      <c r="D52" s="905"/>
      <c r="E52" s="905"/>
      <c r="F52" s="905"/>
      <c r="G52" s="892"/>
      <c r="H52" s="892"/>
      <c r="I52" s="892"/>
    </row>
    <row r="53" spans="2:9">
      <c r="B53" s="904"/>
      <c r="C53" s="905"/>
      <c r="D53" s="905"/>
      <c r="E53" s="905"/>
      <c r="F53" s="905"/>
      <c r="G53" s="892"/>
      <c r="H53" s="892"/>
      <c r="I53" s="892"/>
    </row>
    <row r="54" spans="2:9">
      <c r="B54" s="904"/>
      <c r="C54" s="905"/>
      <c r="D54" s="905"/>
      <c r="E54" s="905"/>
      <c r="F54" s="905"/>
      <c r="G54" s="892"/>
      <c r="H54" s="892"/>
      <c r="I54" s="892"/>
    </row>
    <row r="55" spans="2:9">
      <c r="B55" s="904"/>
      <c r="C55" s="905"/>
      <c r="D55" s="905"/>
      <c r="E55" s="905"/>
      <c r="F55" s="905"/>
      <c r="G55" s="892"/>
      <c r="H55" s="892"/>
      <c r="I55" s="892"/>
    </row>
    <row r="56" spans="2:9">
      <c r="B56" s="904"/>
      <c r="C56" s="905"/>
      <c r="D56" s="905"/>
      <c r="E56" s="905"/>
      <c r="F56" s="905"/>
      <c r="G56" s="892"/>
      <c r="H56" s="892"/>
      <c r="I56" s="892"/>
    </row>
    <row r="57" spans="2:9">
      <c r="B57" s="909"/>
      <c r="C57" s="909"/>
      <c r="D57" s="909"/>
      <c r="E57" s="909"/>
      <c r="F57" s="909"/>
      <c r="G57" s="892"/>
      <c r="H57" s="892"/>
      <c r="I57" s="892"/>
    </row>
    <row r="58" spans="2:9">
      <c r="B58" s="904"/>
      <c r="C58" s="909"/>
      <c r="D58" s="909"/>
      <c r="E58" s="909"/>
      <c r="F58" s="909"/>
      <c r="G58" s="892"/>
      <c r="H58" s="892"/>
      <c r="I58" s="892"/>
    </row>
    <row r="61" spans="2:9" ht="24.75">
      <c r="B61" s="885" t="s">
        <v>1343</v>
      </c>
    </row>
    <row r="63" spans="2:9">
      <c r="B63" s="889" t="s">
        <v>1358</v>
      </c>
      <c r="C63" s="887" t="s">
        <v>1375</v>
      </c>
      <c r="D63" s="887" t="s">
        <v>1376</v>
      </c>
    </row>
    <row r="64" spans="2:9">
      <c r="B64" s="905"/>
      <c r="C64" s="904"/>
      <c r="D64" s="904"/>
    </row>
    <row r="65" spans="2:4">
      <c r="B65" s="905"/>
      <c r="C65" s="904"/>
      <c r="D65" s="904"/>
    </row>
    <row r="66" spans="2:4">
      <c r="B66" s="905"/>
      <c r="C66" s="904"/>
      <c r="D66" s="904"/>
    </row>
    <row r="67" spans="2:4">
      <c r="B67" s="905"/>
      <c r="C67" s="904"/>
      <c r="D67" s="904"/>
    </row>
    <row r="68" spans="2:4">
      <c r="B68" s="905"/>
      <c r="C68" s="904"/>
      <c r="D68" s="904"/>
    </row>
    <row r="69" spans="2:4">
      <c r="B69" s="905"/>
      <c r="C69" s="904"/>
      <c r="D69" s="904"/>
    </row>
    <row r="70" spans="2:4">
      <c r="B70" s="905"/>
      <c r="C70" s="904"/>
      <c r="D70" s="904"/>
    </row>
    <row r="71" spans="2:4">
      <c r="B71" s="905"/>
      <c r="C71" s="904"/>
      <c r="D71" s="904"/>
    </row>
    <row r="72" spans="2:4">
      <c r="B72" s="905"/>
      <c r="C72" s="904"/>
      <c r="D72" s="904"/>
    </row>
    <row r="73" spans="2:4">
      <c r="B73" s="905"/>
      <c r="C73" s="904"/>
      <c r="D73" s="904"/>
    </row>
    <row r="74" spans="2:4">
      <c r="B74" s="905"/>
      <c r="C74" s="904"/>
      <c r="D74" s="904"/>
    </row>
    <row r="75" spans="2:4">
      <c r="B75" s="909"/>
      <c r="C75" s="909"/>
      <c r="D75" s="909"/>
    </row>
    <row r="76" spans="2:4">
      <c r="B76" s="909"/>
      <c r="C76" s="904"/>
      <c r="D76" s="909"/>
    </row>
  </sheetData>
  <mergeCells count="1">
    <mergeCell ref="I28:J28"/>
  </mergeCells>
  <pageMargins left="0.23622047244094491" right="0.23622047244094491" top="0.74803149606299213" bottom="0.74803149606299213" header="0.31496062992125984" footer="0.31496062992125984"/>
  <pageSetup paperSize="8" scale="26"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60"/>
  <sheetViews>
    <sheetView zoomScale="80" zoomScaleNormal="80" workbookViewId="0">
      <pane ySplit="6" topLeftCell="A34" activePane="bottomLeft" state="frozen"/>
      <selection activeCell="Q28" sqref="Q28"/>
      <selection pane="bottomLeft" activeCell="AI52" sqref="AI52"/>
    </sheetView>
  </sheetViews>
  <sheetFormatPr defaultColWidth="0" defaultRowHeight="13.5"/>
  <cols>
    <col min="1" max="3" width="1.59765625" style="66" customWidth="1"/>
    <col min="4" max="4" width="1.73046875" style="66" customWidth="1"/>
    <col min="5" max="5" width="23.3984375" style="66" bestFit="1" customWidth="1"/>
    <col min="6" max="6" width="7.3984375" style="66" bestFit="1" customWidth="1"/>
    <col min="7" max="7" width="9.3984375" style="66" bestFit="1" customWidth="1"/>
    <col min="8" max="16" width="1.73046875" style="66" customWidth="1"/>
    <col min="17" max="17" width="34.86328125" style="66" customWidth="1"/>
    <col min="18" max="18" width="35.1328125" style="66" customWidth="1"/>
    <col min="19" max="19" width="21" style="66" bestFit="1" customWidth="1"/>
    <col min="20" max="20" width="29.265625" style="66" customWidth="1"/>
    <col min="21" max="21" width="28.73046875" style="66" bestFit="1" customWidth="1"/>
    <col min="22" max="22" width="10.86328125" style="66" bestFit="1" customWidth="1"/>
    <col min="23" max="25" width="1" style="66" customWidth="1"/>
    <col min="26" max="26" width="10.3984375" style="66" customWidth="1"/>
    <col min="27" max="27" width="0.86328125" style="66" customWidth="1"/>
    <col min="28" max="33" width="2" style="66" customWidth="1"/>
    <col min="34" max="34" width="7.265625" style="66" bestFit="1" customWidth="1"/>
    <col min="35" max="39" width="13.73046875" style="66" customWidth="1"/>
    <col min="40" max="45" width="1.59765625" style="66" customWidth="1"/>
    <col min="46" max="63" width="18.3984375" style="66" hidden="1" customWidth="1"/>
    <col min="64" max="16384" width="14" style="66" hidden="1"/>
  </cols>
  <sheetData>
    <row r="1" spans="1:70" s="817" customFormat="1" ht="23.25">
      <c r="A1" s="89" t="str">
        <f>'1.1 Cover'!A2</f>
        <v>Regulatory Reporting Pack</v>
      </c>
      <c r="B1" s="113"/>
    </row>
    <row r="2" spans="1:70" s="817" customFormat="1" ht="23.25">
      <c r="A2" s="89" t="str">
        <f>'1.1 Cover'!A3</f>
        <v>Price base - 2018/19</v>
      </c>
      <c r="B2" s="113"/>
    </row>
    <row r="3" spans="1:70" s="817" customFormat="1" ht="23.25">
      <c r="A3" s="89" t="str">
        <f>'1.1 Cover'!A4</f>
        <v>Regulatory Year: April 2021 - March 2022</v>
      </c>
      <c r="B3" s="113"/>
    </row>
    <row r="4" spans="1:70" s="817" customFormat="1" ht="23.25">
      <c r="A4" s="89" t="s">
        <v>2293</v>
      </c>
      <c r="B4" s="113"/>
    </row>
    <row r="6" spans="1:70" s="843" customFormat="1" ht="45">
      <c r="A6" s="836"/>
      <c r="B6" s="837"/>
      <c r="C6" s="837"/>
      <c r="D6" s="3"/>
      <c r="E6" s="3" t="s">
        <v>10</v>
      </c>
      <c r="F6" s="3" t="s">
        <v>38</v>
      </c>
      <c r="G6" s="3" t="s">
        <v>68</v>
      </c>
      <c r="H6" s="3"/>
      <c r="I6" s="3"/>
      <c r="J6" s="3"/>
      <c r="K6" s="3"/>
      <c r="L6" s="3"/>
      <c r="M6" s="3"/>
      <c r="N6" s="3"/>
      <c r="O6" s="3"/>
      <c r="P6" s="838"/>
      <c r="Q6" s="838" t="s">
        <v>2765</v>
      </c>
      <c r="R6" s="838" t="s">
        <v>2766</v>
      </c>
      <c r="S6" s="839" t="s">
        <v>1777</v>
      </c>
      <c r="T6" s="839" t="s">
        <v>1778</v>
      </c>
      <c r="U6" s="839" t="s">
        <v>1779</v>
      </c>
      <c r="V6" s="838" t="s">
        <v>2767</v>
      </c>
      <c r="W6" s="838"/>
      <c r="X6" s="838"/>
      <c r="Y6" s="838"/>
      <c r="Z6" s="838"/>
      <c r="AA6" s="840"/>
      <c r="AB6" s="841"/>
      <c r="AC6" s="841"/>
      <c r="AD6" s="841"/>
      <c r="AE6" s="841"/>
      <c r="AF6" s="841"/>
      <c r="AG6" s="841"/>
      <c r="AH6" s="838" t="s">
        <v>5</v>
      </c>
      <c r="AI6" s="842">
        <v>2022</v>
      </c>
      <c r="AJ6" s="842">
        <v>2023</v>
      </c>
      <c r="AK6" s="842">
        <v>2024</v>
      </c>
      <c r="AL6" s="842">
        <v>2025</v>
      </c>
      <c r="AM6" s="842">
        <v>2026</v>
      </c>
      <c r="AN6" s="836"/>
      <c r="AO6" s="836"/>
      <c r="AP6" s="836"/>
      <c r="AQ6" s="836"/>
      <c r="AR6" s="836"/>
      <c r="AS6" s="836"/>
      <c r="AT6" s="836"/>
      <c r="AU6" s="836"/>
      <c r="AV6" s="836"/>
      <c r="AW6" s="836"/>
      <c r="AX6" s="836"/>
      <c r="AY6" s="836"/>
      <c r="AZ6" s="836"/>
      <c r="BA6" s="836"/>
      <c r="BB6" s="836"/>
      <c r="BC6" s="836"/>
      <c r="BD6" s="836"/>
      <c r="BE6" s="836"/>
      <c r="BF6" s="836"/>
      <c r="BG6" s="836"/>
      <c r="BH6" s="836"/>
      <c r="BI6" s="836"/>
      <c r="BJ6" s="836"/>
      <c r="BK6" s="836"/>
    </row>
    <row r="8" spans="1:70" s="1" customFormat="1" ht="20.25">
      <c r="B8" s="844" t="s">
        <v>2772</v>
      </c>
    </row>
    <row r="10" spans="1:70" ht="13.9">
      <c r="A10" s="845"/>
      <c r="B10" s="845"/>
      <c r="C10" s="846" t="s">
        <v>2773</v>
      </c>
      <c r="D10" s="846"/>
      <c r="E10" s="846"/>
      <c r="F10" s="846"/>
      <c r="G10" s="846"/>
      <c r="H10" s="846"/>
      <c r="I10" s="846"/>
      <c r="J10" s="846"/>
      <c r="K10" s="846"/>
      <c r="L10" s="846"/>
      <c r="M10" s="846"/>
      <c r="N10" s="846"/>
      <c r="O10" s="847"/>
      <c r="P10" s="847"/>
      <c r="Q10" s="847"/>
      <c r="R10" s="847"/>
      <c r="S10" s="847"/>
      <c r="T10" s="847"/>
      <c r="U10" s="847"/>
      <c r="V10" s="847"/>
      <c r="W10" s="847"/>
      <c r="X10" s="847"/>
      <c r="Y10" s="847"/>
      <c r="Z10" s="847"/>
      <c r="AA10" s="847"/>
      <c r="AB10" s="847"/>
      <c r="AC10" s="847"/>
      <c r="AD10" s="847"/>
      <c r="AE10" s="847"/>
      <c r="AF10" s="847"/>
      <c r="AG10" s="847"/>
      <c r="AH10" s="847"/>
      <c r="AI10" s="847"/>
      <c r="AJ10" s="847"/>
      <c r="AK10" s="847"/>
      <c r="AL10" s="847"/>
      <c r="AM10" s="847"/>
    </row>
    <row r="11" spans="1:70" ht="15">
      <c r="A11" s="848"/>
      <c r="B11" s="849"/>
      <c r="C11" s="849"/>
      <c r="D11" s="850"/>
      <c r="E11" s="850" t="s">
        <v>2774</v>
      </c>
      <c r="F11" s="850"/>
      <c r="G11" s="850" t="s">
        <v>149</v>
      </c>
      <c r="H11" s="850"/>
      <c r="I11" s="850"/>
      <c r="J11" s="850"/>
      <c r="K11" s="850"/>
      <c r="L11" s="850"/>
      <c r="M11" s="850"/>
      <c r="N11" s="850"/>
      <c r="O11" s="850"/>
      <c r="P11" s="848"/>
      <c r="Q11" s="850" t="s">
        <v>1092</v>
      </c>
      <c r="R11" s="848"/>
      <c r="S11" s="81"/>
      <c r="T11" s="81"/>
      <c r="U11" s="81"/>
      <c r="V11" s="836" t="s">
        <v>12</v>
      </c>
      <c r="W11" s="836"/>
      <c r="X11" s="836"/>
      <c r="Y11" s="836"/>
      <c r="Z11" s="836"/>
      <c r="AA11" s="852"/>
      <c r="AB11" s="848" t="s">
        <v>0</v>
      </c>
      <c r="AC11" s="848"/>
      <c r="AD11" s="848"/>
      <c r="AE11" s="848"/>
      <c r="AF11" s="848"/>
      <c r="AG11" s="848"/>
      <c r="AH11" s="848" t="s">
        <v>2</v>
      </c>
      <c r="AI11" s="81"/>
      <c r="AJ11" s="81"/>
      <c r="AK11" s="81"/>
      <c r="AL11" s="81"/>
      <c r="AM11" s="81"/>
      <c r="AN11" s="848"/>
      <c r="AO11" s="848"/>
      <c r="AP11" s="848"/>
      <c r="AQ11" s="848"/>
      <c r="AR11" s="848"/>
      <c r="AS11" s="853"/>
      <c r="AT11" s="853"/>
      <c r="AU11" s="853"/>
      <c r="AV11" s="853"/>
      <c r="AW11" s="853"/>
      <c r="AX11" s="853"/>
      <c r="AY11" s="848"/>
      <c r="AZ11" s="848"/>
      <c r="BA11" s="848"/>
      <c r="BB11" s="848"/>
      <c r="BC11" s="848"/>
      <c r="BD11" s="848"/>
      <c r="BE11" s="848"/>
      <c r="BF11" s="848"/>
      <c r="BG11" s="853"/>
      <c r="BH11" s="853"/>
      <c r="BI11" s="853"/>
      <c r="BJ11" s="853"/>
      <c r="BK11" s="853"/>
    </row>
    <row r="12" spans="1:70" ht="15">
      <c r="A12" s="848"/>
      <c r="B12" s="849"/>
      <c r="C12" s="849"/>
      <c r="D12" s="850"/>
      <c r="E12" s="850" t="s">
        <v>2774</v>
      </c>
      <c r="F12" s="850"/>
      <c r="G12" s="850" t="s">
        <v>149</v>
      </c>
      <c r="H12" s="850"/>
      <c r="I12" s="850"/>
      <c r="J12" s="850"/>
      <c r="K12" s="850"/>
      <c r="L12" s="850"/>
      <c r="M12" s="850"/>
      <c r="N12" s="850"/>
      <c r="O12" s="850"/>
      <c r="P12" s="848"/>
      <c r="Q12" s="850" t="s">
        <v>1092</v>
      </c>
      <c r="R12" s="848"/>
      <c r="S12" s="81"/>
      <c r="T12" s="81"/>
      <c r="U12" s="81"/>
      <c r="V12" s="836" t="s">
        <v>12</v>
      </c>
      <c r="W12" s="836"/>
      <c r="X12" s="836"/>
      <c r="Y12" s="836"/>
      <c r="Z12" s="836"/>
      <c r="AA12" s="852"/>
      <c r="AB12" s="848" t="s">
        <v>0</v>
      </c>
      <c r="AC12" s="848"/>
      <c r="AD12" s="848"/>
      <c r="AE12" s="848"/>
      <c r="AF12" s="848"/>
      <c r="AG12" s="848"/>
      <c r="AH12" s="848" t="s">
        <v>2</v>
      </c>
      <c r="AI12" s="81"/>
      <c r="AJ12" s="81"/>
      <c r="AK12" s="81"/>
      <c r="AL12" s="81"/>
      <c r="AM12" s="81"/>
      <c r="AN12" s="848"/>
      <c r="AO12" s="848"/>
      <c r="AP12" s="848"/>
      <c r="AQ12" s="848"/>
      <c r="AR12" s="848"/>
      <c r="AS12" s="853"/>
      <c r="AT12" s="853"/>
      <c r="AU12" s="853"/>
      <c r="AV12" s="853"/>
      <c r="AW12" s="853"/>
      <c r="AX12" s="853"/>
      <c r="AY12" s="848"/>
      <c r="AZ12" s="848"/>
      <c r="BA12" s="848"/>
      <c r="BB12" s="848"/>
      <c r="BC12" s="848"/>
      <c r="BD12" s="848"/>
      <c r="BE12" s="848"/>
      <c r="BF12" s="848"/>
      <c r="BG12" s="853"/>
      <c r="BH12" s="853"/>
      <c r="BI12" s="853"/>
      <c r="BJ12" s="853"/>
      <c r="BK12" s="853"/>
    </row>
    <row r="13" spans="1:70" ht="15">
      <c r="A13" s="848"/>
      <c r="B13" s="849"/>
      <c r="C13" s="849"/>
      <c r="D13" s="850"/>
      <c r="E13" s="850" t="s">
        <v>2774</v>
      </c>
      <c r="F13" s="850"/>
      <c r="G13" s="850" t="s">
        <v>149</v>
      </c>
      <c r="H13" s="850"/>
      <c r="I13" s="850"/>
      <c r="J13" s="850"/>
      <c r="K13" s="850"/>
      <c r="L13" s="850"/>
      <c r="M13" s="850"/>
      <c r="N13" s="850"/>
      <c r="O13" s="850"/>
      <c r="P13" s="848"/>
      <c r="Q13" s="850" t="s">
        <v>1092</v>
      </c>
      <c r="R13" s="848"/>
      <c r="S13" s="81"/>
      <c r="T13" s="81"/>
      <c r="U13" s="81"/>
      <c r="V13" s="836" t="s">
        <v>12</v>
      </c>
      <c r="W13" s="836"/>
      <c r="X13" s="836"/>
      <c r="Y13" s="836"/>
      <c r="Z13" s="836"/>
      <c r="AA13" s="852"/>
      <c r="AB13" s="848" t="s">
        <v>0</v>
      </c>
      <c r="AC13" s="848"/>
      <c r="AD13" s="848"/>
      <c r="AE13" s="848"/>
      <c r="AF13" s="848"/>
      <c r="AG13" s="848"/>
      <c r="AH13" s="848" t="s">
        <v>2</v>
      </c>
      <c r="AI13" s="81"/>
      <c r="AJ13" s="81"/>
      <c r="AK13" s="81"/>
      <c r="AL13" s="81"/>
      <c r="AM13" s="81"/>
      <c r="AN13" s="848"/>
      <c r="AO13" s="848"/>
      <c r="AP13" s="848"/>
      <c r="AQ13" s="848"/>
      <c r="AR13" s="848"/>
      <c r="AS13" s="853"/>
      <c r="AT13" s="853"/>
      <c r="AU13" s="853"/>
      <c r="AV13" s="853"/>
      <c r="AW13" s="853"/>
      <c r="AX13" s="853"/>
      <c r="AY13" s="848"/>
      <c r="AZ13" s="848"/>
      <c r="BA13" s="848"/>
      <c r="BB13" s="848"/>
      <c r="BC13" s="848"/>
      <c r="BD13" s="848"/>
      <c r="BE13" s="848"/>
      <c r="BF13" s="848"/>
      <c r="BG13" s="853"/>
      <c r="BH13" s="853"/>
      <c r="BI13" s="853"/>
      <c r="BJ13" s="853"/>
      <c r="BK13" s="853"/>
    </row>
    <row r="14" spans="1:70" ht="15">
      <c r="A14" s="848"/>
      <c r="B14" s="849"/>
      <c r="C14" s="849"/>
      <c r="D14" s="850"/>
      <c r="E14" s="850" t="s">
        <v>2774</v>
      </c>
      <c r="F14" s="850"/>
      <c r="G14" s="850" t="s">
        <v>149</v>
      </c>
      <c r="H14" s="850"/>
      <c r="I14" s="850"/>
      <c r="J14" s="850"/>
      <c r="K14" s="850"/>
      <c r="L14" s="850"/>
      <c r="M14" s="850"/>
      <c r="N14" s="850"/>
      <c r="O14" s="850"/>
      <c r="P14" s="848"/>
      <c r="Q14" s="850" t="s">
        <v>1092</v>
      </c>
      <c r="R14" s="848"/>
      <c r="S14" s="81"/>
      <c r="T14" s="81"/>
      <c r="U14" s="81"/>
      <c r="V14" s="836" t="s">
        <v>12</v>
      </c>
      <c r="W14" s="836"/>
      <c r="X14" s="836"/>
      <c r="Y14" s="836"/>
      <c r="Z14" s="836"/>
      <c r="AA14" s="852"/>
      <c r="AB14" s="848" t="s">
        <v>0</v>
      </c>
      <c r="AC14" s="848"/>
      <c r="AD14" s="848"/>
      <c r="AE14" s="848"/>
      <c r="AF14" s="848"/>
      <c r="AG14" s="848"/>
      <c r="AH14" s="848" t="s">
        <v>2</v>
      </c>
      <c r="AI14" s="81"/>
      <c r="AJ14" s="81"/>
      <c r="AK14" s="81"/>
      <c r="AL14" s="81"/>
      <c r="AM14" s="81"/>
      <c r="AN14" s="848"/>
      <c r="AO14" s="848"/>
      <c r="AP14" s="848"/>
      <c r="AQ14" s="848"/>
      <c r="AR14" s="848"/>
      <c r="AS14" s="853"/>
      <c r="AT14" s="853"/>
      <c r="AU14" s="853"/>
      <c r="AV14" s="853"/>
      <c r="AW14" s="853"/>
      <c r="AX14" s="853"/>
      <c r="AY14" s="848"/>
      <c r="AZ14" s="848"/>
      <c r="BA14" s="848"/>
      <c r="BB14" s="848"/>
      <c r="BC14" s="848"/>
      <c r="BD14" s="848"/>
      <c r="BE14" s="848"/>
      <c r="BF14" s="848"/>
      <c r="BG14" s="853"/>
      <c r="BH14" s="853"/>
      <c r="BI14" s="853"/>
      <c r="BJ14" s="853"/>
      <c r="BK14" s="853"/>
    </row>
    <row r="15" spans="1:70" s="845" customFormat="1">
      <c r="B15" s="854"/>
      <c r="C15" s="854"/>
      <c r="D15" s="850"/>
      <c r="E15" s="850" t="s">
        <v>2774</v>
      </c>
      <c r="F15" s="855"/>
      <c r="G15" s="850" t="s">
        <v>149</v>
      </c>
      <c r="H15" s="855"/>
      <c r="I15" s="855"/>
      <c r="J15" s="855"/>
      <c r="K15" s="855"/>
      <c r="L15" s="855"/>
      <c r="M15" s="855"/>
      <c r="N15" s="855"/>
      <c r="O15" s="855"/>
      <c r="P15" s="848"/>
      <c r="Q15" s="850" t="s">
        <v>1092</v>
      </c>
      <c r="R15" s="848"/>
      <c r="S15" s="81"/>
      <c r="T15" s="81"/>
      <c r="U15" s="81"/>
      <c r="V15" s="854" t="s">
        <v>12</v>
      </c>
      <c r="W15" s="854"/>
      <c r="X15" s="854"/>
      <c r="Y15" s="854"/>
      <c r="Z15" s="854"/>
      <c r="AA15" s="854"/>
      <c r="AB15" s="854" t="s">
        <v>0</v>
      </c>
      <c r="AC15" s="854"/>
      <c r="AD15" s="854"/>
      <c r="AE15" s="855"/>
      <c r="AF15" s="855"/>
      <c r="AG15" s="855"/>
      <c r="AH15" s="855" t="s">
        <v>2</v>
      </c>
      <c r="AI15" s="81"/>
      <c r="AJ15" s="81"/>
      <c r="AK15" s="81"/>
      <c r="AL15" s="81"/>
      <c r="AM15" s="81"/>
      <c r="AN15" s="855"/>
      <c r="AO15" s="855"/>
      <c r="AP15" s="855"/>
      <c r="AQ15" s="855"/>
      <c r="AR15" s="855"/>
      <c r="AS15" s="855"/>
      <c r="AT15" s="855"/>
      <c r="AU15" s="856"/>
      <c r="AV15" s="856"/>
      <c r="AW15" s="856"/>
      <c r="AY15" s="854"/>
      <c r="AZ15" s="856"/>
      <c r="BA15" s="855"/>
      <c r="BB15" s="855"/>
      <c r="BC15" s="855"/>
      <c r="BD15" s="855"/>
      <c r="BE15" s="855"/>
      <c r="BF15" s="855"/>
      <c r="BG15" s="855"/>
      <c r="BH15" s="855"/>
      <c r="BI15" s="856"/>
      <c r="BJ15" s="856"/>
      <c r="BK15" s="856"/>
      <c r="BL15" s="856"/>
      <c r="BM15" s="856"/>
      <c r="BN15" s="856"/>
      <c r="BO15" s="856"/>
      <c r="BP15" s="856"/>
      <c r="BQ15" s="856"/>
      <c r="BR15" s="855"/>
    </row>
    <row r="16" spans="1:70" s="845" customFormat="1">
      <c r="D16" s="850"/>
      <c r="E16" s="850" t="s">
        <v>2774</v>
      </c>
      <c r="F16" s="855"/>
      <c r="G16" s="850" t="s">
        <v>149</v>
      </c>
      <c r="H16" s="855"/>
      <c r="I16" s="855"/>
      <c r="J16" s="855"/>
      <c r="K16" s="855"/>
      <c r="L16" s="855"/>
      <c r="M16" s="855"/>
      <c r="N16" s="855"/>
      <c r="O16" s="855"/>
      <c r="P16" s="848"/>
      <c r="Q16" s="850" t="s">
        <v>1092</v>
      </c>
      <c r="R16" s="848"/>
      <c r="S16" s="81"/>
      <c r="T16" s="81"/>
      <c r="U16" s="81"/>
      <c r="V16" s="857" t="s">
        <v>12</v>
      </c>
      <c r="W16" s="857"/>
      <c r="X16" s="857"/>
      <c r="Y16" s="857"/>
      <c r="Z16" s="857"/>
      <c r="AA16" s="854"/>
      <c r="AB16" s="856" t="s">
        <v>0</v>
      </c>
      <c r="AC16" s="856"/>
      <c r="AD16" s="856"/>
      <c r="AE16" s="855"/>
      <c r="AF16" s="855"/>
      <c r="AG16" s="855"/>
      <c r="AH16" s="855" t="s">
        <v>2</v>
      </c>
      <c r="AI16" s="81"/>
      <c r="AJ16" s="81"/>
      <c r="AK16" s="81"/>
      <c r="AL16" s="81"/>
      <c r="AM16" s="81"/>
      <c r="AN16" s="855"/>
      <c r="AO16" s="855"/>
      <c r="AP16" s="855"/>
      <c r="AQ16" s="855"/>
      <c r="AR16" s="855"/>
      <c r="AS16" s="855"/>
      <c r="AT16" s="855"/>
      <c r="AU16" s="856"/>
      <c r="AV16" s="856"/>
      <c r="AW16" s="856"/>
      <c r="AY16" s="854"/>
      <c r="AZ16" s="856"/>
      <c r="BA16" s="855"/>
      <c r="BB16" s="855"/>
      <c r="BC16" s="855"/>
      <c r="BD16" s="855"/>
      <c r="BE16" s="855"/>
      <c r="BF16" s="855"/>
      <c r="BG16" s="855"/>
      <c r="BH16" s="855"/>
      <c r="BI16" s="856"/>
      <c r="BJ16" s="856"/>
      <c r="BK16" s="856"/>
      <c r="BL16" s="856"/>
      <c r="BM16" s="856"/>
      <c r="BN16" s="856"/>
      <c r="BO16" s="856"/>
      <c r="BP16" s="856"/>
      <c r="BQ16" s="856"/>
      <c r="BR16" s="855"/>
    </row>
    <row r="17" spans="4:70" s="845" customFormat="1">
      <c r="D17" s="850"/>
      <c r="E17" s="850" t="s">
        <v>2774</v>
      </c>
      <c r="F17" s="855"/>
      <c r="G17" s="850" t="s">
        <v>149</v>
      </c>
      <c r="H17" s="855"/>
      <c r="I17" s="855"/>
      <c r="J17" s="855"/>
      <c r="K17" s="855"/>
      <c r="L17" s="855"/>
      <c r="M17" s="855"/>
      <c r="N17" s="855"/>
      <c r="O17" s="855"/>
      <c r="P17" s="848"/>
      <c r="Q17" s="850" t="s">
        <v>1092</v>
      </c>
      <c r="R17" s="848"/>
      <c r="S17" s="81"/>
      <c r="T17" s="81"/>
      <c r="U17" s="81"/>
      <c r="V17" s="857" t="s">
        <v>12</v>
      </c>
      <c r="W17" s="857"/>
      <c r="X17" s="857"/>
      <c r="Y17" s="857"/>
      <c r="Z17" s="857"/>
      <c r="AA17" s="854"/>
      <c r="AB17" s="856" t="s">
        <v>0</v>
      </c>
      <c r="AC17" s="856"/>
      <c r="AD17" s="856"/>
      <c r="AE17" s="855"/>
      <c r="AF17" s="855"/>
      <c r="AG17" s="855"/>
      <c r="AH17" s="855" t="s">
        <v>2</v>
      </c>
      <c r="AI17" s="81"/>
      <c r="AJ17" s="81"/>
      <c r="AK17" s="81"/>
      <c r="AL17" s="81"/>
      <c r="AM17" s="81"/>
      <c r="AN17" s="855"/>
      <c r="AO17" s="855"/>
      <c r="AP17" s="855"/>
      <c r="AQ17" s="855"/>
      <c r="AR17" s="855"/>
      <c r="AS17" s="855"/>
      <c r="AT17" s="855"/>
      <c r="AU17" s="856"/>
      <c r="AV17" s="856"/>
      <c r="AW17" s="856"/>
      <c r="AY17" s="854"/>
      <c r="AZ17" s="856"/>
      <c r="BA17" s="855"/>
      <c r="BB17" s="855"/>
      <c r="BC17" s="855"/>
      <c r="BD17" s="855"/>
      <c r="BE17" s="855"/>
      <c r="BF17" s="855"/>
      <c r="BG17" s="855"/>
      <c r="BH17" s="855"/>
      <c r="BI17" s="856"/>
      <c r="BJ17" s="856"/>
      <c r="BK17" s="856"/>
      <c r="BL17" s="856"/>
      <c r="BM17" s="856"/>
      <c r="BN17" s="856"/>
      <c r="BO17" s="856"/>
      <c r="BP17" s="856"/>
      <c r="BQ17" s="856"/>
      <c r="BR17" s="855"/>
    </row>
    <row r="18" spans="4:70" s="845" customFormat="1">
      <c r="D18" s="850"/>
      <c r="E18" s="850" t="s">
        <v>2774</v>
      </c>
      <c r="F18" s="855"/>
      <c r="G18" s="850" t="s">
        <v>149</v>
      </c>
      <c r="H18" s="855"/>
      <c r="I18" s="855"/>
      <c r="J18" s="855"/>
      <c r="K18" s="855"/>
      <c r="L18" s="855"/>
      <c r="M18" s="855"/>
      <c r="N18" s="855"/>
      <c r="O18" s="855"/>
      <c r="P18" s="848"/>
      <c r="Q18" s="850" t="s">
        <v>1092</v>
      </c>
      <c r="R18" s="848"/>
      <c r="S18" s="81"/>
      <c r="T18" s="81"/>
      <c r="U18" s="81"/>
      <c r="V18" s="857" t="s">
        <v>12</v>
      </c>
      <c r="W18" s="857"/>
      <c r="X18" s="857"/>
      <c r="Y18" s="857"/>
      <c r="Z18" s="857"/>
      <c r="AA18" s="854"/>
      <c r="AB18" s="856"/>
      <c r="AC18" s="856"/>
      <c r="AD18" s="856"/>
      <c r="AE18" s="855"/>
      <c r="AF18" s="855"/>
      <c r="AG18" s="855"/>
      <c r="AH18" s="855" t="s">
        <v>2</v>
      </c>
      <c r="AI18" s="81"/>
      <c r="AJ18" s="81"/>
      <c r="AK18" s="81"/>
      <c r="AL18" s="81"/>
      <c r="AM18" s="81"/>
      <c r="AN18" s="855"/>
      <c r="AO18" s="855"/>
      <c r="AP18" s="855"/>
      <c r="AQ18" s="855"/>
      <c r="AR18" s="855"/>
      <c r="AS18" s="855"/>
      <c r="AT18" s="855"/>
      <c r="AU18" s="856"/>
      <c r="AV18" s="856"/>
      <c r="AW18" s="856"/>
      <c r="AY18" s="854"/>
      <c r="AZ18" s="856"/>
      <c r="BA18" s="855"/>
      <c r="BB18" s="855"/>
      <c r="BC18" s="855"/>
      <c r="BD18" s="855"/>
      <c r="BE18" s="855"/>
      <c r="BF18" s="855"/>
      <c r="BG18" s="855"/>
      <c r="BH18" s="855"/>
      <c r="BI18" s="856"/>
      <c r="BJ18" s="856"/>
      <c r="BK18" s="856"/>
      <c r="BL18" s="856"/>
      <c r="BM18" s="856"/>
      <c r="BN18" s="856"/>
      <c r="BO18" s="856"/>
      <c r="BP18" s="856"/>
      <c r="BQ18" s="856"/>
      <c r="BR18" s="855"/>
    </row>
    <row r="19" spans="4:70" s="845" customFormat="1">
      <c r="D19" s="850"/>
      <c r="E19" s="850" t="s">
        <v>2774</v>
      </c>
      <c r="F19" s="855"/>
      <c r="G19" s="850" t="s">
        <v>149</v>
      </c>
      <c r="H19" s="855"/>
      <c r="I19" s="855"/>
      <c r="J19" s="855"/>
      <c r="K19" s="855"/>
      <c r="L19" s="855"/>
      <c r="M19" s="855"/>
      <c r="N19" s="855"/>
      <c r="O19" s="855"/>
      <c r="P19" s="848"/>
      <c r="Q19" s="850" t="s">
        <v>1092</v>
      </c>
      <c r="R19" s="848"/>
      <c r="S19" s="81"/>
      <c r="T19" s="81"/>
      <c r="U19" s="81"/>
      <c r="V19" s="857" t="s">
        <v>12</v>
      </c>
      <c r="W19" s="857"/>
      <c r="X19" s="857"/>
      <c r="Y19" s="857"/>
      <c r="Z19" s="857"/>
      <c r="AA19" s="854"/>
      <c r="AB19" s="856"/>
      <c r="AC19" s="856"/>
      <c r="AD19" s="856"/>
      <c r="AE19" s="855"/>
      <c r="AF19" s="855"/>
      <c r="AG19" s="855"/>
      <c r="AH19" s="855" t="s">
        <v>2</v>
      </c>
      <c r="AI19" s="81"/>
      <c r="AJ19" s="81"/>
      <c r="AK19" s="81"/>
      <c r="AL19" s="81"/>
      <c r="AM19" s="81"/>
      <c r="AN19" s="855"/>
      <c r="AO19" s="855"/>
      <c r="AP19" s="855"/>
      <c r="AQ19" s="855"/>
      <c r="AR19" s="855"/>
      <c r="AS19" s="855"/>
      <c r="AT19" s="855"/>
      <c r="AU19" s="856"/>
      <c r="AV19" s="856"/>
      <c r="AW19" s="856"/>
      <c r="AY19" s="854"/>
      <c r="AZ19" s="856"/>
      <c r="BA19" s="855"/>
      <c r="BB19" s="855"/>
      <c r="BC19" s="855"/>
      <c r="BD19" s="855"/>
      <c r="BE19" s="855"/>
      <c r="BF19" s="855"/>
      <c r="BG19" s="855"/>
      <c r="BH19" s="855"/>
      <c r="BI19" s="856"/>
      <c r="BJ19" s="856"/>
      <c r="BK19" s="856"/>
      <c r="BL19" s="856"/>
      <c r="BM19" s="856"/>
      <c r="BN19" s="856"/>
      <c r="BO19" s="856"/>
      <c r="BP19" s="856"/>
      <c r="BQ19" s="856"/>
      <c r="BR19" s="855"/>
    </row>
    <row r="20" spans="4:70" s="845" customFormat="1">
      <c r="D20" s="850"/>
      <c r="E20" s="850" t="s">
        <v>2774</v>
      </c>
      <c r="F20" s="855"/>
      <c r="G20" s="850" t="s">
        <v>149</v>
      </c>
      <c r="H20" s="855"/>
      <c r="I20" s="855"/>
      <c r="J20" s="855"/>
      <c r="K20" s="855"/>
      <c r="L20" s="855"/>
      <c r="M20" s="855"/>
      <c r="N20" s="855"/>
      <c r="O20" s="855"/>
      <c r="P20" s="848"/>
      <c r="Q20" s="850" t="s">
        <v>1092</v>
      </c>
      <c r="R20" s="848"/>
      <c r="S20" s="81"/>
      <c r="T20" s="81"/>
      <c r="U20" s="81"/>
      <c r="V20" s="857" t="s">
        <v>12</v>
      </c>
      <c r="W20" s="857"/>
      <c r="X20" s="857"/>
      <c r="Y20" s="857"/>
      <c r="Z20" s="857"/>
      <c r="AA20" s="854"/>
      <c r="AB20" s="856"/>
      <c r="AC20" s="856"/>
      <c r="AD20" s="856"/>
      <c r="AE20" s="855"/>
      <c r="AF20" s="855"/>
      <c r="AG20" s="855"/>
      <c r="AH20" s="855" t="s">
        <v>2</v>
      </c>
      <c r="AI20" s="81"/>
      <c r="AJ20" s="81"/>
      <c r="AK20" s="81"/>
      <c r="AL20" s="81"/>
      <c r="AM20" s="81"/>
      <c r="AN20" s="855"/>
      <c r="AO20" s="855"/>
      <c r="AP20" s="855"/>
      <c r="AQ20" s="855"/>
      <c r="AR20" s="855"/>
      <c r="AS20" s="855"/>
      <c r="AT20" s="855"/>
      <c r="AU20" s="856"/>
      <c r="AV20" s="856"/>
      <c r="AW20" s="856"/>
      <c r="AY20" s="854"/>
      <c r="AZ20" s="856"/>
      <c r="BA20" s="855"/>
      <c r="BB20" s="855"/>
      <c r="BC20" s="855"/>
      <c r="BD20" s="855"/>
      <c r="BE20" s="855"/>
      <c r="BF20" s="855"/>
      <c r="BG20" s="855"/>
      <c r="BH20" s="855"/>
      <c r="BI20" s="856"/>
      <c r="BJ20" s="856"/>
      <c r="BK20" s="856"/>
      <c r="BL20" s="856"/>
      <c r="BM20" s="856"/>
      <c r="BN20" s="856"/>
      <c r="BO20" s="856"/>
      <c r="BP20" s="856"/>
      <c r="BQ20" s="856"/>
      <c r="BR20" s="855"/>
    </row>
    <row r="21" spans="4:70" s="845" customFormat="1">
      <c r="D21" s="850"/>
      <c r="E21" s="850" t="s">
        <v>2774</v>
      </c>
      <c r="F21" s="855"/>
      <c r="G21" s="850" t="s">
        <v>149</v>
      </c>
      <c r="H21" s="855"/>
      <c r="I21" s="855"/>
      <c r="J21" s="855"/>
      <c r="K21" s="855"/>
      <c r="L21" s="855"/>
      <c r="M21" s="855"/>
      <c r="N21" s="855"/>
      <c r="O21" s="855"/>
      <c r="P21" s="848"/>
      <c r="Q21" s="850" t="s">
        <v>1092</v>
      </c>
      <c r="R21" s="848"/>
      <c r="S21" s="81"/>
      <c r="T21" s="81"/>
      <c r="U21" s="81"/>
      <c r="V21" s="857" t="s">
        <v>12</v>
      </c>
      <c r="W21" s="857"/>
      <c r="X21" s="857"/>
      <c r="Y21" s="857"/>
      <c r="Z21" s="857"/>
      <c r="AA21" s="854"/>
      <c r="AB21" s="856"/>
      <c r="AC21" s="856"/>
      <c r="AD21" s="856"/>
      <c r="AE21" s="855"/>
      <c r="AF21" s="855"/>
      <c r="AG21" s="855"/>
      <c r="AH21" s="855" t="s">
        <v>2</v>
      </c>
      <c r="AI21" s="81"/>
      <c r="AJ21" s="81"/>
      <c r="AK21" s="81"/>
      <c r="AL21" s="81"/>
      <c r="AM21" s="81"/>
      <c r="AN21" s="855"/>
      <c r="AO21" s="855"/>
      <c r="AP21" s="855"/>
      <c r="AQ21" s="855"/>
      <c r="AR21" s="855"/>
      <c r="AS21" s="855"/>
      <c r="AT21" s="855"/>
      <c r="AU21" s="856"/>
      <c r="AV21" s="856"/>
      <c r="AW21" s="856"/>
      <c r="AY21" s="854"/>
      <c r="AZ21" s="856"/>
      <c r="BA21" s="855"/>
      <c r="BB21" s="855"/>
      <c r="BC21" s="855"/>
      <c r="BD21" s="855"/>
      <c r="BE21" s="855"/>
      <c r="BF21" s="855"/>
      <c r="BG21" s="855"/>
      <c r="BH21" s="855"/>
      <c r="BI21" s="856"/>
      <c r="BJ21" s="856"/>
      <c r="BK21" s="856"/>
      <c r="BL21" s="856"/>
      <c r="BM21" s="856"/>
      <c r="BN21" s="856"/>
      <c r="BO21" s="856"/>
      <c r="BP21" s="856"/>
      <c r="BQ21" s="856"/>
      <c r="BR21" s="855"/>
    </row>
    <row r="22" spans="4:70" s="845" customFormat="1">
      <c r="D22" s="850"/>
      <c r="E22" s="850" t="s">
        <v>2774</v>
      </c>
      <c r="F22" s="855"/>
      <c r="G22" s="850" t="s">
        <v>149</v>
      </c>
      <c r="H22" s="855"/>
      <c r="I22" s="855"/>
      <c r="J22" s="855"/>
      <c r="K22" s="855"/>
      <c r="L22" s="855"/>
      <c r="M22" s="855"/>
      <c r="N22" s="855"/>
      <c r="O22" s="855"/>
      <c r="P22" s="848"/>
      <c r="Q22" s="850" t="s">
        <v>1092</v>
      </c>
      <c r="R22" s="848"/>
      <c r="S22" s="81"/>
      <c r="T22" s="81"/>
      <c r="U22" s="81"/>
      <c r="V22" s="857" t="s">
        <v>12</v>
      </c>
      <c r="W22" s="857"/>
      <c r="X22" s="857"/>
      <c r="Y22" s="857"/>
      <c r="Z22" s="857"/>
      <c r="AA22" s="854"/>
      <c r="AB22" s="856"/>
      <c r="AC22" s="856"/>
      <c r="AD22" s="856"/>
      <c r="AE22" s="855"/>
      <c r="AF22" s="855"/>
      <c r="AG22" s="855"/>
      <c r="AH22" s="855" t="s">
        <v>2</v>
      </c>
      <c r="AI22" s="81"/>
      <c r="AJ22" s="81"/>
      <c r="AK22" s="81"/>
      <c r="AL22" s="81"/>
      <c r="AM22" s="81"/>
      <c r="AN22" s="855"/>
      <c r="AO22" s="855"/>
      <c r="AP22" s="855"/>
      <c r="AQ22" s="855"/>
      <c r="AR22" s="855"/>
      <c r="AS22" s="855"/>
      <c r="AT22" s="855"/>
      <c r="AU22" s="856"/>
      <c r="AV22" s="856"/>
      <c r="AW22" s="856"/>
      <c r="AY22" s="854"/>
      <c r="AZ22" s="856"/>
      <c r="BA22" s="855"/>
      <c r="BB22" s="855"/>
      <c r="BC22" s="855"/>
      <c r="BD22" s="855"/>
      <c r="BE22" s="855"/>
      <c r="BF22" s="855"/>
      <c r="BG22" s="855"/>
      <c r="BH22" s="855"/>
      <c r="BI22" s="856"/>
      <c r="BJ22" s="856"/>
      <c r="BK22" s="856"/>
      <c r="BL22" s="856"/>
      <c r="BM22" s="856"/>
      <c r="BN22" s="856"/>
      <c r="BO22" s="856"/>
      <c r="BP22" s="856"/>
      <c r="BQ22" s="856"/>
      <c r="BR22" s="855"/>
    </row>
    <row r="23" spans="4:70" s="845" customFormat="1">
      <c r="D23" s="850"/>
      <c r="E23" s="850" t="s">
        <v>2774</v>
      </c>
      <c r="F23" s="855"/>
      <c r="G23" s="850" t="s">
        <v>149</v>
      </c>
      <c r="H23" s="855"/>
      <c r="I23" s="855"/>
      <c r="J23" s="855"/>
      <c r="K23" s="855"/>
      <c r="L23" s="855"/>
      <c r="M23" s="855"/>
      <c r="N23" s="855"/>
      <c r="O23" s="855"/>
      <c r="P23" s="848"/>
      <c r="Q23" s="850" t="s">
        <v>1092</v>
      </c>
      <c r="R23" s="848"/>
      <c r="S23" s="81"/>
      <c r="T23" s="81"/>
      <c r="U23" s="81"/>
      <c r="V23" s="857" t="s">
        <v>12</v>
      </c>
      <c r="W23" s="857"/>
      <c r="X23" s="857"/>
      <c r="Y23" s="857"/>
      <c r="Z23" s="857"/>
      <c r="AA23" s="854"/>
      <c r="AB23" s="856"/>
      <c r="AC23" s="856"/>
      <c r="AD23" s="856"/>
      <c r="AE23" s="855"/>
      <c r="AF23" s="855"/>
      <c r="AG23" s="855"/>
      <c r="AH23" s="855" t="s">
        <v>2</v>
      </c>
      <c r="AI23" s="81"/>
      <c r="AJ23" s="81"/>
      <c r="AK23" s="81"/>
      <c r="AL23" s="81"/>
      <c r="AM23" s="81"/>
      <c r="AN23" s="855"/>
      <c r="AO23" s="855"/>
      <c r="AP23" s="855"/>
      <c r="AQ23" s="855"/>
      <c r="AR23" s="855"/>
      <c r="AS23" s="855"/>
      <c r="AT23" s="855"/>
      <c r="AU23" s="856"/>
      <c r="AV23" s="856"/>
      <c r="AW23" s="856"/>
      <c r="AY23" s="854"/>
      <c r="AZ23" s="856"/>
      <c r="BA23" s="855"/>
      <c r="BB23" s="855"/>
      <c r="BC23" s="855"/>
      <c r="BD23" s="855"/>
      <c r="BE23" s="855"/>
      <c r="BF23" s="855"/>
      <c r="BG23" s="855"/>
      <c r="BH23" s="855"/>
      <c r="BI23" s="856"/>
      <c r="BJ23" s="856"/>
      <c r="BK23" s="856"/>
      <c r="BL23" s="856"/>
      <c r="BM23" s="856"/>
      <c r="BN23" s="856"/>
      <c r="BO23" s="856"/>
      <c r="BP23" s="856"/>
      <c r="BQ23" s="856"/>
      <c r="BR23" s="855"/>
    </row>
    <row r="24" spans="4:70" s="845" customFormat="1">
      <c r="D24" s="850"/>
      <c r="E24" s="850" t="s">
        <v>2774</v>
      </c>
      <c r="F24" s="855"/>
      <c r="G24" s="850" t="s">
        <v>149</v>
      </c>
      <c r="H24" s="855"/>
      <c r="I24" s="855"/>
      <c r="J24" s="855"/>
      <c r="K24" s="855"/>
      <c r="L24" s="855"/>
      <c r="M24" s="855"/>
      <c r="N24" s="855"/>
      <c r="O24" s="855"/>
      <c r="P24" s="848"/>
      <c r="Q24" s="850" t="s">
        <v>1092</v>
      </c>
      <c r="R24" s="848"/>
      <c r="S24" s="81"/>
      <c r="T24" s="81"/>
      <c r="U24" s="81"/>
      <c r="V24" s="857" t="s">
        <v>12</v>
      </c>
      <c r="W24" s="857"/>
      <c r="X24" s="857"/>
      <c r="Y24" s="857"/>
      <c r="Z24" s="857"/>
      <c r="AA24" s="854"/>
      <c r="AB24" s="856"/>
      <c r="AC24" s="856"/>
      <c r="AD24" s="856"/>
      <c r="AE24" s="855"/>
      <c r="AF24" s="855"/>
      <c r="AG24" s="855"/>
      <c r="AH24" s="855" t="s">
        <v>2</v>
      </c>
      <c r="AI24" s="81"/>
      <c r="AJ24" s="81"/>
      <c r="AK24" s="81"/>
      <c r="AL24" s="81"/>
      <c r="AM24" s="81"/>
      <c r="AN24" s="855"/>
      <c r="AO24" s="855"/>
      <c r="AP24" s="855"/>
      <c r="AQ24" s="855"/>
      <c r="AR24" s="855"/>
      <c r="AS24" s="855"/>
      <c r="AT24" s="855"/>
      <c r="AU24" s="856"/>
      <c r="AV24" s="856"/>
      <c r="AW24" s="856"/>
      <c r="AY24" s="854"/>
      <c r="AZ24" s="856"/>
      <c r="BA24" s="855"/>
      <c r="BB24" s="855"/>
      <c r="BC24" s="855"/>
      <c r="BD24" s="855"/>
      <c r="BE24" s="855"/>
      <c r="BF24" s="855"/>
      <c r="BG24" s="855"/>
      <c r="BH24" s="855"/>
      <c r="BI24" s="856"/>
      <c r="BJ24" s="856"/>
      <c r="BK24" s="856"/>
      <c r="BL24" s="856"/>
      <c r="BM24" s="856"/>
      <c r="BN24" s="856"/>
      <c r="BO24" s="856"/>
      <c r="BP24" s="856"/>
      <c r="BQ24" s="856"/>
      <c r="BR24" s="855"/>
    </row>
    <row r="25" spans="4:70" s="845" customFormat="1">
      <c r="D25" s="850"/>
      <c r="E25" s="850" t="s">
        <v>2774</v>
      </c>
      <c r="F25" s="855"/>
      <c r="G25" s="850" t="s">
        <v>149</v>
      </c>
      <c r="H25" s="855"/>
      <c r="I25" s="855"/>
      <c r="J25" s="855"/>
      <c r="K25" s="855"/>
      <c r="L25" s="855"/>
      <c r="M25" s="855"/>
      <c r="N25" s="855"/>
      <c r="O25" s="855"/>
      <c r="P25" s="848"/>
      <c r="Q25" s="850" t="s">
        <v>1092</v>
      </c>
      <c r="R25" s="848"/>
      <c r="S25" s="81"/>
      <c r="T25" s="81"/>
      <c r="U25" s="81"/>
      <c r="V25" s="857" t="s">
        <v>12</v>
      </c>
      <c r="W25" s="857"/>
      <c r="X25" s="857"/>
      <c r="Y25" s="857"/>
      <c r="Z25" s="857"/>
      <c r="AA25" s="854"/>
      <c r="AB25" s="856"/>
      <c r="AC25" s="856"/>
      <c r="AD25" s="856"/>
      <c r="AE25" s="855"/>
      <c r="AF25" s="855"/>
      <c r="AG25" s="855"/>
      <c r="AH25" s="855" t="s">
        <v>2</v>
      </c>
      <c r="AI25" s="81"/>
      <c r="AJ25" s="81"/>
      <c r="AK25" s="81"/>
      <c r="AL25" s="81"/>
      <c r="AM25" s="81"/>
      <c r="AN25" s="855"/>
      <c r="AO25" s="855"/>
      <c r="AP25" s="855"/>
      <c r="AQ25" s="855"/>
      <c r="AR25" s="855"/>
      <c r="AS25" s="855"/>
      <c r="AT25" s="855"/>
      <c r="AU25" s="856"/>
      <c r="AV25" s="856"/>
      <c r="AW25" s="856"/>
      <c r="AY25" s="854"/>
      <c r="AZ25" s="856"/>
      <c r="BA25" s="855"/>
      <c r="BB25" s="855"/>
      <c r="BC25" s="855"/>
      <c r="BD25" s="855"/>
      <c r="BE25" s="855"/>
      <c r="BF25" s="855"/>
      <c r="BG25" s="855"/>
      <c r="BH25" s="855"/>
      <c r="BI25" s="856"/>
      <c r="BJ25" s="856"/>
      <c r="BK25" s="856"/>
      <c r="BL25" s="856"/>
      <c r="BM25" s="856"/>
      <c r="BN25" s="856"/>
      <c r="BO25" s="856"/>
      <c r="BP25" s="856"/>
      <c r="BQ25" s="856"/>
      <c r="BR25" s="855"/>
    </row>
    <row r="26" spans="4:70" s="845" customFormat="1">
      <c r="D26" s="850"/>
      <c r="E26" s="850" t="s">
        <v>2774</v>
      </c>
      <c r="F26" s="855"/>
      <c r="G26" s="850" t="s">
        <v>149</v>
      </c>
      <c r="H26" s="855"/>
      <c r="I26" s="855"/>
      <c r="J26" s="855"/>
      <c r="K26" s="855"/>
      <c r="L26" s="855"/>
      <c r="M26" s="855"/>
      <c r="N26" s="855"/>
      <c r="O26" s="855"/>
      <c r="P26" s="848"/>
      <c r="Q26" s="850" t="s">
        <v>1092</v>
      </c>
      <c r="R26" s="848"/>
      <c r="S26" s="81"/>
      <c r="T26" s="81"/>
      <c r="U26" s="81"/>
      <c r="V26" s="857" t="s">
        <v>12</v>
      </c>
      <c r="W26" s="857"/>
      <c r="X26" s="857"/>
      <c r="Y26" s="857"/>
      <c r="Z26" s="857"/>
      <c r="AA26" s="854"/>
      <c r="AB26" s="856"/>
      <c r="AC26" s="856"/>
      <c r="AD26" s="856"/>
      <c r="AE26" s="855"/>
      <c r="AF26" s="855"/>
      <c r="AG26" s="855"/>
      <c r="AH26" s="855" t="s">
        <v>2</v>
      </c>
      <c r="AI26" s="81"/>
      <c r="AJ26" s="81"/>
      <c r="AK26" s="81"/>
      <c r="AL26" s="81"/>
      <c r="AM26" s="81"/>
      <c r="AN26" s="855"/>
      <c r="AO26" s="855"/>
      <c r="AP26" s="855"/>
      <c r="AQ26" s="855"/>
      <c r="AR26" s="855"/>
      <c r="AS26" s="855"/>
      <c r="AT26" s="855"/>
      <c r="AU26" s="856"/>
      <c r="AV26" s="856"/>
      <c r="AW26" s="856"/>
      <c r="AY26" s="854"/>
      <c r="AZ26" s="856"/>
      <c r="BA26" s="855"/>
      <c r="BB26" s="855"/>
      <c r="BC26" s="855"/>
      <c r="BD26" s="855"/>
      <c r="BE26" s="855"/>
      <c r="BF26" s="855"/>
      <c r="BG26" s="855"/>
      <c r="BH26" s="855"/>
      <c r="BI26" s="856"/>
      <c r="BJ26" s="856"/>
      <c r="BK26" s="856"/>
      <c r="BL26" s="856"/>
      <c r="BM26" s="856"/>
      <c r="BN26" s="856"/>
      <c r="BO26" s="856"/>
      <c r="BP26" s="856"/>
      <c r="BQ26" s="856"/>
      <c r="BR26" s="855"/>
    </row>
    <row r="27" spans="4:70" s="845" customFormat="1">
      <c r="D27" s="850"/>
      <c r="E27" s="850" t="s">
        <v>2774</v>
      </c>
      <c r="F27" s="855"/>
      <c r="G27" s="850" t="s">
        <v>149</v>
      </c>
      <c r="H27" s="855"/>
      <c r="I27" s="855"/>
      <c r="J27" s="855"/>
      <c r="K27" s="855"/>
      <c r="L27" s="855"/>
      <c r="M27" s="855"/>
      <c r="N27" s="855"/>
      <c r="O27" s="855"/>
      <c r="P27" s="848"/>
      <c r="Q27" s="850" t="s">
        <v>1092</v>
      </c>
      <c r="R27" s="848"/>
      <c r="S27" s="81"/>
      <c r="T27" s="81"/>
      <c r="U27" s="81"/>
      <c r="V27" s="857" t="s">
        <v>12</v>
      </c>
      <c r="W27" s="857"/>
      <c r="X27" s="857"/>
      <c r="Y27" s="857"/>
      <c r="Z27" s="857"/>
      <c r="AA27" s="854"/>
      <c r="AB27" s="856"/>
      <c r="AC27" s="856"/>
      <c r="AD27" s="856"/>
      <c r="AE27" s="855"/>
      <c r="AF27" s="855"/>
      <c r="AG27" s="855"/>
      <c r="AH27" s="855" t="s">
        <v>2</v>
      </c>
      <c r="AI27" s="81"/>
      <c r="AJ27" s="81"/>
      <c r="AK27" s="81"/>
      <c r="AL27" s="81"/>
      <c r="AM27" s="81"/>
      <c r="AN27" s="855"/>
      <c r="AO27" s="855"/>
      <c r="AP27" s="855"/>
      <c r="AQ27" s="855"/>
      <c r="AR27" s="855"/>
      <c r="AS27" s="855"/>
      <c r="AT27" s="855"/>
      <c r="AU27" s="856"/>
      <c r="AV27" s="856"/>
      <c r="AW27" s="856"/>
      <c r="AY27" s="854"/>
      <c r="AZ27" s="856"/>
      <c r="BA27" s="855"/>
      <c r="BB27" s="855"/>
      <c r="BC27" s="855"/>
      <c r="BD27" s="855"/>
      <c r="BE27" s="855"/>
      <c r="BF27" s="855"/>
      <c r="BG27" s="855"/>
      <c r="BH27" s="855"/>
      <c r="BI27" s="856"/>
      <c r="BJ27" s="856"/>
      <c r="BK27" s="856"/>
      <c r="BL27" s="856"/>
      <c r="BM27" s="856"/>
      <c r="BN27" s="856"/>
      <c r="BO27" s="856"/>
      <c r="BP27" s="856"/>
      <c r="BQ27" s="856"/>
      <c r="BR27" s="855"/>
    </row>
    <row r="28" spans="4:70" s="845" customFormat="1">
      <c r="D28" s="850"/>
      <c r="E28" s="850" t="s">
        <v>2774</v>
      </c>
      <c r="F28" s="855"/>
      <c r="G28" s="850" t="s">
        <v>149</v>
      </c>
      <c r="H28" s="855"/>
      <c r="I28" s="855"/>
      <c r="J28" s="855"/>
      <c r="K28" s="855"/>
      <c r="L28" s="855"/>
      <c r="M28" s="855"/>
      <c r="N28" s="855"/>
      <c r="O28" s="855"/>
      <c r="P28" s="848"/>
      <c r="Q28" s="850" t="s">
        <v>1092</v>
      </c>
      <c r="R28" s="848"/>
      <c r="S28" s="81"/>
      <c r="T28" s="81"/>
      <c r="U28" s="81"/>
      <c r="V28" s="857" t="s">
        <v>12</v>
      </c>
      <c r="W28" s="857"/>
      <c r="X28" s="857"/>
      <c r="Y28" s="857"/>
      <c r="Z28" s="857"/>
      <c r="AA28" s="854"/>
      <c r="AB28" s="856"/>
      <c r="AC28" s="856"/>
      <c r="AD28" s="856"/>
      <c r="AE28" s="855"/>
      <c r="AF28" s="855"/>
      <c r="AG28" s="855"/>
      <c r="AH28" s="855" t="s">
        <v>2</v>
      </c>
      <c r="AI28" s="81"/>
      <c r="AJ28" s="81"/>
      <c r="AK28" s="81"/>
      <c r="AL28" s="81"/>
      <c r="AM28" s="81"/>
      <c r="AN28" s="855"/>
      <c r="AO28" s="855"/>
      <c r="AP28" s="855"/>
      <c r="AQ28" s="855"/>
      <c r="AR28" s="855"/>
      <c r="AS28" s="855"/>
      <c r="AT28" s="855"/>
      <c r="AU28" s="856"/>
      <c r="AV28" s="856"/>
      <c r="AW28" s="856"/>
      <c r="AY28" s="854"/>
      <c r="AZ28" s="856"/>
      <c r="BA28" s="855"/>
      <c r="BB28" s="855"/>
      <c r="BC28" s="855"/>
      <c r="BD28" s="855"/>
      <c r="BE28" s="855"/>
      <c r="BF28" s="855"/>
      <c r="BG28" s="855"/>
      <c r="BH28" s="855"/>
      <c r="BI28" s="856"/>
      <c r="BJ28" s="856"/>
      <c r="BK28" s="856"/>
      <c r="BL28" s="856"/>
      <c r="BM28" s="856"/>
      <c r="BN28" s="856"/>
      <c r="BO28" s="856"/>
      <c r="BP28" s="856"/>
      <c r="BQ28" s="856"/>
      <c r="BR28" s="855"/>
    </row>
    <row r="29" spans="4:70" s="845" customFormat="1">
      <c r="D29" s="850"/>
      <c r="E29" s="850" t="s">
        <v>2774</v>
      </c>
      <c r="F29" s="855"/>
      <c r="G29" s="850" t="s">
        <v>149</v>
      </c>
      <c r="H29" s="855"/>
      <c r="I29" s="855"/>
      <c r="J29" s="855"/>
      <c r="K29" s="855"/>
      <c r="L29" s="855"/>
      <c r="M29" s="855"/>
      <c r="N29" s="855"/>
      <c r="O29" s="855"/>
      <c r="P29" s="848"/>
      <c r="Q29" s="850" t="s">
        <v>1092</v>
      </c>
      <c r="R29" s="848"/>
      <c r="S29" s="81"/>
      <c r="T29" s="81"/>
      <c r="U29" s="81"/>
      <c r="V29" s="857" t="s">
        <v>12</v>
      </c>
      <c r="W29" s="857"/>
      <c r="X29" s="857"/>
      <c r="Y29" s="857"/>
      <c r="Z29" s="857"/>
      <c r="AA29" s="854"/>
      <c r="AB29" s="856"/>
      <c r="AC29" s="856"/>
      <c r="AD29" s="856"/>
      <c r="AE29" s="855"/>
      <c r="AF29" s="855"/>
      <c r="AG29" s="855"/>
      <c r="AH29" s="855" t="s">
        <v>2</v>
      </c>
      <c r="AI29" s="81"/>
      <c r="AJ29" s="81"/>
      <c r="AK29" s="81"/>
      <c r="AL29" s="81"/>
      <c r="AM29" s="81"/>
      <c r="AN29" s="855"/>
      <c r="AO29" s="855"/>
      <c r="AP29" s="855"/>
      <c r="AQ29" s="855"/>
      <c r="AR29" s="855"/>
      <c r="AS29" s="855"/>
      <c r="AT29" s="855"/>
      <c r="AU29" s="856"/>
      <c r="AV29" s="856"/>
      <c r="AW29" s="856"/>
      <c r="AY29" s="854"/>
      <c r="AZ29" s="856"/>
      <c r="BA29" s="855"/>
      <c r="BB29" s="855"/>
      <c r="BC29" s="855"/>
      <c r="BD29" s="855"/>
      <c r="BE29" s="855"/>
      <c r="BF29" s="855"/>
      <c r="BG29" s="855"/>
      <c r="BH29" s="855"/>
      <c r="BI29" s="856"/>
      <c r="BJ29" s="856"/>
      <c r="BK29" s="856"/>
      <c r="BL29" s="856"/>
      <c r="BM29" s="856"/>
      <c r="BN29" s="856"/>
      <c r="BO29" s="856"/>
      <c r="BP29" s="856"/>
      <c r="BQ29" s="856"/>
      <c r="BR29" s="855"/>
    </row>
    <row r="30" spans="4:70" s="845" customFormat="1">
      <c r="D30" s="850"/>
      <c r="E30" s="850" t="s">
        <v>2774</v>
      </c>
      <c r="F30" s="855"/>
      <c r="G30" s="850" t="s">
        <v>149</v>
      </c>
      <c r="H30" s="855"/>
      <c r="I30" s="855"/>
      <c r="J30" s="855"/>
      <c r="K30" s="855"/>
      <c r="L30" s="855"/>
      <c r="M30" s="855"/>
      <c r="N30" s="855"/>
      <c r="O30" s="855"/>
      <c r="P30" s="848"/>
      <c r="Q30" s="850" t="s">
        <v>1092</v>
      </c>
      <c r="R30" s="848"/>
      <c r="S30" s="81"/>
      <c r="T30" s="81"/>
      <c r="U30" s="81"/>
      <c r="V30" s="857" t="s">
        <v>12</v>
      </c>
      <c r="W30" s="857"/>
      <c r="X30" s="857"/>
      <c r="Y30" s="857"/>
      <c r="Z30" s="857"/>
      <c r="AA30" s="854"/>
      <c r="AB30" s="856"/>
      <c r="AC30" s="856"/>
      <c r="AD30" s="856"/>
      <c r="AE30" s="855"/>
      <c r="AF30" s="855"/>
      <c r="AG30" s="855"/>
      <c r="AH30" s="855" t="s">
        <v>2</v>
      </c>
      <c r="AI30" s="81"/>
      <c r="AJ30" s="81"/>
      <c r="AK30" s="81"/>
      <c r="AL30" s="81"/>
      <c r="AM30" s="81"/>
      <c r="AN30" s="855"/>
      <c r="AO30" s="855"/>
      <c r="AP30" s="855"/>
      <c r="AQ30" s="855"/>
      <c r="AR30" s="855"/>
      <c r="AS30" s="855"/>
      <c r="AT30" s="855"/>
      <c r="AU30" s="856"/>
      <c r="AV30" s="856"/>
      <c r="AW30" s="856"/>
      <c r="AY30" s="854"/>
      <c r="AZ30" s="856"/>
      <c r="BA30" s="855"/>
      <c r="BB30" s="855"/>
      <c r="BC30" s="855"/>
      <c r="BD30" s="855"/>
      <c r="BE30" s="855"/>
      <c r="BF30" s="855"/>
      <c r="BG30" s="855"/>
      <c r="BH30" s="855"/>
      <c r="BI30" s="856"/>
      <c r="BJ30" s="856"/>
      <c r="BK30" s="856"/>
      <c r="BL30" s="856"/>
      <c r="BM30" s="856"/>
      <c r="BN30" s="856"/>
      <c r="BO30" s="856"/>
      <c r="BP30" s="856"/>
      <c r="BQ30" s="856"/>
      <c r="BR30" s="855"/>
    </row>
    <row r="31" spans="4:70" s="845" customFormat="1">
      <c r="D31" s="850"/>
      <c r="E31" s="850" t="s">
        <v>2774</v>
      </c>
      <c r="F31" s="855"/>
      <c r="G31" s="850" t="s">
        <v>149</v>
      </c>
      <c r="H31" s="855"/>
      <c r="I31" s="855"/>
      <c r="J31" s="855"/>
      <c r="K31" s="855"/>
      <c r="L31" s="855"/>
      <c r="M31" s="855"/>
      <c r="N31" s="855"/>
      <c r="O31" s="855"/>
      <c r="P31" s="848"/>
      <c r="Q31" s="850" t="s">
        <v>1092</v>
      </c>
      <c r="R31" s="848"/>
      <c r="S31" s="81"/>
      <c r="T31" s="81"/>
      <c r="U31" s="81"/>
      <c r="V31" s="857" t="s">
        <v>12</v>
      </c>
      <c r="W31" s="857"/>
      <c r="X31" s="857"/>
      <c r="Y31" s="857"/>
      <c r="Z31" s="857"/>
      <c r="AA31" s="854"/>
      <c r="AB31" s="856"/>
      <c r="AC31" s="856"/>
      <c r="AD31" s="856"/>
      <c r="AE31" s="855"/>
      <c r="AF31" s="855"/>
      <c r="AG31" s="855"/>
      <c r="AH31" s="855" t="s">
        <v>2</v>
      </c>
      <c r="AI31" s="81"/>
      <c r="AJ31" s="81"/>
      <c r="AK31" s="81"/>
      <c r="AL31" s="81"/>
      <c r="AM31" s="81"/>
      <c r="AN31" s="855"/>
      <c r="AO31" s="855"/>
      <c r="AP31" s="855"/>
      <c r="AQ31" s="855"/>
      <c r="AR31" s="855"/>
      <c r="AS31" s="855"/>
      <c r="AT31" s="855"/>
      <c r="AU31" s="856"/>
      <c r="AV31" s="856"/>
      <c r="AW31" s="856"/>
      <c r="AY31" s="854"/>
      <c r="AZ31" s="856"/>
      <c r="BA31" s="855"/>
      <c r="BB31" s="855"/>
      <c r="BC31" s="855"/>
      <c r="BD31" s="855"/>
      <c r="BE31" s="855"/>
      <c r="BF31" s="855"/>
      <c r="BG31" s="855"/>
      <c r="BH31" s="855"/>
      <c r="BI31" s="856"/>
      <c r="BJ31" s="856"/>
      <c r="BK31" s="856"/>
      <c r="BL31" s="856"/>
      <c r="BM31" s="856"/>
      <c r="BN31" s="856"/>
      <c r="BO31" s="856"/>
      <c r="BP31" s="856"/>
      <c r="BQ31" s="856"/>
      <c r="BR31" s="855"/>
    </row>
    <row r="32" spans="4:70" s="845" customFormat="1">
      <c r="D32" s="850"/>
      <c r="E32" s="850" t="s">
        <v>2774</v>
      </c>
      <c r="F32" s="855"/>
      <c r="G32" s="850" t="s">
        <v>149</v>
      </c>
      <c r="H32" s="855"/>
      <c r="I32" s="855"/>
      <c r="J32" s="855"/>
      <c r="K32" s="855"/>
      <c r="L32" s="855"/>
      <c r="M32" s="855"/>
      <c r="N32" s="855"/>
      <c r="O32" s="855"/>
      <c r="P32" s="848"/>
      <c r="Q32" s="850" t="s">
        <v>1092</v>
      </c>
      <c r="R32" s="848"/>
      <c r="S32" s="81"/>
      <c r="T32" s="81"/>
      <c r="U32" s="81"/>
      <c r="V32" s="857" t="s">
        <v>12</v>
      </c>
      <c r="W32" s="857"/>
      <c r="X32" s="857"/>
      <c r="Y32" s="857"/>
      <c r="Z32" s="857"/>
      <c r="AA32" s="854"/>
      <c r="AB32" s="856"/>
      <c r="AC32" s="856"/>
      <c r="AD32" s="856"/>
      <c r="AE32" s="855"/>
      <c r="AF32" s="855"/>
      <c r="AG32" s="855"/>
      <c r="AH32" s="855" t="s">
        <v>2</v>
      </c>
      <c r="AI32" s="81"/>
      <c r="AJ32" s="81"/>
      <c r="AK32" s="81"/>
      <c r="AL32" s="81"/>
      <c r="AM32" s="81"/>
      <c r="AN32" s="855"/>
      <c r="AO32" s="855"/>
      <c r="AP32" s="855"/>
      <c r="AQ32" s="855"/>
      <c r="AR32" s="855"/>
      <c r="AS32" s="855"/>
      <c r="AT32" s="855"/>
      <c r="AU32" s="856"/>
      <c r="AV32" s="856"/>
      <c r="AW32" s="856"/>
      <c r="AY32" s="854"/>
      <c r="AZ32" s="856"/>
      <c r="BA32" s="855"/>
      <c r="BB32" s="855"/>
      <c r="BC32" s="855"/>
      <c r="BD32" s="855"/>
      <c r="BE32" s="855"/>
      <c r="BF32" s="855"/>
      <c r="BG32" s="855"/>
      <c r="BH32" s="855"/>
      <c r="BI32" s="856"/>
      <c r="BJ32" s="856"/>
      <c r="BK32" s="856"/>
      <c r="BL32" s="856"/>
      <c r="BM32" s="856"/>
      <c r="BN32" s="856"/>
      <c r="BO32" s="856"/>
      <c r="BP32" s="856"/>
      <c r="BQ32" s="856"/>
      <c r="BR32" s="855"/>
    </row>
    <row r="33" spans="1:70" s="845" customFormat="1" ht="15" customHeight="1">
      <c r="D33" s="850"/>
      <c r="E33" s="850" t="s">
        <v>2774</v>
      </c>
      <c r="F33" s="855"/>
      <c r="G33" s="850" t="s">
        <v>149</v>
      </c>
      <c r="H33" s="855"/>
      <c r="I33" s="855"/>
      <c r="J33" s="855"/>
      <c r="K33" s="855"/>
      <c r="L33" s="855"/>
      <c r="M33" s="855"/>
      <c r="N33" s="855"/>
      <c r="O33" s="855"/>
      <c r="P33" s="848"/>
      <c r="Q33" s="850" t="s">
        <v>1092</v>
      </c>
      <c r="R33" s="848"/>
      <c r="S33" s="81"/>
      <c r="T33" s="81"/>
      <c r="U33" s="81"/>
      <c r="V33" s="857" t="s">
        <v>12</v>
      </c>
      <c r="W33" s="857"/>
      <c r="X33" s="857"/>
      <c r="Y33" s="857"/>
      <c r="Z33" s="857"/>
      <c r="AA33" s="854"/>
      <c r="AB33" s="856"/>
      <c r="AC33" s="856"/>
      <c r="AD33" s="856"/>
      <c r="AE33" s="855"/>
      <c r="AF33" s="855"/>
      <c r="AG33" s="855"/>
      <c r="AH33" s="855" t="s">
        <v>2</v>
      </c>
      <c r="AI33" s="81"/>
      <c r="AJ33" s="81"/>
      <c r="AK33" s="81"/>
      <c r="AL33" s="81"/>
      <c r="AM33" s="81"/>
      <c r="AN33" s="855"/>
      <c r="AO33" s="855"/>
      <c r="AP33" s="855"/>
      <c r="AQ33" s="855"/>
      <c r="AR33" s="855"/>
      <c r="AS33" s="855"/>
      <c r="AT33" s="855"/>
      <c r="AU33" s="856"/>
      <c r="AV33" s="856"/>
      <c r="AW33" s="856"/>
      <c r="AY33" s="854"/>
      <c r="AZ33" s="856"/>
      <c r="BA33" s="855"/>
      <c r="BB33" s="855"/>
      <c r="BC33" s="855"/>
      <c r="BD33" s="855"/>
      <c r="BE33" s="855"/>
      <c r="BF33" s="855"/>
      <c r="BG33" s="855"/>
      <c r="BH33" s="855"/>
      <c r="BI33" s="856"/>
      <c r="BJ33" s="856"/>
      <c r="BK33" s="856"/>
      <c r="BL33" s="856"/>
      <c r="BM33" s="856"/>
      <c r="BN33" s="856"/>
      <c r="BO33" s="856"/>
      <c r="BP33" s="856"/>
      <c r="BQ33" s="856"/>
      <c r="BR33" s="855"/>
    </row>
    <row r="34" spans="1:70" s="845" customFormat="1" ht="13.9">
      <c r="P34" s="848"/>
      <c r="Q34" s="848"/>
      <c r="R34" s="858" t="s">
        <v>2776</v>
      </c>
      <c r="S34" s="848"/>
      <c r="T34" s="848"/>
      <c r="U34" s="848"/>
      <c r="V34" s="859"/>
      <c r="W34" s="859"/>
      <c r="X34" s="859"/>
      <c r="Y34" s="859"/>
      <c r="Z34" s="859"/>
      <c r="AA34" s="854"/>
      <c r="AB34" s="856"/>
      <c r="AC34" s="856"/>
      <c r="AD34" s="856"/>
      <c r="AE34" s="855"/>
      <c r="AF34" s="855"/>
      <c r="AG34" s="855"/>
      <c r="AH34" s="855"/>
      <c r="AI34" s="860">
        <f t="shared" ref="AI34:AM34" si="0">SUM(AI11:AI33)</f>
        <v>0</v>
      </c>
      <c r="AJ34" s="860">
        <f t="shared" si="0"/>
        <v>0</v>
      </c>
      <c r="AK34" s="860">
        <f t="shared" si="0"/>
        <v>0</v>
      </c>
      <c r="AL34" s="860">
        <f t="shared" si="0"/>
        <v>0</v>
      </c>
      <c r="AM34" s="860">
        <f t="shared" si="0"/>
        <v>0</v>
      </c>
      <c r="AN34" s="855"/>
      <c r="AO34" s="855"/>
      <c r="AP34" s="855"/>
      <c r="AQ34" s="855"/>
      <c r="AR34" s="855"/>
      <c r="AS34" s="855"/>
      <c r="AT34" s="855"/>
      <c r="AU34" s="856"/>
      <c r="AV34" s="856"/>
      <c r="AW34" s="856"/>
      <c r="AY34" s="854"/>
      <c r="AZ34" s="856"/>
      <c r="BA34" s="855"/>
      <c r="BB34" s="855"/>
      <c r="BC34" s="855"/>
      <c r="BD34" s="855"/>
      <c r="BE34" s="855"/>
      <c r="BF34" s="855"/>
      <c r="BG34" s="855"/>
      <c r="BH34" s="855"/>
      <c r="BI34" s="856"/>
      <c r="BJ34" s="856"/>
      <c r="BK34" s="856"/>
      <c r="BL34" s="856"/>
      <c r="BM34" s="856"/>
      <c r="BN34" s="856"/>
      <c r="BO34" s="856"/>
      <c r="BP34" s="856"/>
      <c r="BQ34" s="856"/>
      <c r="BR34" s="855"/>
    </row>
    <row r="35" spans="1:70" s="845" customFormat="1">
      <c r="P35" s="848"/>
      <c r="Q35" s="848"/>
      <c r="R35" s="848"/>
      <c r="S35" s="848"/>
      <c r="T35" s="848"/>
      <c r="U35" s="848"/>
      <c r="V35" s="859"/>
      <c r="W35" s="859"/>
      <c r="X35" s="859"/>
      <c r="Y35" s="859"/>
      <c r="Z35" s="859"/>
      <c r="AA35" s="854"/>
      <c r="AB35" s="856"/>
      <c r="AC35" s="856"/>
      <c r="AD35" s="856"/>
      <c r="AE35" s="855"/>
      <c r="AF35" s="855"/>
      <c r="AG35" s="855"/>
      <c r="AH35" s="855"/>
      <c r="AK35" s="854"/>
      <c r="AL35" s="856"/>
      <c r="AM35" s="855"/>
      <c r="AN35" s="855"/>
      <c r="AO35" s="855"/>
      <c r="AP35" s="855"/>
      <c r="AQ35" s="855"/>
      <c r="AR35" s="855"/>
      <c r="AS35" s="855"/>
      <c r="AT35" s="855"/>
      <c r="AU35" s="856"/>
      <c r="AV35" s="856"/>
      <c r="AW35" s="856"/>
      <c r="AY35" s="854"/>
      <c r="AZ35" s="856"/>
      <c r="BA35" s="855"/>
      <c r="BB35" s="855"/>
      <c r="BC35" s="855"/>
      <c r="BD35" s="855"/>
      <c r="BE35" s="855"/>
      <c r="BF35" s="855"/>
      <c r="BG35" s="855"/>
      <c r="BH35" s="855"/>
      <c r="BI35" s="856"/>
      <c r="BJ35" s="856"/>
      <c r="BK35" s="856"/>
      <c r="BL35" s="856"/>
      <c r="BM35" s="856"/>
      <c r="BN35" s="856"/>
      <c r="BO35" s="856"/>
      <c r="BP35" s="856"/>
      <c r="BQ35" s="856"/>
      <c r="BR35" s="855"/>
    </row>
    <row r="36" spans="1:70" ht="13.9">
      <c r="A36" s="845"/>
      <c r="B36" s="845"/>
      <c r="C36" s="846" t="s">
        <v>1780</v>
      </c>
      <c r="D36" s="846"/>
      <c r="E36" s="846"/>
      <c r="F36" s="846"/>
      <c r="G36" s="846"/>
      <c r="H36" s="846"/>
      <c r="I36" s="846"/>
      <c r="J36" s="846"/>
      <c r="K36" s="846"/>
      <c r="L36" s="846"/>
      <c r="M36" s="846"/>
      <c r="N36" s="846"/>
      <c r="O36" s="847"/>
      <c r="P36" s="847"/>
      <c r="Q36" s="847"/>
      <c r="R36" s="847"/>
      <c r="S36" s="847"/>
      <c r="T36" s="847"/>
      <c r="U36" s="847"/>
      <c r="V36" s="847"/>
      <c r="W36" s="847"/>
      <c r="X36" s="847"/>
      <c r="Y36" s="847"/>
      <c r="Z36" s="847"/>
      <c r="AA36" s="847"/>
      <c r="AB36" s="847"/>
      <c r="AC36" s="847"/>
      <c r="AD36" s="847"/>
      <c r="AE36" s="847"/>
      <c r="AF36" s="847"/>
      <c r="AG36" s="847"/>
      <c r="AH36" s="847"/>
      <c r="AI36" s="847"/>
      <c r="AJ36" s="847"/>
      <c r="AK36" s="847"/>
      <c r="AL36" s="847"/>
      <c r="AM36" s="847"/>
    </row>
    <row r="37" spans="1:70" s="845" customFormat="1">
      <c r="D37" s="850"/>
      <c r="E37" s="850" t="s">
        <v>2774</v>
      </c>
      <c r="F37" s="855"/>
      <c r="G37" s="850" t="s">
        <v>149</v>
      </c>
      <c r="H37" s="855"/>
      <c r="I37" s="855"/>
      <c r="J37" s="855"/>
      <c r="K37" s="855"/>
      <c r="L37" s="855"/>
      <c r="M37" s="855"/>
      <c r="N37" s="855"/>
      <c r="O37" s="855"/>
      <c r="P37" s="848"/>
      <c r="Q37" s="850" t="s">
        <v>1092</v>
      </c>
      <c r="R37" s="848"/>
      <c r="S37" s="81"/>
      <c r="T37" s="81"/>
      <c r="U37" s="81"/>
      <c r="V37" s="857" t="s">
        <v>12</v>
      </c>
      <c r="W37" s="857"/>
      <c r="X37" s="857"/>
      <c r="Y37" s="857"/>
      <c r="Z37" s="857"/>
      <c r="AA37" s="854"/>
      <c r="AB37" s="856"/>
      <c r="AC37" s="856"/>
      <c r="AD37" s="856"/>
      <c r="AE37" s="855"/>
      <c r="AF37" s="855"/>
      <c r="AG37" s="855"/>
      <c r="AH37" s="855" t="s">
        <v>2</v>
      </c>
      <c r="AI37" s="81"/>
      <c r="AJ37" s="81"/>
      <c r="AK37" s="81"/>
      <c r="AL37" s="81"/>
      <c r="AM37" s="81"/>
      <c r="AN37" s="855"/>
      <c r="AO37" s="855"/>
      <c r="AP37" s="855"/>
      <c r="AQ37" s="855"/>
      <c r="AR37" s="855"/>
      <c r="AS37" s="855"/>
      <c r="AT37" s="855"/>
      <c r="AU37" s="856"/>
      <c r="AV37" s="856"/>
      <c r="AW37" s="856"/>
      <c r="AY37" s="854"/>
      <c r="AZ37" s="856"/>
      <c r="BA37" s="855"/>
      <c r="BB37" s="855"/>
      <c r="BC37" s="855"/>
      <c r="BD37" s="855"/>
      <c r="BE37" s="855"/>
      <c r="BF37" s="855"/>
      <c r="BG37" s="855"/>
      <c r="BH37" s="855"/>
      <c r="BI37" s="856"/>
      <c r="BJ37" s="856"/>
      <c r="BK37" s="856"/>
      <c r="BL37" s="856"/>
      <c r="BM37" s="856"/>
      <c r="BN37" s="856"/>
      <c r="BO37" s="856"/>
      <c r="BP37" s="856"/>
      <c r="BQ37" s="856"/>
      <c r="BR37" s="855"/>
    </row>
    <row r="38" spans="1:70" s="845" customFormat="1">
      <c r="D38" s="850"/>
      <c r="E38" s="850" t="s">
        <v>2774</v>
      </c>
      <c r="F38" s="855"/>
      <c r="G38" s="850" t="s">
        <v>149</v>
      </c>
      <c r="H38" s="855"/>
      <c r="I38" s="855"/>
      <c r="J38" s="855"/>
      <c r="K38" s="855"/>
      <c r="L38" s="855"/>
      <c r="M38" s="855"/>
      <c r="N38" s="855"/>
      <c r="O38" s="855"/>
      <c r="P38" s="848"/>
      <c r="Q38" s="850" t="s">
        <v>1092</v>
      </c>
      <c r="R38" s="848"/>
      <c r="S38" s="81"/>
      <c r="T38" s="81"/>
      <c r="U38" s="81"/>
      <c r="V38" s="857" t="s">
        <v>12</v>
      </c>
      <c r="W38" s="857"/>
      <c r="X38" s="857"/>
      <c r="Y38" s="857"/>
      <c r="Z38" s="857"/>
      <c r="AA38" s="854"/>
      <c r="AB38" s="856"/>
      <c r="AC38" s="856"/>
      <c r="AD38" s="856"/>
      <c r="AE38" s="855"/>
      <c r="AF38" s="855"/>
      <c r="AG38" s="855"/>
      <c r="AH38" s="855" t="s">
        <v>2</v>
      </c>
      <c r="AI38" s="81"/>
      <c r="AJ38" s="81"/>
      <c r="AK38" s="81"/>
      <c r="AL38" s="81"/>
      <c r="AM38" s="81"/>
      <c r="AN38" s="855"/>
      <c r="AO38" s="855"/>
      <c r="AP38" s="855"/>
      <c r="AQ38" s="855"/>
      <c r="AR38" s="855"/>
      <c r="AS38" s="855"/>
      <c r="AT38" s="855"/>
      <c r="AU38" s="856"/>
      <c r="AV38" s="856"/>
      <c r="AW38" s="856"/>
      <c r="AY38" s="854"/>
      <c r="AZ38" s="856"/>
      <c r="BA38" s="855"/>
      <c r="BB38" s="855"/>
      <c r="BC38" s="855"/>
      <c r="BD38" s="855"/>
      <c r="BE38" s="855"/>
      <c r="BF38" s="855"/>
      <c r="BG38" s="855"/>
      <c r="BH38" s="855"/>
      <c r="BI38" s="856"/>
      <c r="BJ38" s="856"/>
      <c r="BK38" s="856"/>
      <c r="BL38" s="856"/>
      <c r="BM38" s="856"/>
      <c r="BN38" s="856"/>
      <c r="BO38" s="856"/>
      <c r="BP38" s="856"/>
      <c r="BQ38" s="856"/>
      <c r="BR38" s="855"/>
    </row>
    <row r="39" spans="1:70" s="845" customFormat="1">
      <c r="D39" s="850"/>
      <c r="E39" s="850" t="s">
        <v>2774</v>
      </c>
      <c r="F39" s="855"/>
      <c r="G39" s="850" t="s">
        <v>149</v>
      </c>
      <c r="H39" s="855"/>
      <c r="I39" s="855"/>
      <c r="J39" s="855"/>
      <c r="K39" s="855"/>
      <c r="L39" s="855"/>
      <c r="M39" s="855"/>
      <c r="N39" s="855"/>
      <c r="O39" s="855"/>
      <c r="P39" s="848"/>
      <c r="Q39" s="850" t="s">
        <v>1092</v>
      </c>
      <c r="R39" s="848"/>
      <c r="S39" s="81"/>
      <c r="T39" s="81"/>
      <c r="U39" s="81"/>
      <c r="V39" s="857" t="s">
        <v>12</v>
      </c>
      <c r="W39" s="857"/>
      <c r="X39" s="857"/>
      <c r="Y39" s="857"/>
      <c r="Z39" s="857"/>
      <c r="AA39" s="854"/>
      <c r="AB39" s="856"/>
      <c r="AC39" s="856"/>
      <c r="AD39" s="856"/>
      <c r="AE39" s="855"/>
      <c r="AF39" s="855"/>
      <c r="AG39" s="855"/>
      <c r="AH39" s="855" t="s">
        <v>2</v>
      </c>
      <c r="AI39" s="81"/>
      <c r="AJ39" s="81"/>
      <c r="AK39" s="81"/>
      <c r="AL39" s="81"/>
      <c r="AM39" s="81"/>
      <c r="AN39" s="855"/>
      <c r="AO39" s="855"/>
      <c r="AP39" s="855"/>
      <c r="AQ39" s="855"/>
      <c r="AR39" s="855"/>
      <c r="AS39" s="855"/>
      <c r="AT39" s="855"/>
      <c r="AU39" s="856"/>
      <c r="AV39" s="856"/>
      <c r="AW39" s="856"/>
      <c r="AY39" s="854"/>
      <c r="AZ39" s="856"/>
      <c r="BA39" s="855"/>
      <c r="BB39" s="855"/>
      <c r="BC39" s="855"/>
      <c r="BD39" s="855"/>
      <c r="BE39" s="855"/>
      <c r="BF39" s="855"/>
      <c r="BG39" s="855"/>
      <c r="BH39" s="855"/>
      <c r="BI39" s="856"/>
      <c r="BJ39" s="856"/>
      <c r="BK39" s="856"/>
      <c r="BL39" s="856"/>
      <c r="BM39" s="856"/>
      <c r="BN39" s="856"/>
      <c r="BO39" s="856"/>
      <c r="BP39" s="856"/>
      <c r="BQ39" s="856"/>
      <c r="BR39" s="855"/>
    </row>
    <row r="40" spans="1:70" s="845" customFormat="1">
      <c r="D40" s="850"/>
      <c r="E40" s="850" t="s">
        <v>2774</v>
      </c>
      <c r="F40" s="855"/>
      <c r="G40" s="850" t="s">
        <v>149</v>
      </c>
      <c r="H40" s="855"/>
      <c r="I40" s="855"/>
      <c r="J40" s="855"/>
      <c r="K40" s="855"/>
      <c r="L40" s="855"/>
      <c r="M40" s="855"/>
      <c r="N40" s="855"/>
      <c r="O40" s="855"/>
      <c r="P40" s="848"/>
      <c r="Q40" s="850" t="s">
        <v>1092</v>
      </c>
      <c r="R40" s="848"/>
      <c r="S40" s="81"/>
      <c r="T40" s="81"/>
      <c r="U40" s="81"/>
      <c r="V40" s="857" t="s">
        <v>12</v>
      </c>
      <c r="W40" s="857"/>
      <c r="X40" s="857"/>
      <c r="Y40" s="857"/>
      <c r="Z40" s="857"/>
      <c r="AA40" s="854"/>
      <c r="AB40" s="856"/>
      <c r="AC40" s="856"/>
      <c r="AD40" s="856"/>
      <c r="AE40" s="855"/>
      <c r="AF40" s="855"/>
      <c r="AG40" s="855"/>
      <c r="AH40" s="855" t="s">
        <v>2</v>
      </c>
      <c r="AI40" s="81"/>
      <c r="AJ40" s="81"/>
      <c r="AK40" s="81"/>
      <c r="AL40" s="81"/>
      <c r="AM40" s="81"/>
      <c r="AN40" s="855"/>
      <c r="AO40" s="855"/>
      <c r="AP40" s="855"/>
      <c r="AQ40" s="855"/>
      <c r="AR40" s="855"/>
      <c r="AS40" s="855"/>
      <c r="AT40" s="855"/>
      <c r="AU40" s="856"/>
      <c r="AV40" s="856"/>
      <c r="AW40" s="856"/>
      <c r="AY40" s="854"/>
      <c r="AZ40" s="856"/>
      <c r="BA40" s="855"/>
      <c r="BB40" s="855"/>
      <c r="BC40" s="855"/>
      <c r="BD40" s="855"/>
      <c r="BE40" s="855"/>
      <c r="BF40" s="855"/>
      <c r="BG40" s="855"/>
      <c r="BH40" s="855"/>
      <c r="BI40" s="856"/>
      <c r="BJ40" s="856"/>
      <c r="BK40" s="856"/>
      <c r="BL40" s="856"/>
      <c r="BM40" s="856"/>
      <c r="BN40" s="856"/>
      <c r="BO40" s="856"/>
      <c r="BP40" s="856"/>
      <c r="BQ40" s="856"/>
      <c r="BR40" s="855"/>
    </row>
    <row r="41" spans="1:70" s="845" customFormat="1">
      <c r="D41" s="850"/>
      <c r="E41" s="850" t="s">
        <v>2774</v>
      </c>
      <c r="F41" s="855"/>
      <c r="G41" s="850" t="s">
        <v>149</v>
      </c>
      <c r="H41" s="855"/>
      <c r="I41" s="855"/>
      <c r="J41" s="855"/>
      <c r="K41" s="855"/>
      <c r="L41" s="855"/>
      <c r="M41" s="855"/>
      <c r="N41" s="855"/>
      <c r="O41" s="855"/>
      <c r="P41" s="848"/>
      <c r="Q41" s="850" t="s">
        <v>1092</v>
      </c>
      <c r="R41" s="848"/>
      <c r="S41" s="81"/>
      <c r="T41" s="81"/>
      <c r="U41" s="81"/>
      <c r="V41" s="857" t="s">
        <v>12</v>
      </c>
      <c r="W41" s="857"/>
      <c r="X41" s="857"/>
      <c r="Y41" s="857"/>
      <c r="Z41" s="857"/>
      <c r="AA41" s="854"/>
      <c r="AB41" s="856"/>
      <c r="AC41" s="856"/>
      <c r="AD41" s="856"/>
      <c r="AE41" s="855"/>
      <c r="AF41" s="855"/>
      <c r="AG41" s="855"/>
      <c r="AH41" s="855" t="s">
        <v>2</v>
      </c>
      <c r="AI41" s="81"/>
      <c r="AJ41" s="81"/>
      <c r="AK41" s="81"/>
      <c r="AL41" s="81"/>
      <c r="AM41" s="81"/>
      <c r="AN41" s="855"/>
      <c r="AO41" s="855"/>
      <c r="AP41" s="855"/>
      <c r="AQ41" s="855"/>
      <c r="AR41" s="855"/>
      <c r="AS41" s="855"/>
      <c r="AT41" s="855"/>
      <c r="AU41" s="856"/>
      <c r="AV41" s="856"/>
      <c r="AW41" s="856"/>
      <c r="AY41" s="854"/>
      <c r="AZ41" s="856"/>
      <c r="BA41" s="855"/>
      <c r="BB41" s="855"/>
      <c r="BC41" s="855"/>
      <c r="BD41" s="855"/>
      <c r="BE41" s="855"/>
      <c r="BF41" s="855"/>
      <c r="BG41" s="855"/>
      <c r="BH41" s="855"/>
      <c r="BI41" s="856"/>
      <c r="BJ41" s="856"/>
      <c r="BK41" s="856"/>
      <c r="BL41" s="856"/>
      <c r="BM41" s="856"/>
      <c r="BN41" s="856"/>
      <c r="BO41" s="856"/>
      <c r="BP41" s="856"/>
      <c r="BQ41" s="856"/>
      <c r="BR41" s="855"/>
    </row>
    <row r="42" spans="1:70" s="845" customFormat="1" ht="13.9">
      <c r="P42" s="848"/>
      <c r="Q42" s="848"/>
      <c r="R42" s="861" t="s">
        <v>2464</v>
      </c>
      <c r="S42" s="848"/>
      <c r="T42" s="848"/>
      <c r="U42" s="848"/>
      <c r="V42" s="859"/>
      <c r="W42" s="859"/>
      <c r="X42" s="859"/>
      <c r="Y42" s="859"/>
      <c r="Z42" s="859"/>
      <c r="AA42" s="854"/>
      <c r="AB42" s="856"/>
      <c r="AC42" s="856"/>
      <c r="AD42" s="856"/>
      <c r="AE42" s="855"/>
      <c r="AF42" s="855"/>
      <c r="AG42" s="855"/>
      <c r="AH42" s="855"/>
      <c r="AI42" s="860">
        <f>SUM(AI37:AI41)</f>
        <v>0</v>
      </c>
      <c r="AJ42" s="860">
        <f t="shared" ref="AJ42:AM42" si="1">SUM(AJ37:AJ41)</f>
        <v>0</v>
      </c>
      <c r="AK42" s="860">
        <f t="shared" si="1"/>
        <v>0</v>
      </c>
      <c r="AL42" s="860">
        <f t="shared" si="1"/>
        <v>0</v>
      </c>
      <c r="AM42" s="860">
        <f t="shared" si="1"/>
        <v>0</v>
      </c>
      <c r="AN42" s="855"/>
      <c r="AO42" s="855"/>
      <c r="AP42" s="855"/>
      <c r="AQ42" s="855"/>
      <c r="AR42" s="855"/>
      <c r="AS42" s="855"/>
      <c r="AT42" s="855"/>
      <c r="AU42" s="856"/>
      <c r="AV42" s="856"/>
      <c r="AW42" s="856"/>
      <c r="AY42" s="854"/>
      <c r="AZ42" s="856"/>
      <c r="BA42" s="855"/>
      <c r="BB42" s="855"/>
      <c r="BC42" s="855"/>
      <c r="BD42" s="855"/>
      <c r="BE42" s="855"/>
      <c r="BF42" s="855"/>
      <c r="BG42" s="855"/>
      <c r="BH42" s="855"/>
      <c r="BI42" s="856"/>
      <c r="BJ42" s="856"/>
      <c r="BK42" s="856"/>
      <c r="BL42" s="856"/>
      <c r="BM42" s="856"/>
      <c r="BN42" s="856"/>
      <c r="BO42" s="856"/>
      <c r="BP42" s="856"/>
      <c r="BQ42" s="856"/>
      <c r="BR42" s="855"/>
    </row>
    <row r="44" spans="1:70" ht="13.9">
      <c r="A44" s="845"/>
      <c r="B44" s="845"/>
      <c r="C44" s="846" t="s">
        <v>2777</v>
      </c>
      <c r="D44" s="846"/>
      <c r="E44" s="846"/>
      <c r="F44" s="846"/>
      <c r="G44" s="846"/>
      <c r="H44" s="846"/>
      <c r="I44" s="846"/>
      <c r="J44" s="846"/>
      <c r="K44" s="846"/>
      <c r="L44" s="846"/>
      <c r="M44" s="846"/>
      <c r="N44" s="846"/>
      <c r="O44" s="847"/>
      <c r="P44" s="847"/>
      <c r="Q44" s="847"/>
      <c r="R44" s="847"/>
      <c r="S44" s="847"/>
      <c r="T44" s="847"/>
      <c r="U44" s="847"/>
      <c r="V44" s="847"/>
      <c r="W44" s="847"/>
      <c r="X44" s="847"/>
      <c r="Y44" s="847"/>
      <c r="Z44" s="847"/>
      <c r="AA44" s="847"/>
      <c r="AB44" s="847"/>
      <c r="AC44" s="847"/>
      <c r="AD44" s="847"/>
      <c r="AE44" s="847"/>
      <c r="AF44" s="847"/>
      <c r="AG44" s="847"/>
      <c r="AH44" s="847"/>
      <c r="AI44" s="847"/>
      <c r="AJ44" s="847"/>
      <c r="AK44" s="847"/>
      <c r="AL44" s="847"/>
      <c r="AM44" s="847"/>
    </row>
    <row r="45" spans="1:70" s="845" customFormat="1">
      <c r="P45" s="848"/>
      <c r="Q45" s="848"/>
      <c r="R45" s="848"/>
      <c r="S45" s="848"/>
      <c r="T45" s="848"/>
      <c r="U45" s="848"/>
      <c r="V45" s="859"/>
      <c r="W45" s="859"/>
      <c r="X45" s="859"/>
      <c r="Y45" s="859"/>
      <c r="Z45" s="859"/>
      <c r="AA45" s="854"/>
      <c r="AB45" s="856"/>
      <c r="AC45" s="856"/>
      <c r="AD45" s="856"/>
      <c r="AE45" s="855"/>
      <c r="AF45" s="855"/>
      <c r="AG45" s="855"/>
      <c r="AH45" s="855"/>
      <c r="AK45" s="854"/>
      <c r="AL45" s="856"/>
      <c r="AM45" s="855"/>
      <c r="AN45" s="855"/>
      <c r="AO45" s="855"/>
      <c r="AP45" s="855"/>
      <c r="AQ45" s="855"/>
      <c r="AR45" s="855"/>
      <c r="AS45" s="855"/>
      <c r="AT45" s="855"/>
      <c r="AU45" s="856"/>
      <c r="AV45" s="856"/>
      <c r="AW45" s="856"/>
      <c r="AY45" s="854"/>
      <c r="AZ45" s="856"/>
      <c r="BA45" s="855"/>
      <c r="BB45" s="855"/>
      <c r="BC45" s="855"/>
      <c r="BD45" s="855"/>
      <c r="BE45" s="855"/>
      <c r="BF45" s="855"/>
      <c r="BG45" s="855"/>
      <c r="BH45" s="855"/>
      <c r="BI45" s="856"/>
      <c r="BJ45" s="856"/>
      <c r="BK45" s="856"/>
      <c r="BL45" s="856"/>
      <c r="BM45" s="856"/>
      <c r="BN45" s="856"/>
      <c r="BO45" s="856"/>
      <c r="BP45" s="856"/>
      <c r="BQ45" s="856"/>
      <c r="BR45" s="855"/>
    </row>
    <row r="46" spans="1:70" s="845" customFormat="1">
      <c r="D46" s="850"/>
      <c r="E46" s="850" t="s">
        <v>2774</v>
      </c>
      <c r="F46" s="855"/>
      <c r="G46" s="850" t="s">
        <v>149</v>
      </c>
      <c r="H46" s="855"/>
      <c r="I46" s="855"/>
      <c r="J46" s="855"/>
      <c r="K46" s="855"/>
      <c r="L46" s="855"/>
      <c r="M46" s="855"/>
      <c r="N46" s="855"/>
      <c r="O46" s="855"/>
      <c r="P46" s="848"/>
      <c r="Q46" s="850" t="s">
        <v>1092</v>
      </c>
      <c r="R46" s="848"/>
      <c r="S46" s="81"/>
      <c r="T46" s="81"/>
      <c r="U46" s="81"/>
      <c r="V46" s="857" t="s">
        <v>12</v>
      </c>
      <c r="W46" s="857"/>
      <c r="X46" s="857"/>
      <c r="Y46" s="857"/>
      <c r="Z46" s="857"/>
      <c r="AA46" s="854"/>
      <c r="AB46" s="856"/>
      <c r="AC46" s="856"/>
      <c r="AD46" s="856"/>
      <c r="AE46" s="855"/>
      <c r="AF46" s="855"/>
      <c r="AG46" s="855"/>
      <c r="AH46" s="855" t="s">
        <v>2</v>
      </c>
      <c r="AI46" s="81"/>
      <c r="AJ46" s="81"/>
      <c r="AK46" s="81"/>
      <c r="AL46" s="81"/>
      <c r="AM46" s="81"/>
      <c r="AN46" s="855"/>
      <c r="AO46" s="855"/>
      <c r="AP46" s="855"/>
      <c r="AQ46" s="855"/>
      <c r="AR46" s="855"/>
      <c r="AS46" s="855"/>
      <c r="AT46" s="855"/>
      <c r="AU46" s="856"/>
      <c r="AV46" s="856"/>
      <c r="AW46" s="856"/>
      <c r="AY46" s="854"/>
      <c r="AZ46" s="856"/>
      <c r="BA46" s="855"/>
      <c r="BB46" s="855"/>
      <c r="BC46" s="855"/>
      <c r="BD46" s="855"/>
      <c r="BE46" s="855"/>
      <c r="BF46" s="855"/>
      <c r="BG46" s="855"/>
      <c r="BH46" s="855"/>
      <c r="BI46" s="856"/>
      <c r="BJ46" s="856"/>
      <c r="BK46" s="856"/>
      <c r="BL46" s="856"/>
      <c r="BM46" s="856"/>
      <c r="BN46" s="856"/>
      <c r="BO46" s="856"/>
      <c r="BP46" s="856"/>
      <c r="BQ46" s="856"/>
      <c r="BR46" s="855"/>
    </row>
    <row r="47" spans="1:70" s="845" customFormat="1" ht="14.25">
      <c r="D47" s="850"/>
      <c r="E47" s="850"/>
      <c r="F47" s="855"/>
      <c r="G47" s="850"/>
      <c r="H47" s="855"/>
      <c r="I47" s="855"/>
      <c r="J47" s="855"/>
      <c r="K47" s="855"/>
      <c r="L47" s="855"/>
      <c r="M47" s="855"/>
      <c r="N47" s="855"/>
      <c r="O47" s="855"/>
      <c r="P47" s="848"/>
      <c r="Q47" s="850" t="s">
        <v>2778</v>
      </c>
      <c r="R47" s="848"/>
      <c r="S47" s="857"/>
      <c r="T47" s="857"/>
      <c r="U47" s="857"/>
      <c r="V47" s="857"/>
      <c r="W47" s="857"/>
      <c r="X47" s="857"/>
      <c r="Y47" s="857"/>
      <c r="Z47" s="857"/>
      <c r="AA47" s="854"/>
      <c r="AB47" s="856"/>
      <c r="AC47" s="856"/>
      <c r="AD47" s="856"/>
      <c r="AE47" s="855"/>
      <c r="AF47" s="855"/>
      <c r="AG47" s="855"/>
      <c r="AH47" s="855"/>
      <c r="AI47" s="1395" t="b">
        <f>SUM($AI$46:$AM$46)&lt;=0.25*SUM($AI$34:$AM$34)</f>
        <v>1</v>
      </c>
      <c r="AJ47" s="1396"/>
      <c r="AK47" s="1396"/>
      <c r="AL47" s="1396"/>
      <c r="AM47" s="1397"/>
      <c r="AN47" s="855"/>
      <c r="AO47" s="855"/>
      <c r="AP47" s="855"/>
      <c r="AQ47" s="855"/>
      <c r="AR47" s="855"/>
      <c r="AS47" s="855"/>
      <c r="AT47" s="855"/>
      <c r="AU47" s="856"/>
      <c r="AV47" s="856"/>
      <c r="AW47" s="856"/>
      <c r="AY47" s="854"/>
      <c r="AZ47" s="856"/>
      <c r="BA47" s="855"/>
      <c r="BB47" s="855"/>
      <c r="BC47" s="855"/>
      <c r="BD47" s="855"/>
      <c r="BE47" s="855"/>
      <c r="BF47" s="855"/>
      <c r="BG47" s="855"/>
      <c r="BH47" s="855"/>
      <c r="BI47" s="856"/>
      <c r="BJ47" s="856"/>
      <c r="BK47" s="856"/>
      <c r="BL47" s="856"/>
      <c r="BM47" s="856"/>
      <c r="BN47" s="856"/>
      <c r="BO47" s="856"/>
      <c r="BP47" s="856"/>
      <c r="BQ47" s="856"/>
      <c r="BR47" s="855"/>
    </row>
    <row r="49" spans="1:70" ht="13.9">
      <c r="A49" s="845"/>
      <c r="B49" s="845"/>
      <c r="C49" s="846" t="s">
        <v>1781</v>
      </c>
      <c r="D49" s="846"/>
      <c r="E49" s="846"/>
      <c r="F49" s="846"/>
      <c r="G49" s="846"/>
      <c r="H49" s="846"/>
      <c r="I49" s="846"/>
      <c r="J49" s="846"/>
      <c r="K49" s="846"/>
      <c r="L49" s="846"/>
      <c r="M49" s="846"/>
      <c r="N49" s="846"/>
      <c r="O49" s="847"/>
      <c r="P49" s="847"/>
      <c r="Q49" s="847"/>
      <c r="R49" s="847"/>
      <c r="S49" s="847"/>
      <c r="T49" s="847"/>
      <c r="U49" s="847"/>
      <c r="V49" s="847"/>
      <c r="W49" s="847"/>
      <c r="X49" s="847"/>
      <c r="Y49" s="847"/>
      <c r="Z49" s="847"/>
      <c r="AA49" s="847"/>
      <c r="AB49" s="847"/>
      <c r="AC49" s="847"/>
      <c r="AD49" s="847"/>
      <c r="AE49" s="847"/>
      <c r="AF49" s="847"/>
      <c r="AG49" s="847"/>
      <c r="AH49" s="847"/>
      <c r="AI49" s="847"/>
      <c r="AJ49" s="847"/>
      <c r="AK49" s="847"/>
      <c r="AL49" s="847"/>
      <c r="AM49" s="847"/>
    </row>
    <row r="50" spans="1:70" s="845" customFormat="1">
      <c r="P50" s="848"/>
      <c r="Q50" s="848"/>
      <c r="R50" s="848"/>
      <c r="S50" s="848"/>
      <c r="T50" s="848"/>
      <c r="U50" s="848"/>
      <c r="V50" s="859"/>
      <c r="W50" s="859"/>
      <c r="X50" s="859"/>
      <c r="Y50" s="859"/>
      <c r="Z50" s="859"/>
      <c r="AA50" s="854"/>
      <c r="AB50" s="856"/>
      <c r="AC50" s="856"/>
      <c r="AD50" s="856"/>
      <c r="AE50" s="855"/>
      <c r="AF50" s="855"/>
      <c r="AG50" s="855"/>
      <c r="AH50" s="855"/>
      <c r="AK50" s="854"/>
      <c r="AL50" s="856"/>
      <c r="AM50" s="855"/>
      <c r="AN50" s="855"/>
      <c r="AO50" s="855"/>
      <c r="AP50" s="855"/>
      <c r="AQ50" s="855"/>
      <c r="AR50" s="855"/>
      <c r="AS50" s="855"/>
      <c r="AT50" s="855"/>
      <c r="AU50" s="856"/>
      <c r="AV50" s="856"/>
      <c r="AW50" s="856"/>
      <c r="AY50" s="854"/>
      <c r="AZ50" s="856"/>
      <c r="BA50" s="855"/>
      <c r="BB50" s="855"/>
      <c r="BC50" s="855"/>
      <c r="BD50" s="855"/>
      <c r="BE50" s="855"/>
      <c r="BF50" s="855"/>
      <c r="BG50" s="855"/>
      <c r="BH50" s="855"/>
      <c r="BI50" s="856"/>
      <c r="BJ50" s="856"/>
      <c r="BK50" s="856"/>
      <c r="BL50" s="856"/>
      <c r="BM50" s="856"/>
      <c r="BN50" s="856"/>
      <c r="BO50" s="856"/>
      <c r="BP50" s="856"/>
      <c r="BQ50" s="856"/>
      <c r="BR50" s="855"/>
    </row>
    <row r="51" spans="1:70" s="845" customFormat="1" ht="13.9">
      <c r="D51" s="850"/>
      <c r="E51" s="850" t="s">
        <v>2774</v>
      </c>
      <c r="F51" s="855"/>
      <c r="G51" s="850" t="s">
        <v>149</v>
      </c>
      <c r="H51" s="855"/>
      <c r="I51" s="855"/>
      <c r="J51" s="855"/>
      <c r="K51" s="855"/>
      <c r="L51" s="855"/>
      <c r="M51" s="855"/>
      <c r="N51" s="855"/>
      <c r="O51" s="855"/>
      <c r="P51" s="848"/>
      <c r="Q51" s="850" t="s">
        <v>1092</v>
      </c>
      <c r="R51" s="862" t="s">
        <v>2779</v>
      </c>
      <c r="S51" s="848"/>
      <c r="T51" s="848"/>
      <c r="U51" s="848"/>
      <c r="V51" s="859"/>
      <c r="W51" s="859"/>
      <c r="X51" s="859"/>
      <c r="Y51" s="859"/>
      <c r="Z51" s="859"/>
      <c r="AA51" s="854"/>
      <c r="AB51" s="856"/>
      <c r="AC51" s="856"/>
      <c r="AD51" s="856"/>
      <c r="AE51" s="855"/>
      <c r="AF51" s="855"/>
      <c r="AG51" s="855"/>
      <c r="AH51" s="855" t="s">
        <v>2</v>
      </c>
      <c r="AI51" s="1332" t="s">
        <v>2780</v>
      </c>
      <c r="AJ51" s="855"/>
      <c r="AK51" s="855"/>
      <c r="AL51" s="855"/>
      <c r="AM51" s="855"/>
      <c r="AN51" s="855"/>
      <c r="AO51" s="855"/>
      <c r="AP51" s="855"/>
      <c r="AQ51" s="855"/>
      <c r="AR51" s="855"/>
      <c r="AS51" s="855"/>
      <c r="AT51" s="855"/>
      <c r="AU51" s="856"/>
      <c r="AV51" s="856"/>
      <c r="AW51" s="856"/>
      <c r="AY51" s="854"/>
      <c r="AZ51" s="856"/>
      <c r="BA51" s="855"/>
      <c r="BB51" s="855"/>
      <c r="BC51" s="855"/>
      <c r="BD51" s="855"/>
      <c r="BE51" s="855"/>
      <c r="BF51" s="855"/>
      <c r="BG51" s="855"/>
      <c r="BH51" s="855"/>
      <c r="BI51" s="856"/>
      <c r="BJ51" s="856"/>
      <c r="BK51" s="856"/>
      <c r="BL51" s="856"/>
      <c r="BM51" s="856"/>
      <c r="BN51" s="856"/>
      <c r="BO51" s="856"/>
      <c r="BP51" s="856"/>
      <c r="BQ51" s="856"/>
      <c r="BR51" s="855"/>
    </row>
    <row r="52" spans="1:70" s="845" customFormat="1" ht="13.9">
      <c r="D52" s="850"/>
      <c r="E52" s="850" t="s">
        <v>2774</v>
      </c>
      <c r="F52" s="855"/>
      <c r="G52" s="850" t="s">
        <v>149</v>
      </c>
      <c r="H52" s="855"/>
      <c r="I52" s="855"/>
      <c r="J52" s="855"/>
      <c r="K52" s="855"/>
      <c r="L52" s="855"/>
      <c r="M52" s="855"/>
      <c r="N52" s="855"/>
      <c r="O52" s="855"/>
      <c r="P52" s="848"/>
      <c r="Q52" s="850" t="s">
        <v>1092</v>
      </c>
      <c r="R52" s="862" t="s">
        <v>2781</v>
      </c>
      <c r="S52" s="848"/>
      <c r="T52" s="848"/>
      <c r="U52" s="848"/>
      <c r="V52" s="859"/>
      <c r="W52" s="859"/>
      <c r="X52" s="859"/>
      <c r="Y52" s="859"/>
      <c r="Z52" s="859"/>
      <c r="AA52" s="854"/>
      <c r="AB52" s="856"/>
      <c r="AC52" s="856"/>
      <c r="AD52" s="856"/>
      <c r="AE52" s="855"/>
      <c r="AF52" s="855"/>
      <c r="AG52" s="855"/>
      <c r="AH52" s="855" t="s">
        <v>2</v>
      </c>
      <c r="AI52" s="1331" t="s">
        <v>2782</v>
      </c>
      <c r="AJ52" s="855"/>
      <c r="AK52" s="855"/>
      <c r="AL52" s="855"/>
      <c r="AM52" s="855"/>
      <c r="AN52" s="855"/>
      <c r="AO52" s="855"/>
      <c r="AP52" s="855"/>
      <c r="AQ52" s="855"/>
      <c r="AR52" s="855"/>
      <c r="AS52" s="855"/>
      <c r="AT52" s="855"/>
      <c r="AU52" s="856"/>
      <c r="AV52" s="856"/>
      <c r="AW52" s="856"/>
      <c r="AY52" s="854"/>
      <c r="AZ52" s="856"/>
      <c r="BA52" s="855"/>
      <c r="BB52" s="855"/>
      <c r="BC52" s="855"/>
      <c r="BD52" s="855"/>
      <c r="BE52" s="855"/>
      <c r="BF52" s="855"/>
      <c r="BG52" s="855"/>
      <c r="BH52" s="855"/>
      <c r="BI52" s="856"/>
      <c r="BJ52" s="856"/>
      <c r="BK52" s="856"/>
      <c r="BL52" s="856"/>
      <c r="BM52" s="856"/>
      <c r="BN52" s="856"/>
      <c r="BO52" s="856"/>
      <c r="BP52" s="856"/>
      <c r="BQ52" s="856"/>
      <c r="BR52" s="855"/>
    </row>
    <row r="53" spans="1:70" s="845" customFormat="1" ht="13.9">
      <c r="D53" s="850"/>
      <c r="E53" s="850" t="s">
        <v>2774</v>
      </c>
      <c r="F53" s="855"/>
      <c r="G53" s="850" t="s">
        <v>149</v>
      </c>
      <c r="H53" s="855"/>
      <c r="I53" s="855"/>
      <c r="J53" s="855"/>
      <c r="K53" s="855"/>
      <c r="L53" s="855"/>
      <c r="M53" s="855"/>
      <c r="N53" s="855"/>
      <c r="O53" s="855"/>
      <c r="P53" s="848"/>
      <c r="Q53" s="850" t="s">
        <v>1092</v>
      </c>
      <c r="R53" s="863" t="s">
        <v>2783</v>
      </c>
      <c r="S53" s="66"/>
      <c r="T53" s="66"/>
      <c r="U53" s="66"/>
      <c r="V53" s="857" t="s">
        <v>12</v>
      </c>
      <c r="W53" s="857"/>
      <c r="X53" s="857"/>
      <c r="Y53" s="857"/>
      <c r="Z53" s="857"/>
      <c r="AA53" s="854"/>
      <c r="AB53" s="856"/>
      <c r="AC53" s="856"/>
      <c r="AD53" s="856"/>
      <c r="AE53" s="855"/>
      <c r="AF53" s="855"/>
      <c r="AG53" s="855"/>
      <c r="AH53" s="855" t="s">
        <v>2</v>
      </c>
      <c r="AI53" s="860">
        <f>IF(AI54=TRUE,0.9*AI34,SUM(AI51:AM52))</f>
        <v>0</v>
      </c>
      <c r="AJ53" s="860">
        <f>IF(AJ54=TRUE,0.9*AJ34,MAX(SUM($AI$51:$AM$52)-SUM($AI$53:AI53),0))</f>
        <v>0</v>
      </c>
      <c r="AK53" s="860">
        <f>IF(AK54=TRUE,0.9*AK34,MAX(SUM($AI$51:$AM$52)-SUM($AI$53:AJ53),0))</f>
        <v>0</v>
      </c>
      <c r="AL53" s="860">
        <f>IF(AL54=TRUE,0.9*AL34,MAX(SUM($AI$51:$AM$52)-SUM($AI$53:AK53),0))</f>
        <v>0</v>
      </c>
      <c r="AM53" s="860">
        <f>IF(AM54=TRUE,0.9*AM34,MAX(SUM($AI$51:$AM$52)-SUM($AI$53:AL53),0))</f>
        <v>0</v>
      </c>
      <c r="AN53" s="864"/>
      <c r="AO53" s="855"/>
      <c r="AP53" s="855"/>
      <c r="AQ53" s="855"/>
      <c r="AR53" s="855"/>
      <c r="AS53" s="855"/>
      <c r="AT53" s="855"/>
      <c r="AU53" s="856"/>
      <c r="AV53" s="856"/>
      <c r="AW53" s="856"/>
      <c r="AY53" s="854"/>
      <c r="AZ53" s="856"/>
      <c r="BA53" s="855"/>
      <c r="BB53" s="855"/>
      <c r="BC53" s="855"/>
      <c r="BD53" s="855"/>
      <c r="BE53" s="855"/>
      <c r="BF53" s="855"/>
      <c r="BG53" s="855"/>
      <c r="BH53" s="855"/>
      <c r="BI53" s="856"/>
      <c r="BJ53" s="856"/>
      <c r="BK53" s="856"/>
      <c r="BL53" s="856"/>
      <c r="BM53" s="856"/>
      <c r="BN53" s="856"/>
      <c r="BO53" s="856"/>
      <c r="BP53" s="856"/>
      <c r="BQ53" s="856"/>
      <c r="BR53" s="855"/>
    </row>
    <row r="54" spans="1:70" ht="14.25">
      <c r="Q54" s="850" t="s">
        <v>2784</v>
      </c>
      <c r="AI54" s="55" t="b">
        <f>0.9*SUM($AI$34:AI34)&lt;=SUM($AI$51:$AM$52)</f>
        <v>1</v>
      </c>
      <c r="AJ54" s="55" t="b">
        <f>0.9*SUM($AI$34:AJ34)&lt;=SUM($AI$51:$AM$52)</f>
        <v>1</v>
      </c>
      <c r="AK54" s="55" t="b">
        <f>0.9*SUM($AI$34:AK34)&lt;=SUM($AI$51:$AM$52)</f>
        <v>1</v>
      </c>
      <c r="AL54" s="55" t="b">
        <f>0.9*SUM($AI$34:AL34)&lt;=SUM($AI$51:$AM$52)</f>
        <v>1</v>
      </c>
      <c r="AM54" s="55" t="b">
        <f>0.9*SUM($AI$34:AM34)&lt;=SUM($AI$51:$AM$52)</f>
        <v>1</v>
      </c>
    </row>
    <row r="55" spans="1:70">
      <c r="AI55" s="864"/>
    </row>
    <row r="56" spans="1:70" ht="13.9">
      <c r="A56" s="845"/>
      <c r="B56" s="845"/>
      <c r="C56" s="846" t="s">
        <v>1782</v>
      </c>
      <c r="D56" s="846"/>
      <c r="E56" s="846"/>
      <c r="F56" s="846"/>
      <c r="G56" s="846"/>
      <c r="H56" s="846"/>
      <c r="I56" s="846"/>
      <c r="J56" s="846"/>
      <c r="K56" s="846"/>
      <c r="L56" s="846"/>
      <c r="M56" s="846"/>
      <c r="N56" s="846"/>
      <c r="O56" s="847"/>
      <c r="P56" s="847"/>
      <c r="Q56" s="847"/>
      <c r="R56" s="847"/>
      <c r="S56" s="847"/>
      <c r="T56" s="847"/>
      <c r="U56" s="847"/>
      <c r="V56" s="847"/>
      <c r="W56" s="847"/>
      <c r="X56" s="847"/>
      <c r="Y56" s="847"/>
      <c r="Z56" s="847"/>
      <c r="AA56" s="847"/>
      <c r="AB56" s="847"/>
      <c r="AC56" s="847"/>
      <c r="AD56" s="847"/>
      <c r="AE56" s="847"/>
      <c r="AF56" s="847"/>
      <c r="AG56" s="847"/>
      <c r="AH56" s="847"/>
      <c r="AI56" s="847"/>
      <c r="AJ56" s="847"/>
      <c r="AK56" s="847"/>
      <c r="AL56" s="847"/>
      <c r="AM56" s="847"/>
    </row>
    <row r="57" spans="1:70" s="845" customFormat="1">
      <c r="P57" s="848"/>
      <c r="Q57" s="848"/>
      <c r="R57" s="848"/>
      <c r="S57" s="848"/>
      <c r="T57" s="848"/>
      <c r="U57" s="848"/>
      <c r="V57" s="859"/>
      <c r="W57" s="859"/>
      <c r="X57" s="859"/>
      <c r="Y57" s="859"/>
      <c r="Z57" s="859"/>
      <c r="AA57" s="854"/>
      <c r="AB57" s="856"/>
      <c r="AC57" s="856"/>
      <c r="AD57" s="856"/>
      <c r="AE57" s="855"/>
      <c r="AF57" s="855"/>
      <c r="AG57" s="855"/>
      <c r="AH57" s="855"/>
      <c r="AK57" s="854"/>
      <c r="AL57" s="856"/>
      <c r="AM57" s="855"/>
      <c r="AN57" s="855"/>
      <c r="AO57" s="855"/>
      <c r="AP57" s="855"/>
      <c r="AQ57" s="855"/>
      <c r="AR57" s="855"/>
      <c r="AS57" s="855"/>
      <c r="AT57" s="855"/>
      <c r="AU57" s="856"/>
      <c r="AV57" s="856"/>
      <c r="AW57" s="856"/>
      <c r="AY57" s="854"/>
      <c r="AZ57" s="856"/>
      <c r="BA57" s="855"/>
      <c r="BB57" s="855"/>
      <c r="BC57" s="855"/>
      <c r="BD57" s="855"/>
      <c r="BE57" s="855"/>
      <c r="BF57" s="855"/>
      <c r="BG57" s="855"/>
      <c r="BH57" s="855"/>
      <c r="BI57" s="856"/>
      <c r="BJ57" s="856"/>
      <c r="BK57" s="856"/>
      <c r="BL57" s="856"/>
      <c r="BM57" s="856"/>
      <c r="BN57" s="856"/>
      <c r="BO57" s="856"/>
      <c r="BP57" s="856"/>
      <c r="BQ57" s="856"/>
      <c r="BR57" s="855"/>
    </row>
    <row r="58" spans="1:70" s="845" customFormat="1">
      <c r="D58" s="850"/>
      <c r="E58" s="850" t="s">
        <v>2774</v>
      </c>
      <c r="F58" s="855"/>
      <c r="G58" s="850" t="s">
        <v>149</v>
      </c>
      <c r="H58" s="855"/>
      <c r="I58" s="855"/>
      <c r="J58" s="855"/>
      <c r="K58" s="855"/>
      <c r="L58" s="855"/>
      <c r="M58" s="855"/>
      <c r="N58" s="855"/>
      <c r="O58" s="855"/>
      <c r="P58" s="848"/>
      <c r="Q58" s="850" t="s">
        <v>1092</v>
      </c>
      <c r="R58" s="865" t="s">
        <v>1782</v>
      </c>
      <c r="S58" s="864"/>
      <c r="T58" s="864"/>
      <c r="U58" s="864"/>
      <c r="V58" s="857" t="s">
        <v>12</v>
      </c>
      <c r="W58" s="857"/>
      <c r="X58" s="857"/>
      <c r="Y58" s="857"/>
      <c r="Z58" s="857" t="s">
        <v>2775</v>
      </c>
      <c r="AA58" s="854"/>
      <c r="AB58" s="856"/>
      <c r="AC58" s="856"/>
      <c r="AD58" s="856"/>
      <c r="AE58" s="855"/>
      <c r="AF58" s="855"/>
      <c r="AG58" s="855"/>
      <c r="AH58" s="855" t="s">
        <v>2</v>
      </c>
      <c r="AI58" s="81"/>
      <c r="AJ58" s="81"/>
      <c r="AK58" s="81"/>
      <c r="AL58" s="81"/>
      <c r="AM58" s="81"/>
      <c r="AN58" s="855"/>
      <c r="AO58" s="855"/>
      <c r="AP58" s="855"/>
      <c r="AQ58" s="855"/>
      <c r="AR58" s="855"/>
      <c r="AS58" s="855"/>
      <c r="AT58" s="855"/>
      <c r="AU58" s="856"/>
      <c r="AV58" s="856"/>
      <c r="AW58" s="856"/>
      <c r="AY58" s="854"/>
      <c r="AZ58" s="856"/>
      <c r="BA58" s="855"/>
      <c r="BB58" s="855"/>
      <c r="BC58" s="855"/>
      <c r="BD58" s="855"/>
      <c r="BE58" s="855"/>
      <c r="BF58" s="855"/>
      <c r="BG58" s="855"/>
      <c r="BH58" s="855"/>
      <c r="BI58" s="856"/>
      <c r="BJ58" s="856"/>
      <c r="BK58" s="856"/>
      <c r="BL58" s="856"/>
      <c r="BM58" s="856"/>
      <c r="BN58" s="856"/>
      <c r="BO58" s="856"/>
      <c r="BP58" s="856"/>
      <c r="BQ58" s="856"/>
      <c r="BR58" s="855"/>
    </row>
    <row r="59" spans="1:70" ht="18.75" customHeight="1">
      <c r="AI59" s="435"/>
      <c r="AJ59" s="435"/>
      <c r="AK59" s="435"/>
      <c r="AL59" s="435"/>
      <c r="AM59" s="435"/>
    </row>
    <row r="60" spans="1:70" s="73" customFormat="1" ht="18">
      <c r="A60" s="74" t="s">
        <v>76</v>
      </c>
    </row>
  </sheetData>
  <mergeCells count="1">
    <mergeCell ref="AI47:AM4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7" activePane="bottomLeft" state="frozen"/>
      <selection activeCell="Q28" sqref="Q28"/>
      <selection pane="bottomLeft"/>
    </sheetView>
  </sheetViews>
  <sheetFormatPr defaultColWidth="0" defaultRowHeight="13.5"/>
  <cols>
    <col min="1" max="3" width="1.59765625" style="66" customWidth="1"/>
    <col min="4" max="4" width="1.73046875" style="66" customWidth="1"/>
    <col min="5" max="5" width="23.3984375" style="66" bestFit="1" customWidth="1"/>
    <col min="6" max="6" width="7.3984375" style="66" bestFit="1" customWidth="1"/>
    <col min="7" max="7" width="5.1328125" style="66" bestFit="1" customWidth="1"/>
    <col min="8" max="8" width="5.1328125" style="66" customWidth="1"/>
    <col min="9" max="16" width="1.1328125" style="66" customWidth="1"/>
    <col min="17" max="17" width="14.86328125" style="66" bestFit="1" customWidth="1"/>
    <col min="18" max="18" width="14.265625" style="66" bestFit="1" customWidth="1"/>
    <col min="19" max="19" width="21" style="66" bestFit="1" customWidth="1"/>
    <col min="20" max="20" width="38.265625" style="66" bestFit="1" customWidth="1"/>
    <col min="21" max="21" width="28.73046875" style="66" bestFit="1" customWidth="1"/>
    <col min="22" max="22" width="10.86328125" style="66" bestFit="1" customWidth="1"/>
    <col min="23" max="25" width="0.3984375" style="66" customWidth="1"/>
    <col min="26" max="26" width="10.3984375" style="66" bestFit="1" customWidth="1"/>
    <col min="27" max="27" width="11.265625" style="66" bestFit="1" customWidth="1"/>
    <col min="28" max="33" width="2" style="66" customWidth="1"/>
    <col min="34" max="34" width="5.3984375" style="66" bestFit="1" customWidth="1"/>
    <col min="35" max="39" width="10.86328125" style="66" customWidth="1"/>
    <col min="40" max="45" width="1.59765625" style="66" customWidth="1"/>
    <col min="46" max="63" width="18.3984375" style="66" hidden="1" customWidth="1"/>
    <col min="64" max="16384" width="14" style="66" hidden="1"/>
  </cols>
  <sheetData>
    <row r="1" spans="1:70" s="817" customFormat="1" ht="23.25">
      <c r="A1" s="89" t="str">
        <f>'1.1 Cover'!A2</f>
        <v>Regulatory Reporting Pack</v>
      </c>
      <c r="B1" s="113"/>
    </row>
    <row r="2" spans="1:70" s="817" customFormat="1" ht="23.25">
      <c r="A2" s="89" t="str">
        <f>'1.1 Cover'!A3</f>
        <v>Price base - 2018/19</v>
      </c>
      <c r="B2" s="113"/>
    </row>
    <row r="3" spans="1:70" s="817" customFormat="1" ht="23.25">
      <c r="A3" s="89" t="str">
        <f>'1.1 Cover'!A4</f>
        <v>Regulatory Year: April 2021 - March 2022</v>
      </c>
      <c r="B3" s="113"/>
    </row>
    <row r="4" spans="1:70" s="817" customFormat="1" ht="23.25">
      <c r="A4" s="89" t="s">
        <v>2857</v>
      </c>
      <c r="B4" s="113"/>
    </row>
    <row r="6" spans="1:70" s="843" customFormat="1" ht="45">
      <c r="A6" s="836"/>
      <c r="B6" s="837"/>
      <c r="C6" s="837"/>
      <c r="D6" s="3"/>
      <c r="E6" s="3" t="s">
        <v>10</v>
      </c>
      <c r="F6" s="3" t="s">
        <v>38</v>
      </c>
      <c r="G6" s="3" t="s">
        <v>68</v>
      </c>
      <c r="H6" s="3" t="s">
        <v>2757</v>
      </c>
      <c r="I6" s="3" t="s">
        <v>2758</v>
      </c>
      <c r="J6" s="3" t="s">
        <v>2759</v>
      </c>
      <c r="K6" s="3" t="s">
        <v>2760</v>
      </c>
      <c r="L6" s="3" t="s">
        <v>2761</v>
      </c>
      <c r="M6" s="3" t="s">
        <v>2762</v>
      </c>
      <c r="N6" s="3" t="s">
        <v>11</v>
      </c>
      <c r="O6" s="3" t="s">
        <v>2763</v>
      </c>
      <c r="P6" s="838" t="s">
        <v>2764</v>
      </c>
      <c r="Q6" s="840" t="s">
        <v>2765</v>
      </c>
      <c r="R6" s="838"/>
      <c r="S6" s="839" t="s">
        <v>1777</v>
      </c>
      <c r="T6" s="839" t="s">
        <v>1778</v>
      </c>
      <c r="U6" s="839" t="s">
        <v>1779</v>
      </c>
      <c r="V6" s="838" t="s">
        <v>2767</v>
      </c>
      <c r="W6" s="838"/>
      <c r="X6" s="838"/>
      <c r="Y6" s="838"/>
      <c r="Z6" s="838"/>
      <c r="AA6" s="840"/>
      <c r="AB6" s="841"/>
      <c r="AC6" s="841"/>
      <c r="AD6" s="841"/>
      <c r="AE6" s="841"/>
      <c r="AF6" s="841"/>
      <c r="AG6" s="841"/>
      <c r="AH6" s="838" t="s">
        <v>5</v>
      </c>
      <c r="AI6" s="842">
        <v>2022</v>
      </c>
      <c r="AJ6" s="842">
        <v>2023</v>
      </c>
      <c r="AK6" s="842">
        <v>2024</v>
      </c>
      <c r="AL6" s="842">
        <v>2025</v>
      </c>
      <c r="AM6" s="842">
        <v>2026</v>
      </c>
      <c r="AN6" s="836"/>
      <c r="AO6" s="836"/>
      <c r="AP6" s="836"/>
      <c r="AQ6" s="836"/>
      <c r="AR6" s="836"/>
      <c r="AS6" s="836"/>
      <c r="AT6" s="836"/>
      <c r="AU6" s="836"/>
      <c r="AV6" s="836"/>
      <c r="AW6" s="836"/>
      <c r="AX6" s="836"/>
      <c r="AY6" s="836"/>
      <c r="AZ6" s="836"/>
      <c r="BA6" s="836"/>
      <c r="BB6" s="836"/>
      <c r="BC6" s="836"/>
      <c r="BD6" s="836"/>
      <c r="BE6" s="836"/>
      <c r="BF6" s="836"/>
      <c r="BG6" s="836"/>
      <c r="BH6" s="836"/>
      <c r="BI6" s="836"/>
      <c r="BJ6" s="836"/>
      <c r="BK6" s="836"/>
    </row>
    <row r="8" spans="1:70" s="1" customFormat="1" ht="13.9">
      <c r="B8" s="866" t="s">
        <v>2785</v>
      </c>
    </row>
    <row r="10" spans="1:70" ht="15">
      <c r="A10" s="848"/>
      <c r="B10" s="849"/>
      <c r="C10" s="849"/>
      <c r="D10" s="850"/>
      <c r="E10" s="850" t="s">
        <v>2774</v>
      </c>
      <c r="F10" s="850"/>
      <c r="G10" s="850" t="s">
        <v>149</v>
      </c>
      <c r="H10" s="850"/>
      <c r="I10" s="850"/>
      <c r="J10" s="850"/>
      <c r="K10" s="850"/>
      <c r="L10" s="850"/>
      <c r="M10" s="850"/>
      <c r="N10" s="850"/>
      <c r="O10" s="850"/>
      <c r="P10" s="848"/>
      <c r="Q10" s="850" t="s">
        <v>1096</v>
      </c>
      <c r="R10" s="848"/>
      <c r="S10" s="81"/>
      <c r="T10" s="81"/>
      <c r="U10" s="81"/>
      <c r="V10" s="836" t="s">
        <v>12</v>
      </c>
      <c r="W10" s="836"/>
      <c r="X10" s="836"/>
      <c r="Y10" s="836"/>
      <c r="Z10" s="836"/>
      <c r="AA10" s="852"/>
      <c r="AB10" s="848" t="s">
        <v>0</v>
      </c>
      <c r="AC10" s="848"/>
      <c r="AD10" s="848"/>
      <c r="AE10" s="848"/>
      <c r="AF10" s="848"/>
      <c r="AG10" s="848"/>
      <c r="AH10" s="848" t="s">
        <v>2</v>
      </c>
      <c r="AI10" s="81"/>
      <c r="AJ10" s="81"/>
      <c r="AK10" s="81"/>
      <c r="AL10" s="81"/>
      <c r="AM10" s="81"/>
      <c r="AN10" s="848"/>
      <c r="AO10" s="848"/>
      <c r="AP10" s="848"/>
      <c r="AQ10" s="848"/>
      <c r="AR10" s="848"/>
      <c r="AS10" s="853"/>
      <c r="AT10" s="853"/>
      <c r="AU10" s="853"/>
      <c r="AV10" s="853"/>
      <c r="AW10" s="853"/>
      <c r="AX10" s="853"/>
      <c r="AY10" s="848"/>
      <c r="AZ10" s="848"/>
      <c r="BA10" s="848"/>
      <c r="BB10" s="848"/>
      <c r="BC10" s="848"/>
      <c r="BD10" s="848"/>
      <c r="BE10" s="848"/>
      <c r="BF10" s="848"/>
      <c r="BG10" s="853"/>
      <c r="BH10" s="853"/>
      <c r="BI10" s="853"/>
      <c r="BJ10" s="853"/>
      <c r="BK10" s="853"/>
    </row>
    <row r="11" spans="1:70" ht="15">
      <c r="A11" s="848"/>
      <c r="B11" s="849"/>
      <c r="C11" s="849"/>
      <c r="D11" s="850"/>
      <c r="E11" s="850" t="s">
        <v>2774</v>
      </c>
      <c r="F11" s="850"/>
      <c r="G11" s="850" t="s">
        <v>149</v>
      </c>
      <c r="H11" s="850"/>
      <c r="I11" s="850"/>
      <c r="J11" s="850"/>
      <c r="K11" s="850"/>
      <c r="L11" s="850"/>
      <c r="M11" s="850"/>
      <c r="N11" s="850"/>
      <c r="O11" s="850"/>
      <c r="P11" s="848"/>
      <c r="Q11" s="850" t="s">
        <v>1096</v>
      </c>
      <c r="R11" s="848"/>
      <c r="S11" s="81"/>
      <c r="T11" s="81"/>
      <c r="U11" s="81"/>
      <c r="V11" s="836" t="s">
        <v>12</v>
      </c>
      <c r="W11" s="836"/>
      <c r="X11" s="836"/>
      <c r="Y11" s="836"/>
      <c r="Z11" s="836"/>
      <c r="AA11" s="852"/>
      <c r="AB11" s="848" t="s">
        <v>0</v>
      </c>
      <c r="AC11" s="848"/>
      <c r="AD11" s="848"/>
      <c r="AE11" s="848"/>
      <c r="AF11" s="848"/>
      <c r="AG11" s="848"/>
      <c r="AH11" s="848" t="s">
        <v>2</v>
      </c>
      <c r="AI11" s="81"/>
      <c r="AJ11" s="81"/>
      <c r="AK11" s="81"/>
      <c r="AL11" s="81"/>
      <c r="AM11" s="81"/>
      <c r="AN11" s="848"/>
      <c r="AO11" s="848"/>
      <c r="AP11" s="848"/>
      <c r="AQ11" s="848"/>
      <c r="AR11" s="848"/>
      <c r="AS11" s="853"/>
      <c r="AT11" s="853"/>
      <c r="AU11" s="853"/>
      <c r="AV11" s="853"/>
      <c r="AW11" s="853"/>
      <c r="AX11" s="853"/>
      <c r="AY11" s="848"/>
      <c r="AZ11" s="848"/>
      <c r="BA11" s="848"/>
      <c r="BB11" s="848"/>
      <c r="BC11" s="848"/>
      <c r="BD11" s="848"/>
      <c r="BE11" s="848"/>
      <c r="BF11" s="848"/>
      <c r="BG11" s="853"/>
      <c r="BH11" s="853"/>
      <c r="BI11" s="853"/>
      <c r="BJ11" s="853"/>
      <c r="BK11" s="853"/>
    </row>
    <row r="12" spans="1:70" ht="15">
      <c r="A12" s="848"/>
      <c r="B12" s="849"/>
      <c r="C12" s="849"/>
      <c r="D12" s="850"/>
      <c r="E12" s="850" t="s">
        <v>2774</v>
      </c>
      <c r="F12" s="850"/>
      <c r="G12" s="850" t="s">
        <v>149</v>
      </c>
      <c r="H12" s="850"/>
      <c r="I12" s="850"/>
      <c r="J12" s="850"/>
      <c r="K12" s="850"/>
      <c r="L12" s="850"/>
      <c r="M12" s="850"/>
      <c r="N12" s="850"/>
      <c r="O12" s="850"/>
      <c r="P12" s="848"/>
      <c r="Q12" s="850" t="s">
        <v>1096</v>
      </c>
      <c r="R12" s="848"/>
      <c r="S12" s="81"/>
      <c r="T12" s="81"/>
      <c r="U12" s="81"/>
      <c r="V12" s="836" t="s">
        <v>12</v>
      </c>
      <c r="W12" s="836"/>
      <c r="X12" s="836"/>
      <c r="Y12" s="836"/>
      <c r="Z12" s="836"/>
      <c r="AA12" s="852"/>
      <c r="AB12" s="848" t="s">
        <v>0</v>
      </c>
      <c r="AC12" s="848"/>
      <c r="AD12" s="848"/>
      <c r="AE12" s="848"/>
      <c r="AF12" s="848"/>
      <c r="AG12" s="848"/>
      <c r="AH12" s="848" t="s">
        <v>2</v>
      </c>
      <c r="AI12" s="81"/>
      <c r="AJ12" s="81"/>
      <c r="AK12" s="81"/>
      <c r="AL12" s="81"/>
      <c r="AM12" s="81"/>
      <c r="AN12" s="848"/>
      <c r="AO12" s="848"/>
      <c r="AP12" s="848"/>
      <c r="AQ12" s="848"/>
      <c r="AR12" s="848"/>
      <c r="AS12" s="853"/>
      <c r="AT12" s="853"/>
      <c r="AU12" s="853"/>
      <c r="AV12" s="853"/>
      <c r="AW12" s="853"/>
      <c r="AX12" s="853"/>
      <c r="AY12" s="848"/>
      <c r="AZ12" s="848"/>
      <c r="BA12" s="848"/>
      <c r="BB12" s="848"/>
      <c r="BC12" s="848"/>
      <c r="BD12" s="848"/>
      <c r="BE12" s="848"/>
      <c r="BF12" s="848"/>
      <c r="BG12" s="853"/>
      <c r="BH12" s="853"/>
      <c r="BI12" s="853"/>
      <c r="BJ12" s="853"/>
      <c r="BK12" s="853"/>
    </row>
    <row r="13" spans="1:70" ht="15">
      <c r="A13" s="848"/>
      <c r="B13" s="849"/>
      <c r="C13" s="849"/>
      <c r="D13" s="850"/>
      <c r="E13" s="850" t="s">
        <v>2774</v>
      </c>
      <c r="F13" s="850"/>
      <c r="G13" s="850" t="s">
        <v>149</v>
      </c>
      <c r="H13" s="850"/>
      <c r="I13" s="850"/>
      <c r="J13" s="850"/>
      <c r="K13" s="850"/>
      <c r="L13" s="850"/>
      <c r="M13" s="850"/>
      <c r="N13" s="850"/>
      <c r="O13" s="850"/>
      <c r="P13" s="848"/>
      <c r="Q13" s="850" t="s">
        <v>1096</v>
      </c>
      <c r="R13" s="848"/>
      <c r="S13" s="81"/>
      <c r="T13" s="81"/>
      <c r="U13" s="81"/>
      <c r="V13" s="836" t="s">
        <v>12</v>
      </c>
      <c r="W13" s="836"/>
      <c r="X13" s="836"/>
      <c r="Y13" s="836"/>
      <c r="Z13" s="836"/>
      <c r="AA13" s="852"/>
      <c r="AB13" s="848" t="s">
        <v>0</v>
      </c>
      <c r="AC13" s="848"/>
      <c r="AD13" s="848"/>
      <c r="AE13" s="848"/>
      <c r="AF13" s="848"/>
      <c r="AG13" s="848"/>
      <c r="AH13" s="848" t="s">
        <v>2</v>
      </c>
      <c r="AI13" s="81"/>
      <c r="AJ13" s="81"/>
      <c r="AK13" s="81"/>
      <c r="AL13" s="81"/>
      <c r="AM13" s="81"/>
      <c r="AN13" s="848"/>
      <c r="AO13" s="848"/>
      <c r="AP13" s="848"/>
      <c r="AQ13" s="848"/>
      <c r="AR13" s="848"/>
      <c r="AS13" s="853"/>
      <c r="AT13" s="853"/>
      <c r="AU13" s="853"/>
      <c r="AV13" s="853"/>
      <c r="AW13" s="853"/>
      <c r="AX13" s="853"/>
      <c r="AY13" s="848"/>
      <c r="AZ13" s="848"/>
      <c r="BA13" s="848"/>
      <c r="BB13" s="848"/>
      <c r="BC13" s="848"/>
      <c r="BD13" s="848"/>
      <c r="BE13" s="848"/>
      <c r="BF13" s="848"/>
      <c r="BG13" s="853"/>
      <c r="BH13" s="853"/>
      <c r="BI13" s="853"/>
      <c r="BJ13" s="853"/>
      <c r="BK13" s="853"/>
    </row>
    <row r="14" spans="1:70" s="845" customFormat="1">
      <c r="B14" s="854"/>
      <c r="C14" s="854"/>
      <c r="D14" s="850"/>
      <c r="E14" s="850" t="s">
        <v>2774</v>
      </c>
      <c r="F14" s="855"/>
      <c r="G14" s="850" t="s">
        <v>149</v>
      </c>
      <c r="H14" s="855"/>
      <c r="I14" s="855"/>
      <c r="J14" s="855"/>
      <c r="K14" s="855"/>
      <c r="L14" s="855"/>
      <c r="M14" s="855"/>
      <c r="N14" s="855"/>
      <c r="O14" s="855"/>
      <c r="P14" s="848"/>
      <c r="Q14" s="850" t="s">
        <v>1096</v>
      </c>
      <c r="R14" s="848"/>
      <c r="S14" s="81"/>
      <c r="T14" s="81"/>
      <c r="U14" s="81"/>
      <c r="V14" s="854" t="s">
        <v>12</v>
      </c>
      <c r="W14" s="854"/>
      <c r="X14" s="854"/>
      <c r="Y14" s="854"/>
      <c r="Z14" s="854"/>
      <c r="AA14" s="854"/>
      <c r="AB14" s="854" t="s">
        <v>0</v>
      </c>
      <c r="AC14" s="854"/>
      <c r="AD14" s="854"/>
      <c r="AE14" s="855"/>
      <c r="AF14" s="855"/>
      <c r="AG14" s="855"/>
      <c r="AH14" s="855" t="s">
        <v>2</v>
      </c>
      <c r="AI14" s="81"/>
      <c r="AJ14" s="81"/>
      <c r="AK14" s="81"/>
      <c r="AL14" s="81"/>
      <c r="AM14" s="81"/>
      <c r="AN14" s="855"/>
      <c r="AO14" s="855"/>
      <c r="AP14" s="855"/>
      <c r="AQ14" s="855"/>
      <c r="AR14" s="855"/>
      <c r="AS14" s="855"/>
      <c r="AT14" s="855"/>
      <c r="AU14" s="856"/>
      <c r="AV14" s="856"/>
      <c r="AW14" s="856"/>
      <c r="AY14" s="854"/>
      <c r="AZ14" s="856"/>
      <c r="BA14" s="855"/>
      <c r="BB14" s="855"/>
      <c r="BC14" s="855"/>
      <c r="BD14" s="855"/>
      <c r="BE14" s="855"/>
      <c r="BF14" s="855"/>
      <c r="BG14" s="855"/>
      <c r="BH14" s="855"/>
      <c r="BI14" s="856"/>
      <c r="BJ14" s="856"/>
      <c r="BK14" s="856"/>
      <c r="BL14" s="856"/>
      <c r="BM14" s="856"/>
      <c r="BN14" s="856"/>
      <c r="BO14" s="856"/>
      <c r="BP14" s="856"/>
      <c r="BQ14" s="856"/>
      <c r="BR14" s="855"/>
    </row>
    <row r="15" spans="1:70" s="845" customFormat="1">
      <c r="D15" s="850"/>
      <c r="E15" s="850" t="s">
        <v>2774</v>
      </c>
      <c r="F15" s="855"/>
      <c r="G15" s="850" t="s">
        <v>149</v>
      </c>
      <c r="H15" s="855"/>
      <c r="I15" s="855"/>
      <c r="J15" s="855"/>
      <c r="K15" s="855"/>
      <c r="L15" s="855"/>
      <c r="M15" s="855"/>
      <c r="N15" s="855"/>
      <c r="O15" s="855"/>
      <c r="P15" s="848"/>
      <c r="Q15" s="850" t="s">
        <v>1096</v>
      </c>
      <c r="R15" s="848"/>
      <c r="S15" s="81"/>
      <c r="T15" s="81"/>
      <c r="U15" s="81"/>
      <c r="V15" s="857" t="s">
        <v>12</v>
      </c>
      <c r="W15" s="857"/>
      <c r="X15" s="857"/>
      <c r="Y15" s="857"/>
      <c r="Z15" s="857"/>
      <c r="AA15" s="854"/>
      <c r="AB15" s="856" t="s">
        <v>0</v>
      </c>
      <c r="AC15" s="856"/>
      <c r="AD15" s="856"/>
      <c r="AE15" s="855"/>
      <c r="AF15" s="855"/>
      <c r="AG15" s="855"/>
      <c r="AH15" s="855" t="s">
        <v>2</v>
      </c>
      <c r="AI15" s="81"/>
      <c r="AJ15" s="81"/>
      <c r="AK15" s="81"/>
      <c r="AL15" s="81"/>
      <c r="AM15" s="81"/>
      <c r="AN15" s="855"/>
      <c r="AO15" s="855"/>
      <c r="AP15" s="855"/>
      <c r="AQ15" s="855"/>
      <c r="AR15" s="855"/>
      <c r="AS15" s="855"/>
      <c r="AT15" s="855"/>
      <c r="AU15" s="856"/>
      <c r="AV15" s="856"/>
      <c r="AW15" s="856"/>
      <c r="AY15" s="854"/>
      <c r="AZ15" s="856"/>
      <c r="BA15" s="855"/>
      <c r="BB15" s="855"/>
      <c r="BC15" s="855"/>
      <c r="BD15" s="855"/>
      <c r="BE15" s="855"/>
      <c r="BF15" s="855"/>
      <c r="BG15" s="855"/>
      <c r="BH15" s="855"/>
      <c r="BI15" s="856"/>
      <c r="BJ15" s="856"/>
      <c r="BK15" s="856"/>
      <c r="BL15" s="856"/>
      <c r="BM15" s="856"/>
      <c r="BN15" s="856"/>
      <c r="BO15" s="856"/>
      <c r="BP15" s="856"/>
      <c r="BQ15" s="856"/>
      <c r="BR15" s="855"/>
    </row>
    <row r="16" spans="1:70" s="845" customFormat="1">
      <c r="D16" s="850"/>
      <c r="E16" s="850" t="s">
        <v>2774</v>
      </c>
      <c r="F16" s="855"/>
      <c r="G16" s="850" t="s">
        <v>149</v>
      </c>
      <c r="H16" s="855"/>
      <c r="I16" s="855"/>
      <c r="J16" s="855"/>
      <c r="K16" s="855"/>
      <c r="L16" s="855"/>
      <c r="M16" s="855"/>
      <c r="N16" s="855"/>
      <c r="O16" s="855"/>
      <c r="P16" s="848"/>
      <c r="Q16" s="850" t="s">
        <v>1096</v>
      </c>
      <c r="R16" s="848"/>
      <c r="S16" s="81"/>
      <c r="T16" s="81"/>
      <c r="U16" s="81"/>
      <c r="V16" s="857" t="s">
        <v>12</v>
      </c>
      <c r="W16" s="857"/>
      <c r="X16" s="857"/>
      <c r="Y16" s="857"/>
      <c r="Z16" s="857"/>
      <c r="AA16" s="854"/>
      <c r="AB16" s="856" t="s">
        <v>0</v>
      </c>
      <c r="AC16" s="856"/>
      <c r="AD16" s="856"/>
      <c r="AE16" s="855"/>
      <c r="AF16" s="855"/>
      <c r="AG16" s="855"/>
      <c r="AH16" s="855" t="s">
        <v>2</v>
      </c>
      <c r="AI16" s="81"/>
      <c r="AJ16" s="81"/>
      <c r="AK16" s="81"/>
      <c r="AL16" s="81"/>
      <c r="AM16" s="81"/>
      <c r="AN16" s="855"/>
      <c r="AO16" s="855"/>
      <c r="AP16" s="855"/>
      <c r="AQ16" s="855"/>
      <c r="AR16" s="855"/>
      <c r="AS16" s="855"/>
      <c r="AT16" s="855"/>
      <c r="AU16" s="856"/>
      <c r="AV16" s="856"/>
      <c r="AW16" s="856"/>
      <c r="AY16" s="854"/>
      <c r="AZ16" s="856"/>
      <c r="BA16" s="855"/>
      <c r="BB16" s="855"/>
      <c r="BC16" s="855"/>
      <c r="BD16" s="855"/>
      <c r="BE16" s="855"/>
      <c r="BF16" s="855"/>
      <c r="BG16" s="855"/>
      <c r="BH16" s="855"/>
      <c r="BI16" s="856"/>
      <c r="BJ16" s="856"/>
      <c r="BK16" s="856"/>
      <c r="BL16" s="856"/>
      <c r="BM16" s="856"/>
      <c r="BN16" s="856"/>
      <c r="BO16" s="856"/>
      <c r="BP16" s="856"/>
      <c r="BQ16" s="856"/>
      <c r="BR16" s="855"/>
    </row>
    <row r="17" spans="1:70" s="845" customFormat="1">
      <c r="D17" s="850"/>
      <c r="E17" s="850" t="s">
        <v>2774</v>
      </c>
      <c r="F17" s="855"/>
      <c r="G17" s="850" t="s">
        <v>149</v>
      </c>
      <c r="H17" s="855"/>
      <c r="I17" s="855"/>
      <c r="J17" s="855"/>
      <c r="K17" s="855"/>
      <c r="L17" s="855"/>
      <c r="M17" s="855"/>
      <c r="N17" s="855"/>
      <c r="O17" s="855"/>
      <c r="P17" s="848"/>
      <c r="Q17" s="850" t="s">
        <v>1096</v>
      </c>
      <c r="R17" s="848"/>
      <c r="S17" s="81"/>
      <c r="T17" s="81"/>
      <c r="U17" s="81"/>
      <c r="V17" s="857" t="s">
        <v>12</v>
      </c>
      <c r="W17" s="857"/>
      <c r="X17" s="857"/>
      <c r="Y17" s="857"/>
      <c r="Z17" s="857"/>
      <c r="AA17" s="854"/>
      <c r="AB17" s="856"/>
      <c r="AC17" s="856"/>
      <c r="AD17" s="856"/>
      <c r="AE17" s="855"/>
      <c r="AF17" s="855"/>
      <c r="AG17" s="855"/>
      <c r="AH17" s="855" t="s">
        <v>2</v>
      </c>
      <c r="AI17" s="81"/>
      <c r="AJ17" s="81"/>
      <c r="AK17" s="81"/>
      <c r="AL17" s="81"/>
      <c r="AM17" s="81"/>
      <c r="AN17" s="855"/>
      <c r="AO17" s="855"/>
      <c r="AP17" s="855"/>
      <c r="AQ17" s="855"/>
      <c r="AR17" s="855"/>
      <c r="AS17" s="855"/>
      <c r="AT17" s="855"/>
      <c r="AU17" s="856"/>
      <c r="AV17" s="856"/>
      <c r="AW17" s="856"/>
      <c r="AY17" s="854"/>
      <c r="AZ17" s="856"/>
      <c r="BA17" s="855"/>
      <c r="BB17" s="855"/>
      <c r="BC17" s="855"/>
      <c r="BD17" s="855"/>
      <c r="BE17" s="855"/>
      <c r="BF17" s="855"/>
      <c r="BG17" s="855"/>
      <c r="BH17" s="855"/>
      <c r="BI17" s="856"/>
      <c r="BJ17" s="856"/>
      <c r="BK17" s="856"/>
      <c r="BL17" s="856"/>
      <c r="BM17" s="856"/>
      <c r="BN17" s="856"/>
      <c r="BO17" s="856"/>
      <c r="BP17" s="856"/>
      <c r="BQ17" s="856"/>
      <c r="BR17" s="855"/>
    </row>
    <row r="18" spans="1:70" s="845" customFormat="1">
      <c r="D18" s="850"/>
      <c r="E18" s="850" t="s">
        <v>2774</v>
      </c>
      <c r="F18" s="855"/>
      <c r="G18" s="850" t="s">
        <v>149</v>
      </c>
      <c r="H18" s="855"/>
      <c r="I18" s="855"/>
      <c r="J18" s="855"/>
      <c r="K18" s="855"/>
      <c r="L18" s="855"/>
      <c r="M18" s="855"/>
      <c r="N18" s="855"/>
      <c r="O18" s="855"/>
      <c r="P18" s="848"/>
      <c r="Q18" s="850" t="s">
        <v>1096</v>
      </c>
      <c r="R18" s="848"/>
      <c r="S18" s="81"/>
      <c r="T18" s="81"/>
      <c r="U18" s="81"/>
      <c r="V18" s="857" t="s">
        <v>12</v>
      </c>
      <c r="W18" s="857"/>
      <c r="X18" s="857"/>
      <c r="Y18" s="857"/>
      <c r="Z18" s="857"/>
      <c r="AA18" s="854"/>
      <c r="AB18" s="856"/>
      <c r="AC18" s="856"/>
      <c r="AD18" s="856"/>
      <c r="AE18" s="855"/>
      <c r="AF18" s="855"/>
      <c r="AG18" s="855"/>
      <c r="AH18" s="855" t="s">
        <v>2</v>
      </c>
      <c r="AI18" s="81"/>
      <c r="AJ18" s="81"/>
      <c r="AK18" s="81"/>
      <c r="AL18" s="81"/>
      <c r="AM18" s="81"/>
      <c r="AN18" s="855"/>
      <c r="AO18" s="855"/>
      <c r="AP18" s="855"/>
      <c r="AQ18" s="855"/>
      <c r="AR18" s="855"/>
      <c r="AS18" s="855"/>
      <c r="AT18" s="855"/>
      <c r="AU18" s="856"/>
      <c r="AV18" s="856"/>
      <c r="AW18" s="856"/>
      <c r="AY18" s="854"/>
      <c r="AZ18" s="856"/>
      <c r="BA18" s="855"/>
      <c r="BB18" s="855"/>
      <c r="BC18" s="855"/>
      <c r="BD18" s="855"/>
      <c r="BE18" s="855"/>
      <c r="BF18" s="855"/>
      <c r="BG18" s="855"/>
      <c r="BH18" s="855"/>
      <c r="BI18" s="856"/>
      <c r="BJ18" s="856"/>
      <c r="BK18" s="856"/>
      <c r="BL18" s="856"/>
      <c r="BM18" s="856"/>
      <c r="BN18" s="856"/>
      <c r="BO18" s="856"/>
      <c r="BP18" s="856"/>
      <c r="BQ18" s="856"/>
      <c r="BR18" s="855"/>
    </row>
    <row r="19" spans="1:70" s="845" customFormat="1">
      <c r="D19" s="850"/>
      <c r="E19" s="850" t="s">
        <v>2774</v>
      </c>
      <c r="F19" s="855"/>
      <c r="G19" s="850" t="s">
        <v>149</v>
      </c>
      <c r="H19" s="855"/>
      <c r="I19" s="855"/>
      <c r="J19" s="855"/>
      <c r="K19" s="855"/>
      <c r="L19" s="855"/>
      <c r="M19" s="855"/>
      <c r="N19" s="855"/>
      <c r="O19" s="855"/>
      <c r="P19" s="848"/>
      <c r="Q19" s="850" t="s">
        <v>1096</v>
      </c>
      <c r="R19" s="848"/>
      <c r="S19" s="81"/>
      <c r="T19" s="81"/>
      <c r="U19" s="81"/>
      <c r="V19" s="857" t="s">
        <v>12</v>
      </c>
      <c r="W19" s="857"/>
      <c r="X19" s="857"/>
      <c r="Y19" s="857"/>
      <c r="Z19" s="857"/>
      <c r="AA19" s="854"/>
      <c r="AB19" s="856"/>
      <c r="AC19" s="856"/>
      <c r="AD19" s="856"/>
      <c r="AE19" s="855"/>
      <c r="AF19" s="855"/>
      <c r="AG19" s="855"/>
      <c r="AH19" s="855" t="s">
        <v>2</v>
      </c>
      <c r="AI19" s="81"/>
      <c r="AJ19" s="81"/>
      <c r="AK19" s="81"/>
      <c r="AL19" s="81"/>
      <c r="AM19" s="81"/>
      <c r="AN19" s="855"/>
      <c r="AO19" s="855"/>
      <c r="AP19" s="855"/>
      <c r="AQ19" s="855"/>
      <c r="AR19" s="855"/>
      <c r="AS19" s="855"/>
      <c r="AT19" s="855"/>
      <c r="AU19" s="856"/>
      <c r="AV19" s="856"/>
      <c r="AW19" s="856"/>
      <c r="AY19" s="854"/>
      <c r="AZ19" s="856"/>
      <c r="BA19" s="855"/>
      <c r="BB19" s="855"/>
      <c r="BC19" s="855"/>
      <c r="BD19" s="855"/>
      <c r="BE19" s="855"/>
      <c r="BF19" s="855"/>
      <c r="BG19" s="855"/>
      <c r="BH19" s="855"/>
      <c r="BI19" s="856"/>
      <c r="BJ19" s="856"/>
      <c r="BK19" s="856"/>
      <c r="BL19" s="856"/>
      <c r="BM19" s="856"/>
      <c r="BN19" s="856"/>
      <c r="BO19" s="856"/>
      <c r="BP19" s="856"/>
      <c r="BQ19" s="856"/>
      <c r="BR19" s="855"/>
    </row>
    <row r="20" spans="1:70" s="845" customFormat="1">
      <c r="P20" s="848"/>
      <c r="Q20" s="852"/>
      <c r="R20" s="848"/>
      <c r="S20" s="848"/>
      <c r="T20" s="848"/>
      <c r="U20" s="848"/>
      <c r="V20" s="859"/>
      <c r="W20" s="859"/>
      <c r="X20" s="859"/>
      <c r="Y20" s="859"/>
      <c r="Z20" s="859"/>
      <c r="AA20" s="854"/>
      <c r="AB20" s="856"/>
      <c r="AC20" s="856"/>
      <c r="AD20" s="856"/>
      <c r="AE20" s="855"/>
      <c r="AF20" s="855"/>
      <c r="AG20" s="855"/>
      <c r="AH20" s="855"/>
      <c r="AK20" s="854"/>
      <c r="AL20" s="856"/>
      <c r="AM20" s="855"/>
      <c r="AN20" s="855"/>
      <c r="AO20" s="855"/>
      <c r="AP20" s="855"/>
      <c r="AQ20" s="855"/>
      <c r="AR20" s="855"/>
      <c r="AS20" s="855"/>
      <c r="AT20" s="855"/>
      <c r="AU20" s="856"/>
      <c r="AV20" s="856"/>
      <c r="AW20" s="856"/>
      <c r="AY20" s="854"/>
      <c r="AZ20" s="856"/>
      <c r="BA20" s="855"/>
      <c r="BB20" s="855"/>
      <c r="BC20" s="855"/>
      <c r="BD20" s="855"/>
      <c r="BE20" s="855"/>
      <c r="BF20" s="855"/>
      <c r="BG20" s="855"/>
      <c r="BH20" s="855"/>
      <c r="BI20" s="856"/>
      <c r="BJ20" s="856"/>
      <c r="BK20" s="856"/>
      <c r="BL20" s="856"/>
      <c r="BM20" s="856"/>
      <c r="BN20" s="856"/>
      <c r="BO20" s="856"/>
      <c r="BP20" s="856"/>
      <c r="BQ20" s="856"/>
      <c r="BR20" s="855"/>
    </row>
    <row r="21" spans="1:70" s="1" customFormat="1" ht="13.9">
      <c r="B21" s="866" t="s">
        <v>2786</v>
      </c>
    </row>
    <row r="23" spans="1:70" ht="15">
      <c r="A23" s="848"/>
      <c r="B23" s="849"/>
      <c r="C23" s="849"/>
      <c r="D23" s="850"/>
      <c r="E23" s="850" t="s">
        <v>2774</v>
      </c>
      <c r="F23" s="850"/>
      <c r="G23" s="850" t="s">
        <v>149</v>
      </c>
      <c r="H23" s="850"/>
      <c r="I23" s="850"/>
      <c r="J23" s="850"/>
      <c r="K23" s="850"/>
      <c r="L23" s="850"/>
      <c r="M23" s="850"/>
      <c r="N23" s="850"/>
      <c r="O23" s="850"/>
      <c r="P23" s="848"/>
      <c r="Q23" s="850" t="s">
        <v>1096</v>
      </c>
      <c r="R23" s="848"/>
      <c r="S23" s="81"/>
      <c r="T23" s="81"/>
      <c r="U23" s="81"/>
      <c r="V23" s="836" t="s">
        <v>12</v>
      </c>
      <c r="W23" s="836"/>
      <c r="X23" s="836"/>
      <c r="Y23" s="836"/>
      <c r="Z23" s="836"/>
      <c r="AA23" s="852"/>
      <c r="AB23" s="848" t="s">
        <v>0</v>
      </c>
      <c r="AC23" s="848"/>
      <c r="AD23" s="848"/>
      <c r="AE23" s="848"/>
      <c r="AF23" s="848"/>
      <c r="AG23" s="848"/>
      <c r="AH23" s="848" t="s">
        <v>2</v>
      </c>
      <c r="AI23" s="81"/>
      <c r="AJ23" s="81"/>
      <c r="AK23" s="81"/>
      <c r="AL23" s="81"/>
      <c r="AM23" s="81"/>
      <c r="AN23" s="848"/>
      <c r="AO23" s="848"/>
      <c r="AP23" s="848"/>
      <c r="AQ23" s="848"/>
      <c r="AR23" s="848"/>
      <c r="AS23" s="853"/>
      <c r="AT23" s="853"/>
      <c r="AU23" s="853"/>
      <c r="AV23" s="853"/>
      <c r="AW23" s="853"/>
      <c r="AX23" s="853"/>
      <c r="AY23" s="848"/>
      <c r="AZ23" s="848"/>
      <c r="BA23" s="848"/>
      <c r="BB23" s="848"/>
      <c r="BC23" s="848"/>
      <c r="BD23" s="848"/>
      <c r="BE23" s="848"/>
      <c r="BF23" s="848"/>
      <c r="BG23" s="853"/>
      <c r="BH23" s="853"/>
      <c r="BI23" s="853"/>
      <c r="BJ23" s="853"/>
      <c r="BK23" s="853"/>
    </row>
    <row r="24" spans="1:70" ht="15">
      <c r="A24" s="848"/>
      <c r="B24" s="849"/>
      <c r="C24" s="849"/>
      <c r="D24" s="850"/>
      <c r="E24" s="850" t="s">
        <v>2774</v>
      </c>
      <c r="F24" s="850"/>
      <c r="G24" s="850" t="s">
        <v>149</v>
      </c>
      <c r="H24" s="850"/>
      <c r="I24" s="850"/>
      <c r="J24" s="850"/>
      <c r="K24" s="850"/>
      <c r="L24" s="850"/>
      <c r="M24" s="850"/>
      <c r="N24" s="850"/>
      <c r="O24" s="850"/>
      <c r="P24" s="848"/>
      <c r="Q24" s="850" t="s">
        <v>1096</v>
      </c>
      <c r="R24" s="848"/>
      <c r="S24" s="81"/>
      <c r="T24" s="81"/>
      <c r="U24" s="81"/>
      <c r="V24" s="836" t="s">
        <v>12</v>
      </c>
      <c r="W24" s="836"/>
      <c r="X24" s="836"/>
      <c r="Y24" s="836"/>
      <c r="Z24" s="836"/>
      <c r="AA24" s="852"/>
      <c r="AB24" s="848" t="s">
        <v>0</v>
      </c>
      <c r="AC24" s="848"/>
      <c r="AD24" s="848"/>
      <c r="AE24" s="848"/>
      <c r="AF24" s="848"/>
      <c r="AG24" s="848"/>
      <c r="AH24" s="848" t="s">
        <v>2</v>
      </c>
      <c r="AI24" s="81"/>
      <c r="AJ24" s="81"/>
      <c r="AK24" s="81"/>
      <c r="AL24" s="81"/>
      <c r="AM24" s="81"/>
      <c r="AN24" s="848"/>
      <c r="AO24" s="848"/>
      <c r="AP24" s="848"/>
      <c r="AQ24" s="848"/>
      <c r="AR24" s="848"/>
      <c r="AS24" s="853"/>
      <c r="AT24" s="853"/>
      <c r="AU24" s="853"/>
      <c r="AV24" s="853"/>
      <c r="AW24" s="853"/>
      <c r="AX24" s="853"/>
      <c r="AY24" s="848"/>
      <c r="AZ24" s="848"/>
      <c r="BA24" s="848"/>
      <c r="BB24" s="848"/>
      <c r="BC24" s="848"/>
      <c r="BD24" s="848"/>
      <c r="BE24" s="848"/>
      <c r="BF24" s="848"/>
      <c r="BG24" s="853"/>
      <c r="BH24" s="853"/>
      <c r="BI24" s="853"/>
      <c r="BJ24" s="853"/>
      <c r="BK24" s="853"/>
    </row>
    <row r="25" spans="1:70" ht="15">
      <c r="A25" s="848"/>
      <c r="B25" s="849"/>
      <c r="C25" s="849"/>
      <c r="D25" s="850"/>
      <c r="E25" s="850" t="s">
        <v>2774</v>
      </c>
      <c r="F25" s="850"/>
      <c r="G25" s="850" t="s">
        <v>149</v>
      </c>
      <c r="H25" s="850"/>
      <c r="I25" s="850"/>
      <c r="J25" s="850"/>
      <c r="K25" s="850"/>
      <c r="L25" s="850"/>
      <c r="M25" s="850"/>
      <c r="N25" s="850"/>
      <c r="O25" s="850"/>
      <c r="P25" s="848"/>
      <c r="Q25" s="850" t="s">
        <v>1096</v>
      </c>
      <c r="R25" s="848"/>
      <c r="S25" s="81"/>
      <c r="T25" s="81"/>
      <c r="U25" s="81"/>
      <c r="V25" s="836" t="s">
        <v>12</v>
      </c>
      <c r="W25" s="836"/>
      <c r="X25" s="836"/>
      <c r="Y25" s="836"/>
      <c r="Z25" s="836"/>
      <c r="AA25" s="852"/>
      <c r="AB25" s="848" t="s">
        <v>0</v>
      </c>
      <c r="AC25" s="848"/>
      <c r="AD25" s="848"/>
      <c r="AE25" s="848"/>
      <c r="AF25" s="848"/>
      <c r="AG25" s="848"/>
      <c r="AH25" s="848" t="s">
        <v>2</v>
      </c>
      <c r="AI25" s="81"/>
      <c r="AJ25" s="81"/>
      <c r="AK25" s="81"/>
      <c r="AL25" s="81"/>
      <c r="AM25" s="81"/>
      <c r="AN25" s="848"/>
      <c r="AO25" s="848"/>
      <c r="AP25" s="848"/>
      <c r="AQ25" s="848"/>
      <c r="AR25" s="848"/>
      <c r="AS25" s="853"/>
      <c r="AT25" s="853"/>
      <c r="AU25" s="853"/>
      <c r="AV25" s="853"/>
      <c r="AW25" s="853"/>
      <c r="AX25" s="853"/>
      <c r="AY25" s="848"/>
      <c r="AZ25" s="848"/>
      <c r="BA25" s="848"/>
      <c r="BB25" s="848"/>
      <c r="BC25" s="848"/>
      <c r="BD25" s="848"/>
      <c r="BE25" s="848"/>
      <c r="BF25" s="848"/>
      <c r="BG25" s="853"/>
      <c r="BH25" s="853"/>
      <c r="BI25" s="853"/>
      <c r="BJ25" s="853"/>
      <c r="BK25" s="853"/>
    </row>
    <row r="26" spans="1:70" ht="15">
      <c r="A26" s="848"/>
      <c r="B26" s="849"/>
      <c r="C26" s="849"/>
      <c r="D26" s="850"/>
      <c r="E26" s="850" t="s">
        <v>2774</v>
      </c>
      <c r="F26" s="850"/>
      <c r="G26" s="850" t="s">
        <v>149</v>
      </c>
      <c r="H26" s="850"/>
      <c r="I26" s="850"/>
      <c r="J26" s="850"/>
      <c r="K26" s="850"/>
      <c r="L26" s="850"/>
      <c r="M26" s="850"/>
      <c r="N26" s="850"/>
      <c r="O26" s="850"/>
      <c r="P26" s="848"/>
      <c r="Q26" s="850" t="s">
        <v>1096</v>
      </c>
      <c r="R26" s="848"/>
      <c r="S26" s="81"/>
      <c r="T26" s="81"/>
      <c r="U26" s="81"/>
      <c r="V26" s="836" t="s">
        <v>12</v>
      </c>
      <c r="W26" s="836"/>
      <c r="X26" s="836"/>
      <c r="Y26" s="836"/>
      <c r="Z26" s="836"/>
      <c r="AA26" s="852"/>
      <c r="AB26" s="848" t="s">
        <v>0</v>
      </c>
      <c r="AC26" s="848"/>
      <c r="AD26" s="848"/>
      <c r="AE26" s="848"/>
      <c r="AF26" s="848"/>
      <c r="AG26" s="848"/>
      <c r="AH26" s="848" t="s">
        <v>2</v>
      </c>
      <c r="AI26" s="81"/>
      <c r="AJ26" s="81"/>
      <c r="AK26" s="81"/>
      <c r="AL26" s="81"/>
      <c r="AM26" s="81"/>
      <c r="AN26" s="848"/>
      <c r="AO26" s="848"/>
      <c r="AP26" s="848"/>
      <c r="AQ26" s="848"/>
      <c r="AR26" s="848"/>
      <c r="AS26" s="853"/>
      <c r="AT26" s="853"/>
      <c r="AU26" s="853"/>
      <c r="AV26" s="853"/>
      <c r="AW26" s="853"/>
      <c r="AX26" s="853"/>
      <c r="AY26" s="848"/>
      <c r="AZ26" s="848"/>
      <c r="BA26" s="848"/>
      <c r="BB26" s="848"/>
      <c r="BC26" s="848"/>
      <c r="BD26" s="848"/>
      <c r="BE26" s="848"/>
      <c r="BF26" s="848"/>
      <c r="BG26" s="853"/>
      <c r="BH26" s="853"/>
      <c r="BI26" s="853"/>
      <c r="BJ26" s="853"/>
      <c r="BK26" s="853"/>
    </row>
    <row r="27" spans="1:70" s="845" customFormat="1">
      <c r="B27" s="854"/>
      <c r="C27" s="854"/>
      <c r="D27" s="850"/>
      <c r="E27" s="850" t="s">
        <v>2774</v>
      </c>
      <c r="F27" s="850"/>
      <c r="G27" s="850" t="s">
        <v>149</v>
      </c>
      <c r="H27" s="850"/>
      <c r="I27" s="855"/>
      <c r="J27" s="855"/>
      <c r="K27" s="855"/>
      <c r="L27" s="855"/>
      <c r="M27" s="855"/>
      <c r="N27" s="855"/>
      <c r="O27" s="855"/>
      <c r="P27" s="848"/>
      <c r="Q27" s="850" t="s">
        <v>1096</v>
      </c>
      <c r="R27" s="848"/>
      <c r="S27" s="81"/>
      <c r="T27" s="81"/>
      <c r="U27" s="81"/>
      <c r="V27" s="854" t="s">
        <v>12</v>
      </c>
      <c r="W27" s="854"/>
      <c r="X27" s="854"/>
      <c r="Y27" s="854"/>
      <c r="Z27" s="854"/>
      <c r="AA27" s="854"/>
      <c r="AB27" s="854" t="s">
        <v>0</v>
      </c>
      <c r="AC27" s="854"/>
      <c r="AD27" s="854"/>
      <c r="AE27" s="855"/>
      <c r="AF27" s="855"/>
      <c r="AG27" s="855"/>
      <c r="AH27" s="855" t="s">
        <v>2</v>
      </c>
      <c r="AI27" s="81"/>
      <c r="AJ27" s="81"/>
      <c r="AK27" s="81"/>
      <c r="AL27" s="81"/>
      <c r="AM27" s="81"/>
      <c r="AN27" s="855"/>
      <c r="AO27" s="855"/>
      <c r="AP27" s="855"/>
      <c r="AQ27" s="855"/>
      <c r="AR27" s="855"/>
      <c r="AS27" s="855"/>
      <c r="AT27" s="855"/>
      <c r="AU27" s="856"/>
      <c r="AV27" s="856"/>
      <c r="AW27" s="856"/>
      <c r="AY27" s="854"/>
      <c r="AZ27" s="856"/>
      <c r="BA27" s="855"/>
      <c r="BB27" s="855"/>
      <c r="BC27" s="855"/>
      <c r="BD27" s="855"/>
      <c r="BE27" s="855"/>
      <c r="BF27" s="855"/>
      <c r="BG27" s="855"/>
      <c r="BH27" s="855"/>
      <c r="BI27" s="856"/>
      <c r="BJ27" s="856"/>
      <c r="BK27" s="856"/>
      <c r="BL27" s="856"/>
      <c r="BM27" s="856"/>
      <c r="BN27" s="856"/>
      <c r="BO27" s="856"/>
      <c r="BP27" s="856"/>
      <c r="BQ27" s="856"/>
      <c r="BR27" s="855"/>
    </row>
    <row r="28" spans="1:70" s="845" customFormat="1">
      <c r="D28" s="850"/>
      <c r="E28" s="850" t="s">
        <v>2774</v>
      </c>
      <c r="F28" s="850"/>
      <c r="G28" s="850" t="s">
        <v>149</v>
      </c>
      <c r="H28" s="850"/>
      <c r="I28" s="855"/>
      <c r="J28" s="855"/>
      <c r="K28" s="855"/>
      <c r="L28" s="855"/>
      <c r="M28" s="855"/>
      <c r="N28" s="855"/>
      <c r="O28" s="855"/>
      <c r="P28" s="848"/>
      <c r="Q28" s="850" t="s">
        <v>1096</v>
      </c>
      <c r="R28" s="848"/>
      <c r="S28" s="81"/>
      <c r="T28" s="81"/>
      <c r="U28" s="81"/>
      <c r="V28" s="857" t="s">
        <v>12</v>
      </c>
      <c r="W28" s="857"/>
      <c r="X28" s="857"/>
      <c r="Y28" s="857"/>
      <c r="Z28" s="857"/>
      <c r="AA28" s="854"/>
      <c r="AB28" s="856" t="s">
        <v>0</v>
      </c>
      <c r="AC28" s="856"/>
      <c r="AD28" s="856"/>
      <c r="AE28" s="855"/>
      <c r="AF28" s="855"/>
      <c r="AG28" s="855"/>
      <c r="AH28" s="855" t="s">
        <v>2</v>
      </c>
      <c r="AI28" s="81"/>
      <c r="AJ28" s="81"/>
      <c r="AK28" s="81"/>
      <c r="AL28" s="81"/>
      <c r="AM28" s="81"/>
      <c r="AN28" s="855"/>
      <c r="AO28" s="855"/>
      <c r="AP28" s="855"/>
      <c r="AQ28" s="855"/>
      <c r="AR28" s="855"/>
      <c r="AS28" s="855"/>
      <c r="AT28" s="855"/>
      <c r="AU28" s="856"/>
      <c r="AV28" s="856"/>
      <c r="AW28" s="856"/>
      <c r="AY28" s="854"/>
      <c r="AZ28" s="856"/>
      <c r="BA28" s="855"/>
      <c r="BB28" s="855"/>
      <c r="BC28" s="855"/>
      <c r="BD28" s="855"/>
      <c r="BE28" s="855"/>
      <c r="BF28" s="855"/>
      <c r="BG28" s="855"/>
      <c r="BH28" s="855"/>
      <c r="BI28" s="856"/>
      <c r="BJ28" s="856"/>
      <c r="BK28" s="856"/>
      <c r="BL28" s="856"/>
      <c r="BM28" s="856"/>
      <c r="BN28" s="856"/>
      <c r="BO28" s="856"/>
      <c r="BP28" s="856"/>
      <c r="BQ28" s="856"/>
      <c r="BR28" s="855"/>
    </row>
    <row r="29" spans="1:70" s="845" customFormat="1">
      <c r="D29" s="850"/>
      <c r="E29" s="850" t="s">
        <v>2774</v>
      </c>
      <c r="F29" s="850"/>
      <c r="G29" s="850" t="s">
        <v>149</v>
      </c>
      <c r="H29" s="850"/>
      <c r="I29" s="855"/>
      <c r="J29" s="855"/>
      <c r="K29" s="855"/>
      <c r="L29" s="855"/>
      <c r="M29" s="855"/>
      <c r="N29" s="855"/>
      <c r="O29" s="855"/>
      <c r="P29" s="848"/>
      <c r="Q29" s="850" t="s">
        <v>1096</v>
      </c>
      <c r="R29" s="848"/>
      <c r="S29" s="81"/>
      <c r="T29" s="81"/>
      <c r="U29" s="81"/>
      <c r="V29" s="857" t="s">
        <v>12</v>
      </c>
      <c r="W29" s="857"/>
      <c r="X29" s="857"/>
      <c r="Y29" s="857"/>
      <c r="Z29" s="857"/>
      <c r="AA29" s="854"/>
      <c r="AB29" s="856" t="s">
        <v>0</v>
      </c>
      <c r="AC29" s="856"/>
      <c r="AD29" s="856"/>
      <c r="AE29" s="855"/>
      <c r="AF29" s="855"/>
      <c r="AG29" s="855"/>
      <c r="AH29" s="855" t="s">
        <v>2</v>
      </c>
      <c r="AI29" s="81"/>
      <c r="AJ29" s="81"/>
      <c r="AK29" s="81"/>
      <c r="AL29" s="81"/>
      <c r="AM29" s="81"/>
      <c r="AN29" s="855"/>
      <c r="AO29" s="855"/>
      <c r="AP29" s="855"/>
      <c r="AQ29" s="855"/>
      <c r="AR29" s="855"/>
      <c r="AS29" s="855"/>
      <c r="AT29" s="855"/>
      <c r="AU29" s="856"/>
      <c r="AV29" s="856"/>
      <c r="AW29" s="856"/>
      <c r="AY29" s="854"/>
      <c r="AZ29" s="856"/>
      <c r="BA29" s="855"/>
      <c r="BB29" s="855"/>
      <c r="BC29" s="855"/>
      <c r="BD29" s="855"/>
      <c r="BE29" s="855"/>
      <c r="BF29" s="855"/>
      <c r="BG29" s="855"/>
      <c r="BH29" s="855"/>
      <c r="BI29" s="856"/>
      <c r="BJ29" s="856"/>
      <c r="BK29" s="856"/>
      <c r="BL29" s="856"/>
      <c r="BM29" s="856"/>
      <c r="BN29" s="856"/>
      <c r="BO29" s="856"/>
      <c r="BP29" s="856"/>
      <c r="BQ29" s="856"/>
      <c r="BR29" s="855"/>
    </row>
    <row r="30" spans="1:70" s="845" customFormat="1">
      <c r="D30" s="850"/>
      <c r="E30" s="850" t="s">
        <v>2774</v>
      </c>
      <c r="F30" s="850"/>
      <c r="G30" s="850" t="s">
        <v>149</v>
      </c>
      <c r="H30" s="850"/>
      <c r="I30" s="855"/>
      <c r="J30" s="855"/>
      <c r="K30" s="855"/>
      <c r="L30" s="855"/>
      <c r="M30" s="855"/>
      <c r="N30" s="855"/>
      <c r="O30" s="855"/>
      <c r="P30" s="848"/>
      <c r="Q30" s="850" t="s">
        <v>1096</v>
      </c>
      <c r="R30" s="848"/>
      <c r="S30" s="81"/>
      <c r="T30" s="81"/>
      <c r="U30" s="81"/>
      <c r="V30" s="857" t="s">
        <v>12</v>
      </c>
      <c r="W30" s="857"/>
      <c r="X30" s="857"/>
      <c r="Y30" s="857"/>
      <c r="Z30" s="857"/>
      <c r="AA30" s="854"/>
      <c r="AB30" s="856"/>
      <c r="AC30" s="856"/>
      <c r="AD30" s="856"/>
      <c r="AE30" s="855"/>
      <c r="AF30" s="855"/>
      <c r="AG30" s="855"/>
      <c r="AH30" s="855" t="s">
        <v>2</v>
      </c>
      <c r="AI30" s="81"/>
      <c r="AJ30" s="81"/>
      <c r="AK30" s="81"/>
      <c r="AL30" s="81"/>
      <c r="AM30" s="81"/>
      <c r="AN30" s="855"/>
      <c r="AO30" s="855"/>
      <c r="AP30" s="855"/>
      <c r="AQ30" s="855"/>
      <c r="AR30" s="855"/>
      <c r="AS30" s="855"/>
      <c r="AT30" s="855"/>
      <c r="AU30" s="856"/>
      <c r="AV30" s="856"/>
      <c r="AW30" s="856"/>
      <c r="AY30" s="854"/>
      <c r="AZ30" s="856"/>
      <c r="BA30" s="855"/>
      <c r="BB30" s="855"/>
      <c r="BC30" s="855"/>
      <c r="BD30" s="855"/>
      <c r="BE30" s="855"/>
      <c r="BF30" s="855"/>
      <c r="BG30" s="855"/>
      <c r="BH30" s="855"/>
      <c r="BI30" s="856"/>
      <c r="BJ30" s="856"/>
      <c r="BK30" s="856"/>
      <c r="BL30" s="856"/>
      <c r="BM30" s="856"/>
      <c r="BN30" s="856"/>
      <c r="BO30" s="856"/>
      <c r="BP30" s="856"/>
      <c r="BQ30" s="856"/>
      <c r="BR30" s="855"/>
    </row>
    <row r="31" spans="1:70" s="845" customFormat="1">
      <c r="D31" s="850"/>
      <c r="E31" s="850" t="s">
        <v>2774</v>
      </c>
      <c r="F31" s="850"/>
      <c r="G31" s="850" t="s">
        <v>149</v>
      </c>
      <c r="H31" s="850"/>
      <c r="I31" s="855"/>
      <c r="J31" s="855"/>
      <c r="K31" s="855"/>
      <c r="L31" s="855"/>
      <c r="M31" s="855"/>
      <c r="N31" s="855"/>
      <c r="O31" s="855"/>
      <c r="P31" s="848"/>
      <c r="Q31" s="850" t="s">
        <v>1096</v>
      </c>
      <c r="R31" s="848"/>
      <c r="S31" s="81"/>
      <c r="T31" s="81"/>
      <c r="U31" s="81"/>
      <c r="V31" s="857" t="s">
        <v>12</v>
      </c>
      <c r="W31" s="857"/>
      <c r="X31" s="857"/>
      <c r="Y31" s="857"/>
      <c r="Z31" s="857"/>
      <c r="AA31" s="854"/>
      <c r="AB31" s="856"/>
      <c r="AC31" s="856"/>
      <c r="AD31" s="856"/>
      <c r="AE31" s="855"/>
      <c r="AF31" s="855"/>
      <c r="AG31" s="855"/>
      <c r="AH31" s="855" t="s">
        <v>2</v>
      </c>
      <c r="AI31" s="81"/>
      <c r="AJ31" s="81"/>
      <c r="AK31" s="81"/>
      <c r="AL31" s="81"/>
      <c r="AM31" s="81"/>
      <c r="AN31" s="855"/>
      <c r="AO31" s="855"/>
      <c r="AP31" s="855"/>
      <c r="AQ31" s="855"/>
      <c r="AR31" s="855"/>
      <c r="AS31" s="855"/>
      <c r="AT31" s="855"/>
      <c r="AU31" s="856"/>
      <c r="AV31" s="856"/>
      <c r="AW31" s="856"/>
      <c r="AY31" s="854"/>
      <c r="AZ31" s="856"/>
      <c r="BA31" s="855"/>
      <c r="BB31" s="855"/>
      <c r="BC31" s="855"/>
      <c r="BD31" s="855"/>
      <c r="BE31" s="855"/>
      <c r="BF31" s="855"/>
      <c r="BG31" s="855"/>
      <c r="BH31" s="855"/>
      <c r="BI31" s="856"/>
      <c r="BJ31" s="856"/>
      <c r="BK31" s="856"/>
      <c r="BL31" s="856"/>
      <c r="BM31" s="856"/>
      <c r="BN31" s="856"/>
      <c r="BO31" s="856"/>
      <c r="BP31" s="856"/>
      <c r="BQ31" s="856"/>
      <c r="BR31" s="855"/>
    </row>
    <row r="32" spans="1:70" s="845" customFormat="1">
      <c r="D32" s="850"/>
      <c r="E32" s="850" t="s">
        <v>2774</v>
      </c>
      <c r="F32" s="850"/>
      <c r="G32" s="850" t="s">
        <v>149</v>
      </c>
      <c r="H32" s="850"/>
      <c r="I32" s="855"/>
      <c r="J32" s="855"/>
      <c r="K32" s="855"/>
      <c r="L32" s="855"/>
      <c r="M32" s="855"/>
      <c r="N32" s="855"/>
      <c r="O32" s="855"/>
      <c r="P32" s="848"/>
      <c r="Q32" s="850" t="s">
        <v>1096</v>
      </c>
      <c r="R32" s="848"/>
      <c r="S32" s="81"/>
      <c r="T32" s="81"/>
      <c r="U32" s="81"/>
      <c r="V32" s="857" t="s">
        <v>12</v>
      </c>
      <c r="W32" s="857"/>
      <c r="X32" s="857"/>
      <c r="Y32" s="857"/>
      <c r="Z32" s="857"/>
      <c r="AA32" s="854"/>
      <c r="AB32" s="856"/>
      <c r="AC32" s="856"/>
      <c r="AD32" s="856"/>
      <c r="AE32" s="855"/>
      <c r="AF32" s="855"/>
      <c r="AG32" s="855"/>
      <c r="AH32" s="855" t="s">
        <v>2</v>
      </c>
      <c r="AI32" s="81"/>
      <c r="AJ32" s="81"/>
      <c r="AK32" s="81"/>
      <c r="AL32" s="81"/>
      <c r="AM32" s="81"/>
      <c r="AN32" s="855"/>
      <c r="AO32" s="855"/>
      <c r="AP32" s="855"/>
      <c r="AQ32" s="855"/>
      <c r="AR32" s="855"/>
      <c r="AS32" s="855"/>
      <c r="AT32" s="855"/>
      <c r="AU32" s="856"/>
      <c r="AV32" s="856"/>
      <c r="AW32" s="856"/>
      <c r="AY32" s="854"/>
      <c r="AZ32" s="856"/>
      <c r="BA32" s="855"/>
      <c r="BB32" s="855"/>
      <c r="BC32" s="855"/>
      <c r="BD32" s="855"/>
      <c r="BE32" s="855"/>
      <c r="BF32" s="855"/>
      <c r="BG32" s="855"/>
      <c r="BH32" s="855"/>
      <c r="BI32" s="856"/>
      <c r="BJ32" s="856"/>
      <c r="BK32" s="856"/>
      <c r="BL32" s="856"/>
      <c r="BM32" s="856"/>
      <c r="BN32" s="856"/>
      <c r="BO32" s="856"/>
      <c r="BP32" s="856"/>
      <c r="BQ32" s="856"/>
      <c r="BR32" s="855"/>
    </row>
    <row r="34" spans="1:70" s="1" customFormat="1" ht="13.9">
      <c r="B34" s="866" t="s">
        <v>2787</v>
      </c>
    </row>
    <row r="36" spans="1:70" ht="15">
      <c r="A36" s="848"/>
      <c r="B36" s="849"/>
      <c r="C36" s="849"/>
      <c r="D36" s="850"/>
      <c r="E36" s="850" t="s">
        <v>2774</v>
      </c>
      <c r="F36" s="850"/>
      <c r="G36" s="850" t="s">
        <v>149</v>
      </c>
      <c r="H36" s="850"/>
      <c r="I36" s="850"/>
      <c r="J36" s="850"/>
      <c r="K36" s="850"/>
      <c r="L36" s="850"/>
      <c r="M36" s="850"/>
      <c r="N36" s="850"/>
      <c r="O36" s="850"/>
      <c r="P36" s="848"/>
      <c r="Q36" s="850" t="s">
        <v>1096</v>
      </c>
      <c r="R36" s="848"/>
      <c r="S36" s="81"/>
      <c r="T36" s="81"/>
      <c r="U36" s="81"/>
      <c r="V36" s="836" t="s">
        <v>12</v>
      </c>
      <c r="W36" s="836"/>
      <c r="X36" s="836"/>
      <c r="Y36" s="836"/>
      <c r="Z36" s="836"/>
      <c r="AA36" s="852"/>
      <c r="AB36" s="848" t="s">
        <v>0</v>
      </c>
      <c r="AC36" s="848"/>
      <c r="AD36" s="848"/>
      <c r="AE36" s="848"/>
      <c r="AF36" s="848"/>
      <c r="AG36" s="848"/>
      <c r="AH36" s="848" t="s">
        <v>2</v>
      </c>
      <c r="AI36" s="81"/>
      <c r="AJ36" s="81"/>
      <c r="AK36" s="81"/>
      <c r="AL36" s="81"/>
      <c r="AM36" s="81"/>
      <c r="AN36" s="848"/>
      <c r="AO36" s="848"/>
      <c r="AP36" s="848"/>
      <c r="AQ36" s="848"/>
      <c r="AR36" s="848"/>
      <c r="AS36" s="853"/>
      <c r="AT36" s="853"/>
      <c r="AU36" s="853"/>
      <c r="AV36" s="853"/>
      <c r="AW36" s="853"/>
      <c r="AX36" s="853"/>
      <c r="AY36" s="848"/>
      <c r="AZ36" s="848"/>
      <c r="BA36" s="848"/>
      <c r="BB36" s="848"/>
      <c r="BC36" s="848"/>
      <c r="BD36" s="848"/>
      <c r="BE36" s="848"/>
      <c r="BF36" s="848"/>
      <c r="BG36" s="853"/>
      <c r="BH36" s="853"/>
      <c r="BI36" s="853"/>
      <c r="BJ36" s="853"/>
      <c r="BK36" s="853"/>
    </row>
    <row r="37" spans="1:70" ht="15">
      <c r="A37" s="848"/>
      <c r="B37" s="849"/>
      <c r="C37" s="849"/>
      <c r="D37" s="850"/>
      <c r="E37" s="850" t="s">
        <v>2774</v>
      </c>
      <c r="F37" s="850"/>
      <c r="G37" s="850" t="s">
        <v>149</v>
      </c>
      <c r="H37" s="850"/>
      <c r="I37" s="850"/>
      <c r="J37" s="850"/>
      <c r="K37" s="850"/>
      <c r="L37" s="850"/>
      <c r="M37" s="850"/>
      <c r="N37" s="850"/>
      <c r="O37" s="850"/>
      <c r="P37" s="848"/>
      <c r="Q37" s="850" t="s">
        <v>1096</v>
      </c>
      <c r="R37" s="848"/>
      <c r="S37" s="81"/>
      <c r="T37" s="81"/>
      <c r="U37" s="81"/>
      <c r="V37" s="836" t="s">
        <v>12</v>
      </c>
      <c r="W37" s="836"/>
      <c r="X37" s="836"/>
      <c r="Y37" s="836"/>
      <c r="Z37" s="836"/>
      <c r="AA37" s="852"/>
      <c r="AB37" s="848" t="s">
        <v>0</v>
      </c>
      <c r="AC37" s="848"/>
      <c r="AD37" s="848"/>
      <c r="AE37" s="848"/>
      <c r="AF37" s="848"/>
      <c r="AG37" s="848"/>
      <c r="AH37" s="848" t="s">
        <v>2</v>
      </c>
      <c r="AI37" s="81"/>
      <c r="AJ37" s="81"/>
      <c r="AK37" s="81"/>
      <c r="AL37" s="81"/>
      <c r="AM37" s="81"/>
      <c r="AN37" s="848"/>
      <c r="AO37" s="848"/>
      <c r="AP37" s="848"/>
      <c r="AQ37" s="848"/>
      <c r="AR37" s="848"/>
      <c r="AS37" s="853"/>
      <c r="AT37" s="853"/>
      <c r="AU37" s="853"/>
      <c r="AV37" s="853"/>
      <c r="AW37" s="853"/>
      <c r="AX37" s="853"/>
      <c r="AY37" s="848"/>
      <c r="AZ37" s="848"/>
      <c r="BA37" s="848"/>
      <c r="BB37" s="848"/>
      <c r="BC37" s="848"/>
      <c r="BD37" s="848"/>
      <c r="BE37" s="848"/>
      <c r="BF37" s="848"/>
      <c r="BG37" s="853"/>
      <c r="BH37" s="853"/>
      <c r="BI37" s="853"/>
      <c r="BJ37" s="853"/>
      <c r="BK37" s="853"/>
    </row>
    <row r="38" spans="1:70" ht="15">
      <c r="A38" s="848"/>
      <c r="B38" s="849"/>
      <c r="C38" s="849"/>
      <c r="D38" s="850"/>
      <c r="E38" s="850" t="s">
        <v>2774</v>
      </c>
      <c r="F38" s="850"/>
      <c r="G38" s="850" t="s">
        <v>149</v>
      </c>
      <c r="H38" s="850"/>
      <c r="I38" s="850"/>
      <c r="J38" s="850"/>
      <c r="K38" s="850"/>
      <c r="L38" s="850"/>
      <c r="M38" s="850"/>
      <c r="N38" s="850"/>
      <c r="O38" s="850"/>
      <c r="P38" s="848"/>
      <c r="Q38" s="850" t="s">
        <v>1096</v>
      </c>
      <c r="R38" s="848"/>
      <c r="S38" s="81"/>
      <c r="T38" s="81"/>
      <c r="U38" s="81"/>
      <c r="V38" s="836" t="s">
        <v>12</v>
      </c>
      <c r="W38" s="836"/>
      <c r="X38" s="836"/>
      <c r="Y38" s="836"/>
      <c r="Z38" s="836"/>
      <c r="AA38" s="852"/>
      <c r="AB38" s="848" t="s">
        <v>0</v>
      </c>
      <c r="AC38" s="848"/>
      <c r="AD38" s="848"/>
      <c r="AE38" s="848"/>
      <c r="AF38" s="848"/>
      <c r="AG38" s="848"/>
      <c r="AH38" s="848" t="s">
        <v>2</v>
      </c>
      <c r="AI38" s="81"/>
      <c r="AJ38" s="81"/>
      <c r="AK38" s="81"/>
      <c r="AL38" s="81"/>
      <c r="AM38" s="81"/>
      <c r="AN38" s="848"/>
      <c r="AO38" s="848"/>
      <c r="AP38" s="848"/>
      <c r="AQ38" s="848"/>
      <c r="AR38" s="848"/>
      <c r="AS38" s="853"/>
      <c r="AT38" s="853"/>
      <c r="AU38" s="853"/>
      <c r="AV38" s="853"/>
      <c r="AW38" s="853"/>
      <c r="AX38" s="853"/>
      <c r="AY38" s="848"/>
      <c r="AZ38" s="848"/>
      <c r="BA38" s="848"/>
      <c r="BB38" s="848"/>
      <c r="BC38" s="848"/>
      <c r="BD38" s="848"/>
      <c r="BE38" s="848"/>
      <c r="BF38" s="848"/>
      <c r="BG38" s="853"/>
      <c r="BH38" s="853"/>
      <c r="BI38" s="853"/>
      <c r="BJ38" s="853"/>
      <c r="BK38" s="853"/>
    </row>
    <row r="39" spans="1:70" ht="15">
      <c r="A39" s="848"/>
      <c r="B39" s="849"/>
      <c r="C39" s="849"/>
      <c r="D39" s="850"/>
      <c r="E39" s="850" t="s">
        <v>2774</v>
      </c>
      <c r="F39" s="850"/>
      <c r="G39" s="850" t="s">
        <v>149</v>
      </c>
      <c r="H39" s="850"/>
      <c r="I39" s="850"/>
      <c r="J39" s="850"/>
      <c r="K39" s="850"/>
      <c r="L39" s="850"/>
      <c r="M39" s="850"/>
      <c r="N39" s="850"/>
      <c r="O39" s="850"/>
      <c r="P39" s="848"/>
      <c r="Q39" s="850" t="s">
        <v>1096</v>
      </c>
      <c r="R39" s="848"/>
      <c r="S39" s="81"/>
      <c r="T39" s="81"/>
      <c r="U39" s="81"/>
      <c r="V39" s="836" t="s">
        <v>12</v>
      </c>
      <c r="W39" s="836"/>
      <c r="X39" s="836"/>
      <c r="Y39" s="836"/>
      <c r="Z39" s="836"/>
      <c r="AA39" s="852"/>
      <c r="AB39" s="848" t="s">
        <v>0</v>
      </c>
      <c r="AC39" s="848"/>
      <c r="AD39" s="848"/>
      <c r="AE39" s="848"/>
      <c r="AF39" s="848"/>
      <c r="AG39" s="848"/>
      <c r="AH39" s="848" t="s">
        <v>2</v>
      </c>
      <c r="AI39" s="81"/>
      <c r="AJ39" s="81"/>
      <c r="AK39" s="81"/>
      <c r="AL39" s="81"/>
      <c r="AM39" s="81"/>
      <c r="AN39" s="848"/>
      <c r="AO39" s="848"/>
      <c r="AP39" s="848"/>
      <c r="AQ39" s="848"/>
      <c r="AR39" s="848"/>
      <c r="AS39" s="853"/>
      <c r="AT39" s="853"/>
      <c r="AU39" s="853"/>
      <c r="AV39" s="853"/>
      <c r="AW39" s="853"/>
      <c r="AX39" s="853"/>
      <c r="AY39" s="848"/>
      <c r="AZ39" s="848"/>
      <c r="BA39" s="848"/>
      <c r="BB39" s="848"/>
      <c r="BC39" s="848"/>
      <c r="BD39" s="848"/>
      <c r="BE39" s="848"/>
      <c r="BF39" s="848"/>
      <c r="BG39" s="853"/>
      <c r="BH39" s="853"/>
      <c r="BI39" s="853"/>
      <c r="BJ39" s="853"/>
      <c r="BK39" s="853"/>
    </row>
    <row r="40" spans="1:70" s="845" customFormat="1">
      <c r="B40" s="854"/>
      <c r="C40" s="854"/>
      <c r="D40" s="850"/>
      <c r="E40" s="850" t="s">
        <v>2774</v>
      </c>
      <c r="F40" s="850"/>
      <c r="G40" s="850" t="s">
        <v>149</v>
      </c>
      <c r="H40" s="850"/>
      <c r="I40" s="855"/>
      <c r="J40" s="855"/>
      <c r="K40" s="855"/>
      <c r="L40" s="855"/>
      <c r="M40" s="855"/>
      <c r="N40" s="855"/>
      <c r="O40" s="855"/>
      <c r="P40" s="848"/>
      <c r="Q40" s="850" t="s">
        <v>1096</v>
      </c>
      <c r="R40" s="848"/>
      <c r="S40" s="81"/>
      <c r="T40" s="81"/>
      <c r="U40" s="81"/>
      <c r="V40" s="854" t="s">
        <v>12</v>
      </c>
      <c r="W40" s="854"/>
      <c r="X40" s="854"/>
      <c r="Y40" s="854"/>
      <c r="Z40" s="854"/>
      <c r="AA40" s="854"/>
      <c r="AB40" s="854" t="s">
        <v>0</v>
      </c>
      <c r="AC40" s="854"/>
      <c r="AD40" s="854"/>
      <c r="AE40" s="855"/>
      <c r="AF40" s="855"/>
      <c r="AG40" s="855"/>
      <c r="AH40" s="855" t="s">
        <v>2</v>
      </c>
      <c r="AI40" s="81"/>
      <c r="AJ40" s="81"/>
      <c r="AK40" s="81"/>
      <c r="AL40" s="81"/>
      <c r="AM40" s="81"/>
      <c r="AN40" s="855"/>
      <c r="AO40" s="855"/>
      <c r="AP40" s="855"/>
      <c r="AQ40" s="855"/>
      <c r="AR40" s="855"/>
      <c r="AS40" s="855"/>
      <c r="AT40" s="855"/>
      <c r="AU40" s="856"/>
      <c r="AV40" s="856"/>
      <c r="AW40" s="856"/>
      <c r="AY40" s="854"/>
      <c r="AZ40" s="856"/>
      <c r="BA40" s="855"/>
      <c r="BB40" s="855"/>
      <c r="BC40" s="855"/>
      <c r="BD40" s="855"/>
      <c r="BE40" s="855"/>
      <c r="BF40" s="855"/>
      <c r="BG40" s="855"/>
      <c r="BH40" s="855"/>
      <c r="BI40" s="856"/>
      <c r="BJ40" s="856"/>
      <c r="BK40" s="856"/>
      <c r="BL40" s="856"/>
      <c r="BM40" s="856"/>
      <c r="BN40" s="856"/>
      <c r="BO40" s="856"/>
      <c r="BP40" s="856"/>
      <c r="BQ40" s="856"/>
      <c r="BR40" s="855"/>
    </row>
    <row r="41" spans="1:70" s="845" customFormat="1">
      <c r="D41" s="850"/>
      <c r="E41" s="850" t="s">
        <v>2774</v>
      </c>
      <c r="F41" s="850"/>
      <c r="G41" s="850" t="s">
        <v>149</v>
      </c>
      <c r="H41" s="850"/>
      <c r="I41" s="855"/>
      <c r="J41" s="855"/>
      <c r="K41" s="855"/>
      <c r="L41" s="855"/>
      <c r="M41" s="855"/>
      <c r="N41" s="855"/>
      <c r="O41" s="855"/>
      <c r="P41" s="848"/>
      <c r="Q41" s="850" t="s">
        <v>1096</v>
      </c>
      <c r="R41" s="848"/>
      <c r="S41" s="81"/>
      <c r="T41" s="81"/>
      <c r="U41" s="81"/>
      <c r="V41" s="857" t="s">
        <v>12</v>
      </c>
      <c r="W41" s="857"/>
      <c r="X41" s="857"/>
      <c r="Y41" s="857"/>
      <c r="Z41" s="857"/>
      <c r="AA41" s="854"/>
      <c r="AB41" s="856" t="s">
        <v>0</v>
      </c>
      <c r="AC41" s="856"/>
      <c r="AD41" s="856"/>
      <c r="AE41" s="855"/>
      <c r="AF41" s="855"/>
      <c r="AG41" s="855"/>
      <c r="AH41" s="855" t="s">
        <v>2</v>
      </c>
      <c r="AI41" s="81"/>
      <c r="AJ41" s="81"/>
      <c r="AK41" s="81"/>
      <c r="AL41" s="81"/>
      <c r="AM41" s="81"/>
      <c r="AN41" s="855"/>
      <c r="AO41" s="855"/>
      <c r="AP41" s="855"/>
      <c r="AQ41" s="855"/>
      <c r="AR41" s="855"/>
      <c r="AS41" s="855"/>
      <c r="AT41" s="855"/>
      <c r="AU41" s="856"/>
      <c r="AV41" s="856"/>
      <c r="AW41" s="856"/>
      <c r="AY41" s="854"/>
      <c r="AZ41" s="856"/>
      <c r="BA41" s="855"/>
      <c r="BB41" s="855"/>
      <c r="BC41" s="855"/>
      <c r="BD41" s="855"/>
      <c r="BE41" s="855"/>
      <c r="BF41" s="855"/>
      <c r="BG41" s="855"/>
      <c r="BH41" s="855"/>
      <c r="BI41" s="856"/>
      <c r="BJ41" s="856"/>
      <c r="BK41" s="856"/>
      <c r="BL41" s="856"/>
      <c r="BM41" s="856"/>
      <c r="BN41" s="856"/>
      <c r="BO41" s="856"/>
      <c r="BP41" s="856"/>
      <c r="BQ41" s="856"/>
      <c r="BR41" s="855"/>
    </row>
    <row r="42" spans="1:70" s="845" customFormat="1">
      <c r="D42" s="850"/>
      <c r="E42" s="850" t="s">
        <v>2774</v>
      </c>
      <c r="F42" s="850"/>
      <c r="G42" s="850" t="s">
        <v>149</v>
      </c>
      <c r="H42" s="850"/>
      <c r="I42" s="855"/>
      <c r="J42" s="855"/>
      <c r="K42" s="855"/>
      <c r="L42" s="855"/>
      <c r="M42" s="855"/>
      <c r="N42" s="855"/>
      <c r="O42" s="855"/>
      <c r="P42" s="848"/>
      <c r="Q42" s="850" t="s">
        <v>1096</v>
      </c>
      <c r="R42" s="848"/>
      <c r="S42" s="81"/>
      <c r="T42" s="81"/>
      <c r="U42" s="81"/>
      <c r="V42" s="857" t="s">
        <v>12</v>
      </c>
      <c r="W42" s="857"/>
      <c r="X42" s="857"/>
      <c r="Y42" s="857"/>
      <c r="Z42" s="857"/>
      <c r="AA42" s="854"/>
      <c r="AB42" s="856" t="s">
        <v>0</v>
      </c>
      <c r="AC42" s="856"/>
      <c r="AD42" s="856"/>
      <c r="AE42" s="855"/>
      <c r="AF42" s="855"/>
      <c r="AG42" s="855"/>
      <c r="AH42" s="855" t="s">
        <v>2</v>
      </c>
      <c r="AI42" s="81"/>
      <c r="AJ42" s="81"/>
      <c r="AK42" s="81"/>
      <c r="AL42" s="81"/>
      <c r="AM42" s="81"/>
      <c r="AN42" s="855"/>
      <c r="AO42" s="855"/>
      <c r="AP42" s="855"/>
      <c r="AQ42" s="855"/>
      <c r="AR42" s="855"/>
      <c r="AS42" s="855"/>
      <c r="AT42" s="855"/>
      <c r="AU42" s="856"/>
      <c r="AV42" s="856"/>
      <c r="AW42" s="856"/>
      <c r="AY42" s="854"/>
      <c r="AZ42" s="856"/>
      <c r="BA42" s="855"/>
      <c r="BB42" s="855"/>
      <c r="BC42" s="855"/>
      <c r="BD42" s="855"/>
      <c r="BE42" s="855"/>
      <c r="BF42" s="855"/>
      <c r="BG42" s="855"/>
      <c r="BH42" s="855"/>
      <c r="BI42" s="856"/>
      <c r="BJ42" s="856"/>
      <c r="BK42" s="856"/>
      <c r="BL42" s="856"/>
      <c r="BM42" s="856"/>
      <c r="BN42" s="856"/>
      <c r="BO42" s="856"/>
      <c r="BP42" s="856"/>
      <c r="BQ42" s="856"/>
      <c r="BR42" s="855"/>
    </row>
    <row r="43" spans="1:70" s="845" customFormat="1">
      <c r="D43" s="850"/>
      <c r="E43" s="850" t="s">
        <v>2774</v>
      </c>
      <c r="F43" s="850"/>
      <c r="G43" s="850" t="s">
        <v>149</v>
      </c>
      <c r="H43" s="850"/>
      <c r="I43" s="855"/>
      <c r="J43" s="855"/>
      <c r="K43" s="855"/>
      <c r="L43" s="855"/>
      <c r="M43" s="855"/>
      <c r="N43" s="855"/>
      <c r="O43" s="855"/>
      <c r="P43" s="848"/>
      <c r="Q43" s="850" t="s">
        <v>1096</v>
      </c>
      <c r="R43" s="848"/>
      <c r="S43" s="81"/>
      <c r="T43" s="81"/>
      <c r="U43" s="81"/>
      <c r="V43" s="857" t="s">
        <v>12</v>
      </c>
      <c r="W43" s="857"/>
      <c r="X43" s="857"/>
      <c r="Y43" s="857"/>
      <c r="Z43" s="857"/>
      <c r="AA43" s="854"/>
      <c r="AB43" s="856"/>
      <c r="AC43" s="856"/>
      <c r="AD43" s="856"/>
      <c r="AE43" s="855"/>
      <c r="AF43" s="855"/>
      <c r="AG43" s="855"/>
      <c r="AH43" s="855" t="s">
        <v>2</v>
      </c>
      <c r="AI43" s="81"/>
      <c r="AJ43" s="81"/>
      <c r="AK43" s="81"/>
      <c r="AL43" s="81"/>
      <c r="AM43" s="81"/>
      <c r="AN43" s="855"/>
      <c r="AO43" s="855"/>
      <c r="AP43" s="855"/>
      <c r="AQ43" s="855"/>
      <c r="AR43" s="855"/>
      <c r="AS43" s="855"/>
      <c r="AT43" s="855"/>
      <c r="AU43" s="856"/>
      <c r="AV43" s="856"/>
      <c r="AW43" s="856"/>
      <c r="AY43" s="854"/>
      <c r="AZ43" s="856"/>
      <c r="BA43" s="855"/>
      <c r="BB43" s="855"/>
      <c r="BC43" s="855"/>
      <c r="BD43" s="855"/>
      <c r="BE43" s="855"/>
      <c r="BF43" s="855"/>
      <c r="BG43" s="855"/>
      <c r="BH43" s="855"/>
      <c r="BI43" s="856"/>
      <c r="BJ43" s="856"/>
      <c r="BK43" s="856"/>
      <c r="BL43" s="856"/>
      <c r="BM43" s="856"/>
      <c r="BN43" s="856"/>
      <c r="BO43" s="856"/>
      <c r="BP43" s="856"/>
      <c r="BQ43" s="856"/>
      <c r="BR43" s="855"/>
    </row>
    <row r="44" spans="1:70" s="845" customFormat="1">
      <c r="D44" s="850"/>
      <c r="E44" s="850" t="s">
        <v>2774</v>
      </c>
      <c r="F44" s="850"/>
      <c r="G44" s="850" t="s">
        <v>149</v>
      </c>
      <c r="H44" s="850"/>
      <c r="I44" s="855"/>
      <c r="J44" s="855"/>
      <c r="K44" s="855"/>
      <c r="L44" s="855"/>
      <c r="M44" s="855"/>
      <c r="N44" s="855"/>
      <c r="O44" s="855"/>
      <c r="P44" s="848"/>
      <c r="Q44" s="850" t="s">
        <v>1096</v>
      </c>
      <c r="R44" s="848"/>
      <c r="S44" s="81"/>
      <c r="T44" s="81"/>
      <c r="U44" s="81"/>
      <c r="V44" s="857" t="s">
        <v>12</v>
      </c>
      <c r="W44" s="857"/>
      <c r="X44" s="857"/>
      <c r="Y44" s="857"/>
      <c r="Z44" s="857"/>
      <c r="AA44" s="854"/>
      <c r="AB44" s="856"/>
      <c r="AC44" s="856"/>
      <c r="AD44" s="856"/>
      <c r="AE44" s="855"/>
      <c r="AF44" s="855"/>
      <c r="AG44" s="855"/>
      <c r="AH44" s="855" t="s">
        <v>2</v>
      </c>
      <c r="AI44" s="81"/>
      <c r="AJ44" s="81"/>
      <c r="AK44" s="81"/>
      <c r="AL44" s="81"/>
      <c r="AM44" s="81"/>
      <c r="AN44" s="855"/>
      <c r="AO44" s="855"/>
      <c r="AP44" s="855"/>
      <c r="AQ44" s="855"/>
      <c r="AR44" s="855"/>
      <c r="AS44" s="855"/>
      <c r="AT44" s="855"/>
      <c r="AU44" s="856"/>
      <c r="AV44" s="856"/>
      <c r="AW44" s="856"/>
      <c r="AY44" s="854"/>
      <c r="AZ44" s="856"/>
      <c r="BA44" s="855"/>
      <c r="BB44" s="855"/>
      <c r="BC44" s="855"/>
      <c r="BD44" s="855"/>
      <c r="BE44" s="855"/>
      <c r="BF44" s="855"/>
      <c r="BG44" s="855"/>
      <c r="BH44" s="855"/>
      <c r="BI44" s="856"/>
      <c r="BJ44" s="856"/>
      <c r="BK44" s="856"/>
      <c r="BL44" s="856"/>
      <c r="BM44" s="856"/>
      <c r="BN44" s="856"/>
      <c r="BO44" s="856"/>
      <c r="BP44" s="856"/>
      <c r="BQ44" s="856"/>
      <c r="BR44" s="855"/>
    </row>
    <row r="45" spans="1:70" s="845" customFormat="1">
      <c r="D45" s="850"/>
      <c r="E45" s="850" t="s">
        <v>2774</v>
      </c>
      <c r="F45" s="850"/>
      <c r="G45" s="850" t="s">
        <v>149</v>
      </c>
      <c r="H45" s="850"/>
      <c r="I45" s="855"/>
      <c r="J45" s="855"/>
      <c r="K45" s="855"/>
      <c r="L45" s="855"/>
      <c r="M45" s="855"/>
      <c r="N45" s="855"/>
      <c r="O45" s="855"/>
      <c r="P45" s="848"/>
      <c r="Q45" s="850" t="s">
        <v>1096</v>
      </c>
      <c r="R45" s="848"/>
      <c r="S45" s="81"/>
      <c r="T45" s="81"/>
      <c r="U45" s="81"/>
      <c r="V45" s="857" t="s">
        <v>12</v>
      </c>
      <c r="W45" s="857"/>
      <c r="X45" s="857"/>
      <c r="Y45" s="857"/>
      <c r="Z45" s="857"/>
      <c r="AA45" s="854"/>
      <c r="AB45" s="856"/>
      <c r="AC45" s="856"/>
      <c r="AD45" s="856"/>
      <c r="AE45" s="855"/>
      <c r="AF45" s="855"/>
      <c r="AG45" s="855"/>
      <c r="AH45" s="855" t="s">
        <v>2</v>
      </c>
      <c r="AI45" s="81"/>
      <c r="AJ45" s="81"/>
      <c r="AK45" s="81"/>
      <c r="AL45" s="81"/>
      <c r="AM45" s="81"/>
      <c r="AN45" s="855"/>
      <c r="AO45" s="855"/>
      <c r="AP45" s="855"/>
      <c r="AQ45" s="855"/>
      <c r="AR45" s="855"/>
      <c r="AS45" s="855"/>
      <c r="AT45" s="855"/>
      <c r="AU45" s="856"/>
      <c r="AV45" s="856"/>
      <c r="AW45" s="856"/>
      <c r="AY45" s="854"/>
      <c r="AZ45" s="856"/>
      <c r="BA45" s="855"/>
      <c r="BB45" s="855"/>
      <c r="BC45" s="855"/>
      <c r="BD45" s="855"/>
      <c r="BE45" s="855"/>
      <c r="BF45" s="855"/>
      <c r="BG45" s="855"/>
      <c r="BH45" s="855"/>
      <c r="BI45" s="856"/>
      <c r="BJ45" s="856"/>
      <c r="BK45" s="856"/>
      <c r="BL45" s="856"/>
      <c r="BM45" s="856"/>
      <c r="BN45" s="856"/>
      <c r="BO45" s="856"/>
      <c r="BP45" s="856"/>
      <c r="BQ45" s="856"/>
      <c r="BR45" s="855"/>
    </row>
    <row r="47" spans="1:70" s="1" customFormat="1" ht="13.9">
      <c r="B47" s="866" t="s">
        <v>2788</v>
      </c>
    </row>
    <row r="49" spans="1:70" ht="15">
      <c r="A49" s="848"/>
      <c r="B49" s="849"/>
      <c r="C49" s="849"/>
      <c r="D49" s="850"/>
      <c r="E49" s="850" t="s">
        <v>2774</v>
      </c>
      <c r="F49" s="850"/>
      <c r="G49" s="850" t="s">
        <v>149</v>
      </c>
      <c r="H49" s="850"/>
      <c r="I49" s="850"/>
      <c r="J49" s="850"/>
      <c r="K49" s="850"/>
      <c r="L49" s="850"/>
      <c r="M49" s="850"/>
      <c r="N49" s="850"/>
      <c r="O49" s="850"/>
      <c r="P49" s="848"/>
      <c r="Q49" s="850" t="s">
        <v>1096</v>
      </c>
      <c r="R49" s="848"/>
      <c r="S49" s="81"/>
      <c r="T49" s="81"/>
      <c r="U49" s="81"/>
      <c r="V49" s="836" t="s">
        <v>12</v>
      </c>
      <c r="W49" s="836"/>
      <c r="X49" s="836"/>
      <c r="Y49" s="836"/>
      <c r="Z49" s="836"/>
      <c r="AA49" s="852"/>
      <c r="AB49" s="848" t="s">
        <v>0</v>
      </c>
      <c r="AC49" s="848"/>
      <c r="AD49" s="848"/>
      <c r="AE49" s="848"/>
      <c r="AF49" s="848"/>
      <c r="AG49" s="848"/>
      <c r="AH49" s="848" t="s">
        <v>2</v>
      </c>
      <c r="AI49" s="81"/>
      <c r="AJ49" s="81"/>
      <c r="AK49" s="81"/>
      <c r="AL49" s="81"/>
      <c r="AM49" s="81"/>
      <c r="AN49" s="848"/>
      <c r="AO49" s="848"/>
      <c r="AP49" s="848"/>
      <c r="AQ49" s="848"/>
      <c r="AR49" s="848"/>
      <c r="AS49" s="853"/>
      <c r="AT49" s="853"/>
      <c r="AU49" s="853"/>
      <c r="AV49" s="853"/>
      <c r="AW49" s="853"/>
      <c r="AX49" s="853"/>
      <c r="AY49" s="848"/>
      <c r="AZ49" s="848"/>
      <c r="BA49" s="848"/>
      <c r="BB49" s="848"/>
      <c r="BC49" s="848"/>
      <c r="BD49" s="848"/>
      <c r="BE49" s="848"/>
      <c r="BF49" s="848"/>
      <c r="BG49" s="853"/>
      <c r="BH49" s="853"/>
      <c r="BI49" s="853"/>
      <c r="BJ49" s="853"/>
      <c r="BK49" s="853"/>
    </row>
    <row r="50" spans="1:70" ht="15">
      <c r="A50" s="848"/>
      <c r="B50" s="849"/>
      <c r="C50" s="849"/>
      <c r="D50" s="850"/>
      <c r="E50" s="850" t="s">
        <v>2774</v>
      </c>
      <c r="F50" s="850"/>
      <c r="G50" s="850" t="s">
        <v>149</v>
      </c>
      <c r="H50" s="850"/>
      <c r="I50" s="850"/>
      <c r="J50" s="850"/>
      <c r="K50" s="850"/>
      <c r="L50" s="850"/>
      <c r="M50" s="850"/>
      <c r="N50" s="850"/>
      <c r="O50" s="850"/>
      <c r="P50" s="848"/>
      <c r="Q50" s="850" t="s">
        <v>1096</v>
      </c>
      <c r="R50" s="848"/>
      <c r="S50" s="81"/>
      <c r="T50" s="81"/>
      <c r="U50" s="81"/>
      <c r="V50" s="836" t="s">
        <v>12</v>
      </c>
      <c r="W50" s="836"/>
      <c r="X50" s="836"/>
      <c r="Y50" s="836"/>
      <c r="Z50" s="836"/>
      <c r="AA50" s="852"/>
      <c r="AB50" s="848" t="s">
        <v>0</v>
      </c>
      <c r="AC50" s="848"/>
      <c r="AD50" s="848"/>
      <c r="AE50" s="848"/>
      <c r="AF50" s="848"/>
      <c r="AG50" s="848"/>
      <c r="AH50" s="848" t="s">
        <v>2</v>
      </c>
      <c r="AI50" s="81"/>
      <c r="AJ50" s="81"/>
      <c r="AK50" s="81"/>
      <c r="AL50" s="81"/>
      <c r="AM50" s="81"/>
      <c r="AN50" s="848"/>
      <c r="AO50" s="848"/>
      <c r="AP50" s="848"/>
      <c r="AQ50" s="848"/>
      <c r="AR50" s="848"/>
      <c r="AS50" s="853"/>
      <c r="AT50" s="853"/>
      <c r="AU50" s="853"/>
      <c r="AV50" s="853"/>
      <c r="AW50" s="853"/>
      <c r="AX50" s="853"/>
      <c r="AY50" s="848"/>
      <c r="AZ50" s="848"/>
      <c r="BA50" s="848"/>
      <c r="BB50" s="848"/>
      <c r="BC50" s="848"/>
      <c r="BD50" s="848"/>
      <c r="BE50" s="848"/>
      <c r="BF50" s="848"/>
      <c r="BG50" s="853"/>
      <c r="BH50" s="853"/>
      <c r="BI50" s="853"/>
      <c r="BJ50" s="853"/>
      <c r="BK50" s="853"/>
    </row>
    <row r="51" spans="1:70" ht="15">
      <c r="A51" s="848"/>
      <c r="B51" s="849"/>
      <c r="C51" s="849"/>
      <c r="D51" s="850"/>
      <c r="E51" s="850" t="s">
        <v>2774</v>
      </c>
      <c r="F51" s="850"/>
      <c r="G51" s="850" t="s">
        <v>149</v>
      </c>
      <c r="H51" s="850"/>
      <c r="I51" s="850"/>
      <c r="J51" s="850"/>
      <c r="K51" s="850"/>
      <c r="L51" s="850"/>
      <c r="M51" s="850"/>
      <c r="N51" s="850"/>
      <c r="O51" s="850"/>
      <c r="P51" s="848"/>
      <c r="Q51" s="850" t="s">
        <v>1096</v>
      </c>
      <c r="R51" s="848"/>
      <c r="S51" s="81"/>
      <c r="T51" s="81"/>
      <c r="U51" s="81"/>
      <c r="V51" s="836" t="s">
        <v>12</v>
      </c>
      <c r="W51" s="836"/>
      <c r="X51" s="836"/>
      <c r="Y51" s="836"/>
      <c r="Z51" s="836"/>
      <c r="AA51" s="852"/>
      <c r="AB51" s="848" t="s">
        <v>0</v>
      </c>
      <c r="AC51" s="848"/>
      <c r="AD51" s="848"/>
      <c r="AE51" s="848"/>
      <c r="AF51" s="848"/>
      <c r="AG51" s="848"/>
      <c r="AH51" s="848" t="s">
        <v>2</v>
      </c>
      <c r="AI51" s="81"/>
      <c r="AJ51" s="81"/>
      <c r="AK51" s="81"/>
      <c r="AL51" s="81"/>
      <c r="AM51" s="81"/>
      <c r="AN51" s="848"/>
      <c r="AO51" s="848"/>
      <c r="AP51" s="848"/>
      <c r="AQ51" s="848"/>
      <c r="AR51" s="848"/>
      <c r="AS51" s="853"/>
      <c r="AT51" s="853"/>
      <c r="AU51" s="853"/>
      <c r="AV51" s="853"/>
      <c r="AW51" s="853"/>
      <c r="AX51" s="853"/>
      <c r="AY51" s="848"/>
      <c r="AZ51" s="848"/>
      <c r="BA51" s="848"/>
      <c r="BB51" s="848"/>
      <c r="BC51" s="848"/>
      <c r="BD51" s="848"/>
      <c r="BE51" s="848"/>
      <c r="BF51" s="848"/>
      <c r="BG51" s="853"/>
      <c r="BH51" s="853"/>
      <c r="BI51" s="853"/>
      <c r="BJ51" s="853"/>
      <c r="BK51" s="853"/>
    </row>
    <row r="52" spans="1:70" ht="15">
      <c r="A52" s="848"/>
      <c r="B52" s="849"/>
      <c r="C52" s="849"/>
      <c r="D52" s="850"/>
      <c r="E52" s="850" t="s">
        <v>2774</v>
      </c>
      <c r="F52" s="850"/>
      <c r="G52" s="850" t="s">
        <v>149</v>
      </c>
      <c r="H52" s="850"/>
      <c r="I52" s="850"/>
      <c r="J52" s="850"/>
      <c r="K52" s="850"/>
      <c r="L52" s="850"/>
      <c r="M52" s="850"/>
      <c r="N52" s="850"/>
      <c r="O52" s="850"/>
      <c r="P52" s="848"/>
      <c r="Q52" s="850" t="s">
        <v>1096</v>
      </c>
      <c r="R52" s="848"/>
      <c r="S52" s="81"/>
      <c r="T52" s="81"/>
      <c r="U52" s="81"/>
      <c r="V52" s="836" t="s">
        <v>12</v>
      </c>
      <c r="W52" s="836"/>
      <c r="X52" s="836"/>
      <c r="Y52" s="836"/>
      <c r="Z52" s="836"/>
      <c r="AA52" s="852"/>
      <c r="AB52" s="848" t="s">
        <v>0</v>
      </c>
      <c r="AC52" s="848"/>
      <c r="AD52" s="848"/>
      <c r="AE52" s="848"/>
      <c r="AF52" s="848"/>
      <c r="AG52" s="848"/>
      <c r="AH52" s="848" t="s">
        <v>2</v>
      </c>
      <c r="AI52" s="81"/>
      <c r="AJ52" s="81"/>
      <c r="AK52" s="81"/>
      <c r="AL52" s="81"/>
      <c r="AM52" s="81"/>
      <c r="AN52" s="848"/>
      <c r="AO52" s="848"/>
      <c r="AP52" s="848"/>
      <c r="AQ52" s="848"/>
      <c r="AR52" s="848"/>
      <c r="AS52" s="853"/>
      <c r="AT52" s="853"/>
      <c r="AU52" s="853"/>
      <c r="AV52" s="853"/>
      <c r="AW52" s="853"/>
      <c r="AX52" s="853"/>
      <c r="AY52" s="848"/>
      <c r="AZ52" s="848"/>
      <c r="BA52" s="848"/>
      <c r="BB52" s="848"/>
      <c r="BC52" s="848"/>
      <c r="BD52" s="848"/>
      <c r="BE52" s="848"/>
      <c r="BF52" s="848"/>
      <c r="BG52" s="853"/>
      <c r="BH52" s="853"/>
      <c r="BI52" s="853"/>
      <c r="BJ52" s="853"/>
      <c r="BK52" s="853"/>
    </row>
    <row r="53" spans="1:70" s="845" customFormat="1">
      <c r="B53" s="854"/>
      <c r="C53" s="854"/>
      <c r="D53" s="850"/>
      <c r="E53" s="850" t="s">
        <v>2774</v>
      </c>
      <c r="F53" s="850"/>
      <c r="G53" s="850" t="s">
        <v>149</v>
      </c>
      <c r="H53" s="850"/>
      <c r="I53" s="855"/>
      <c r="J53" s="855"/>
      <c r="K53" s="855"/>
      <c r="L53" s="855"/>
      <c r="M53" s="855"/>
      <c r="N53" s="855"/>
      <c r="O53" s="855"/>
      <c r="P53" s="848"/>
      <c r="Q53" s="850" t="s">
        <v>1096</v>
      </c>
      <c r="R53" s="848"/>
      <c r="S53" s="81"/>
      <c r="T53" s="81"/>
      <c r="U53" s="81"/>
      <c r="V53" s="854" t="s">
        <v>12</v>
      </c>
      <c r="W53" s="854"/>
      <c r="X53" s="854"/>
      <c r="Y53" s="854"/>
      <c r="Z53" s="854"/>
      <c r="AA53" s="854"/>
      <c r="AB53" s="854" t="s">
        <v>0</v>
      </c>
      <c r="AC53" s="854"/>
      <c r="AD53" s="854"/>
      <c r="AE53" s="855"/>
      <c r="AF53" s="855"/>
      <c r="AG53" s="855"/>
      <c r="AH53" s="855" t="s">
        <v>2</v>
      </c>
      <c r="AI53" s="81"/>
      <c r="AJ53" s="81"/>
      <c r="AK53" s="81"/>
      <c r="AL53" s="81"/>
      <c r="AM53" s="81"/>
      <c r="AN53" s="855"/>
      <c r="AO53" s="855"/>
      <c r="AP53" s="855"/>
      <c r="AQ53" s="855"/>
      <c r="AR53" s="855"/>
      <c r="AS53" s="855"/>
      <c r="AT53" s="855"/>
      <c r="AU53" s="856"/>
      <c r="AV53" s="856"/>
      <c r="AW53" s="856"/>
      <c r="AY53" s="854"/>
      <c r="AZ53" s="856"/>
      <c r="BA53" s="855"/>
      <c r="BB53" s="855"/>
      <c r="BC53" s="855"/>
      <c r="BD53" s="855"/>
      <c r="BE53" s="855"/>
      <c r="BF53" s="855"/>
      <c r="BG53" s="855"/>
      <c r="BH53" s="855"/>
      <c r="BI53" s="856"/>
      <c r="BJ53" s="856"/>
      <c r="BK53" s="856"/>
      <c r="BL53" s="856"/>
      <c r="BM53" s="856"/>
      <c r="BN53" s="856"/>
      <c r="BO53" s="856"/>
      <c r="BP53" s="856"/>
      <c r="BQ53" s="856"/>
      <c r="BR53" s="855"/>
    </row>
    <row r="54" spans="1:70" s="845" customFormat="1">
      <c r="D54" s="850"/>
      <c r="E54" s="850" t="s">
        <v>2774</v>
      </c>
      <c r="F54" s="850"/>
      <c r="G54" s="850" t="s">
        <v>149</v>
      </c>
      <c r="H54" s="850"/>
      <c r="I54" s="855"/>
      <c r="J54" s="855"/>
      <c r="K54" s="855"/>
      <c r="L54" s="855"/>
      <c r="M54" s="855"/>
      <c r="N54" s="855"/>
      <c r="O54" s="855"/>
      <c r="P54" s="848"/>
      <c r="Q54" s="850" t="s">
        <v>1096</v>
      </c>
      <c r="R54" s="848"/>
      <c r="S54" s="81"/>
      <c r="T54" s="81"/>
      <c r="U54" s="81"/>
      <c r="V54" s="857" t="s">
        <v>12</v>
      </c>
      <c r="W54" s="857"/>
      <c r="X54" s="857"/>
      <c r="Y54" s="857"/>
      <c r="Z54" s="857"/>
      <c r="AA54" s="854"/>
      <c r="AB54" s="856" t="s">
        <v>0</v>
      </c>
      <c r="AC54" s="856"/>
      <c r="AD54" s="856"/>
      <c r="AE54" s="855"/>
      <c r="AF54" s="855"/>
      <c r="AG54" s="855"/>
      <c r="AH54" s="855" t="s">
        <v>2</v>
      </c>
      <c r="AI54" s="81"/>
      <c r="AJ54" s="81"/>
      <c r="AK54" s="81"/>
      <c r="AL54" s="81"/>
      <c r="AM54" s="81"/>
      <c r="AN54" s="855"/>
      <c r="AO54" s="855"/>
      <c r="AP54" s="855"/>
      <c r="AQ54" s="855"/>
      <c r="AR54" s="855"/>
      <c r="AS54" s="855"/>
      <c r="AT54" s="855"/>
      <c r="AU54" s="856"/>
      <c r="AV54" s="856"/>
      <c r="AW54" s="856"/>
      <c r="AY54" s="854"/>
      <c r="AZ54" s="856"/>
      <c r="BA54" s="855"/>
      <c r="BB54" s="855"/>
      <c r="BC54" s="855"/>
      <c r="BD54" s="855"/>
      <c r="BE54" s="855"/>
      <c r="BF54" s="855"/>
      <c r="BG54" s="855"/>
      <c r="BH54" s="855"/>
      <c r="BI54" s="856"/>
      <c r="BJ54" s="856"/>
      <c r="BK54" s="856"/>
      <c r="BL54" s="856"/>
      <c r="BM54" s="856"/>
      <c r="BN54" s="856"/>
      <c r="BO54" s="856"/>
      <c r="BP54" s="856"/>
      <c r="BQ54" s="856"/>
      <c r="BR54" s="855"/>
    </row>
    <row r="55" spans="1:70" s="845" customFormat="1">
      <c r="D55" s="850"/>
      <c r="E55" s="850" t="s">
        <v>2774</v>
      </c>
      <c r="F55" s="850"/>
      <c r="G55" s="850" t="s">
        <v>149</v>
      </c>
      <c r="H55" s="850"/>
      <c r="I55" s="855"/>
      <c r="J55" s="855"/>
      <c r="K55" s="855"/>
      <c r="L55" s="855"/>
      <c r="M55" s="855"/>
      <c r="N55" s="855"/>
      <c r="O55" s="855"/>
      <c r="P55" s="848"/>
      <c r="Q55" s="850" t="s">
        <v>1096</v>
      </c>
      <c r="R55" s="848"/>
      <c r="S55" s="81"/>
      <c r="T55" s="81"/>
      <c r="U55" s="81"/>
      <c r="V55" s="857" t="s">
        <v>12</v>
      </c>
      <c r="W55" s="857"/>
      <c r="X55" s="857"/>
      <c r="Y55" s="857"/>
      <c r="Z55" s="857"/>
      <c r="AA55" s="854"/>
      <c r="AB55" s="856" t="s">
        <v>0</v>
      </c>
      <c r="AC55" s="856"/>
      <c r="AD55" s="856"/>
      <c r="AE55" s="855"/>
      <c r="AF55" s="855"/>
      <c r="AG55" s="855"/>
      <c r="AH55" s="855" t="s">
        <v>2</v>
      </c>
      <c r="AI55" s="81"/>
      <c r="AJ55" s="81"/>
      <c r="AK55" s="81"/>
      <c r="AL55" s="81"/>
      <c r="AM55" s="81"/>
      <c r="AN55" s="855"/>
      <c r="AO55" s="855"/>
      <c r="AP55" s="855"/>
      <c r="AQ55" s="855"/>
      <c r="AR55" s="855"/>
      <c r="AS55" s="855"/>
      <c r="AT55" s="855"/>
      <c r="AU55" s="856"/>
      <c r="AV55" s="856"/>
      <c r="AW55" s="856"/>
      <c r="AY55" s="854"/>
      <c r="AZ55" s="856"/>
      <c r="BA55" s="855"/>
      <c r="BB55" s="855"/>
      <c r="BC55" s="855"/>
      <c r="BD55" s="855"/>
      <c r="BE55" s="855"/>
      <c r="BF55" s="855"/>
      <c r="BG55" s="855"/>
      <c r="BH55" s="855"/>
      <c r="BI55" s="856"/>
      <c r="BJ55" s="856"/>
      <c r="BK55" s="856"/>
      <c r="BL55" s="856"/>
      <c r="BM55" s="856"/>
      <c r="BN55" s="856"/>
      <c r="BO55" s="856"/>
      <c r="BP55" s="856"/>
      <c r="BQ55" s="856"/>
      <c r="BR55" s="855"/>
    </row>
    <row r="56" spans="1:70" s="845" customFormat="1">
      <c r="D56" s="850"/>
      <c r="E56" s="850" t="s">
        <v>2774</v>
      </c>
      <c r="F56" s="850"/>
      <c r="G56" s="850" t="s">
        <v>149</v>
      </c>
      <c r="H56" s="850"/>
      <c r="I56" s="855"/>
      <c r="J56" s="855"/>
      <c r="K56" s="855"/>
      <c r="L56" s="855"/>
      <c r="M56" s="855"/>
      <c r="N56" s="855"/>
      <c r="O56" s="855"/>
      <c r="P56" s="848"/>
      <c r="Q56" s="850" t="s">
        <v>1096</v>
      </c>
      <c r="R56" s="848"/>
      <c r="S56" s="81"/>
      <c r="T56" s="81"/>
      <c r="U56" s="81"/>
      <c r="V56" s="857" t="s">
        <v>12</v>
      </c>
      <c r="W56" s="857"/>
      <c r="X56" s="857"/>
      <c r="Y56" s="857"/>
      <c r="Z56" s="857"/>
      <c r="AA56" s="854"/>
      <c r="AB56" s="856"/>
      <c r="AC56" s="856"/>
      <c r="AD56" s="856"/>
      <c r="AE56" s="855"/>
      <c r="AF56" s="855"/>
      <c r="AG56" s="855"/>
      <c r="AH56" s="855" t="s">
        <v>2</v>
      </c>
      <c r="AI56" s="81"/>
      <c r="AJ56" s="81"/>
      <c r="AK56" s="81"/>
      <c r="AL56" s="81"/>
      <c r="AM56" s="81"/>
      <c r="AN56" s="855"/>
      <c r="AO56" s="855"/>
      <c r="AP56" s="855"/>
      <c r="AQ56" s="855"/>
      <c r="AR56" s="855"/>
      <c r="AS56" s="855"/>
      <c r="AT56" s="855"/>
      <c r="AU56" s="856"/>
      <c r="AV56" s="856"/>
      <c r="AW56" s="856"/>
      <c r="AY56" s="854"/>
      <c r="AZ56" s="856"/>
      <c r="BA56" s="855"/>
      <c r="BB56" s="855"/>
      <c r="BC56" s="855"/>
      <c r="BD56" s="855"/>
      <c r="BE56" s="855"/>
      <c r="BF56" s="855"/>
      <c r="BG56" s="855"/>
      <c r="BH56" s="855"/>
      <c r="BI56" s="856"/>
      <c r="BJ56" s="856"/>
      <c r="BK56" s="856"/>
      <c r="BL56" s="856"/>
      <c r="BM56" s="856"/>
      <c r="BN56" s="856"/>
      <c r="BO56" s="856"/>
      <c r="BP56" s="856"/>
      <c r="BQ56" s="856"/>
      <c r="BR56" s="855"/>
    </row>
    <row r="57" spans="1:70" s="845" customFormat="1">
      <c r="D57" s="850"/>
      <c r="E57" s="850" t="s">
        <v>2774</v>
      </c>
      <c r="F57" s="850"/>
      <c r="G57" s="850" t="s">
        <v>149</v>
      </c>
      <c r="H57" s="850"/>
      <c r="I57" s="855"/>
      <c r="J57" s="855"/>
      <c r="K57" s="855"/>
      <c r="L57" s="855"/>
      <c r="M57" s="855"/>
      <c r="N57" s="855"/>
      <c r="O57" s="855"/>
      <c r="P57" s="848"/>
      <c r="Q57" s="850" t="s">
        <v>1096</v>
      </c>
      <c r="R57" s="848"/>
      <c r="S57" s="81"/>
      <c r="T57" s="81"/>
      <c r="U57" s="81"/>
      <c r="V57" s="857" t="s">
        <v>12</v>
      </c>
      <c r="W57" s="857"/>
      <c r="X57" s="857"/>
      <c r="Y57" s="857"/>
      <c r="Z57" s="857"/>
      <c r="AA57" s="854"/>
      <c r="AB57" s="856"/>
      <c r="AC57" s="856"/>
      <c r="AD57" s="856"/>
      <c r="AE57" s="855"/>
      <c r="AF57" s="855"/>
      <c r="AG57" s="855"/>
      <c r="AH57" s="855" t="s">
        <v>2</v>
      </c>
      <c r="AI57" s="81"/>
      <c r="AJ57" s="81"/>
      <c r="AK57" s="81"/>
      <c r="AL57" s="81"/>
      <c r="AM57" s="81"/>
      <c r="AN57" s="855"/>
      <c r="AO57" s="855"/>
      <c r="AP57" s="855"/>
      <c r="AQ57" s="855"/>
      <c r="AR57" s="855"/>
      <c r="AS57" s="855"/>
      <c r="AT57" s="855"/>
      <c r="AU57" s="856"/>
      <c r="AV57" s="856"/>
      <c r="AW57" s="856"/>
      <c r="AY57" s="854"/>
      <c r="AZ57" s="856"/>
      <c r="BA57" s="855"/>
      <c r="BB57" s="855"/>
      <c r="BC57" s="855"/>
      <c r="BD57" s="855"/>
      <c r="BE57" s="855"/>
      <c r="BF57" s="855"/>
      <c r="BG57" s="855"/>
      <c r="BH57" s="855"/>
      <c r="BI57" s="856"/>
      <c r="BJ57" s="856"/>
      <c r="BK57" s="856"/>
      <c r="BL57" s="856"/>
      <c r="BM57" s="856"/>
      <c r="BN57" s="856"/>
      <c r="BO57" s="856"/>
      <c r="BP57" s="856"/>
      <c r="BQ57" s="856"/>
      <c r="BR57" s="855"/>
    </row>
    <row r="58" spans="1:70" s="845" customFormat="1">
      <c r="D58" s="850"/>
      <c r="E58" s="850" t="s">
        <v>2774</v>
      </c>
      <c r="F58" s="850"/>
      <c r="G58" s="850" t="s">
        <v>149</v>
      </c>
      <c r="H58" s="850"/>
      <c r="I58" s="855"/>
      <c r="J58" s="855"/>
      <c r="K58" s="855"/>
      <c r="L58" s="855"/>
      <c r="M58" s="855"/>
      <c r="N58" s="855"/>
      <c r="O58" s="855"/>
      <c r="P58" s="848"/>
      <c r="Q58" s="850" t="s">
        <v>1096</v>
      </c>
      <c r="R58" s="848"/>
      <c r="S58" s="81"/>
      <c r="T58" s="81"/>
      <c r="U58" s="81"/>
      <c r="V58" s="857" t="s">
        <v>12</v>
      </c>
      <c r="W58" s="857"/>
      <c r="X58" s="857"/>
      <c r="Y58" s="857"/>
      <c r="Z58" s="857"/>
      <c r="AA58" s="854"/>
      <c r="AB58" s="856"/>
      <c r="AC58" s="856"/>
      <c r="AD58" s="856"/>
      <c r="AE58" s="855"/>
      <c r="AF58" s="855"/>
      <c r="AG58" s="855"/>
      <c r="AH58" s="855" t="s">
        <v>2</v>
      </c>
      <c r="AI58" s="81"/>
      <c r="AJ58" s="81"/>
      <c r="AK58" s="81"/>
      <c r="AL58" s="81"/>
      <c r="AM58" s="81"/>
      <c r="AN58" s="855"/>
      <c r="AO58" s="855"/>
      <c r="AP58" s="855"/>
      <c r="AQ58" s="855"/>
      <c r="AR58" s="855"/>
      <c r="AS58" s="855"/>
      <c r="AT58" s="855"/>
      <c r="AU58" s="856"/>
      <c r="AV58" s="856"/>
      <c r="AW58" s="856"/>
      <c r="AY58" s="854"/>
      <c r="AZ58" s="856"/>
      <c r="BA58" s="855"/>
      <c r="BB58" s="855"/>
      <c r="BC58" s="855"/>
      <c r="BD58" s="855"/>
      <c r="BE58" s="855"/>
      <c r="BF58" s="855"/>
      <c r="BG58" s="855"/>
      <c r="BH58" s="855"/>
      <c r="BI58" s="856"/>
      <c r="BJ58" s="856"/>
      <c r="BK58" s="856"/>
      <c r="BL58" s="856"/>
      <c r="BM58" s="856"/>
      <c r="BN58" s="856"/>
      <c r="BO58" s="856"/>
      <c r="BP58" s="856"/>
      <c r="BQ58" s="856"/>
      <c r="BR58" s="855"/>
    </row>
    <row r="60" spans="1:70" s="1" customFormat="1" ht="13.9">
      <c r="B60" s="866" t="s">
        <v>2789</v>
      </c>
    </row>
    <row r="62" spans="1:70" ht="15">
      <c r="A62" s="848"/>
      <c r="B62" s="849"/>
      <c r="C62" s="849"/>
      <c r="D62" s="850"/>
      <c r="E62" s="850" t="s">
        <v>2774</v>
      </c>
      <c r="F62" s="850"/>
      <c r="G62" s="850" t="s">
        <v>149</v>
      </c>
      <c r="H62" s="850"/>
      <c r="I62" s="850"/>
      <c r="J62" s="850"/>
      <c r="K62" s="850"/>
      <c r="L62" s="850"/>
      <c r="M62" s="850"/>
      <c r="N62" s="850"/>
      <c r="O62" s="850"/>
      <c r="P62" s="848"/>
      <c r="Q62" s="850" t="s">
        <v>1096</v>
      </c>
      <c r="R62" s="848"/>
      <c r="S62" s="81"/>
      <c r="T62" s="81"/>
      <c r="U62" s="81"/>
      <c r="V62" s="836" t="s">
        <v>12</v>
      </c>
      <c r="W62" s="836"/>
      <c r="X62" s="836"/>
      <c r="Y62" s="836"/>
      <c r="Z62" s="836"/>
      <c r="AA62" s="852"/>
      <c r="AB62" s="848" t="s">
        <v>0</v>
      </c>
      <c r="AC62" s="848"/>
      <c r="AD62" s="848"/>
      <c r="AE62" s="848"/>
      <c r="AF62" s="848"/>
      <c r="AG62" s="848"/>
      <c r="AH62" s="848" t="s">
        <v>2</v>
      </c>
      <c r="AI62" s="81"/>
      <c r="AJ62" s="81"/>
      <c r="AK62" s="81"/>
      <c r="AL62" s="81"/>
      <c r="AM62" s="81"/>
      <c r="AN62" s="848"/>
      <c r="AO62" s="848"/>
      <c r="AP62" s="848"/>
      <c r="AQ62" s="848"/>
      <c r="AR62" s="848"/>
      <c r="AS62" s="853"/>
      <c r="AT62" s="853"/>
      <c r="AU62" s="853"/>
      <c r="AV62" s="853"/>
      <c r="AW62" s="853"/>
      <c r="AX62" s="853"/>
      <c r="AY62" s="848"/>
      <c r="AZ62" s="848"/>
      <c r="BA62" s="848"/>
      <c r="BB62" s="848"/>
      <c r="BC62" s="848"/>
      <c r="BD62" s="848"/>
      <c r="BE62" s="848"/>
      <c r="BF62" s="848"/>
      <c r="BG62" s="853"/>
      <c r="BH62" s="853"/>
      <c r="BI62" s="853"/>
      <c r="BJ62" s="853"/>
      <c r="BK62" s="853"/>
    </row>
    <row r="63" spans="1:70" ht="15">
      <c r="A63" s="848"/>
      <c r="B63" s="849"/>
      <c r="C63" s="849"/>
      <c r="D63" s="850"/>
      <c r="E63" s="850" t="s">
        <v>2774</v>
      </c>
      <c r="F63" s="850"/>
      <c r="G63" s="850" t="s">
        <v>149</v>
      </c>
      <c r="H63" s="850"/>
      <c r="I63" s="850"/>
      <c r="J63" s="850"/>
      <c r="K63" s="850"/>
      <c r="L63" s="850"/>
      <c r="M63" s="850"/>
      <c r="N63" s="850"/>
      <c r="O63" s="850"/>
      <c r="P63" s="848"/>
      <c r="Q63" s="850" t="s">
        <v>1096</v>
      </c>
      <c r="R63" s="848"/>
      <c r="S63" s="81"/>
      <c r="T63" s="81"/>
      <c r="U63" s="81"/>
      <c r="V63" s="836" t="s">
        <v>12</v>
      </c>
      <c r="W63" s="836"/>
      <c r="X63" s="836"/>
      <c r="Y63" s="836"/>
      <c r="Z63" s="836"/>
      <c r="AA63" s="852"/>
      <c r="AB63" s="848" t="s">
        <v>0</v>
      </c>
      <c r="AC63" s="848"/>
      <c r="AD63" s="848"/>
      <c r="AE63" s="848"/>
      <c r="AF63" s="848"/>
      <c r="AG63" s="848"/>
      <c r="AH63" s="848" t="s">
        <v>2</v>
      </c>
      <c r="AI63" s="81"/>
      <c r="AJ63" s="81"/>
      <c r="AK63" s="81"/>
      <c r="AL63" s="81"/>
      <c r="AM63" s="81"/>
      <c r="AN63" s="848"/>
      <c r="AO63" s="848"/>
      <c r="AP63" s="848"/>
      <c r="AQ63" s="848"/>
      <c r="AR63" s="848"/>
      <c r="AS63" s="853"/>
      <c r="AT63" s="853"/>
      <c r="AU63" s="853"/>
      <c r="AV63" s="853"/>
      <c r="AW63" s="853"/>
      <c r="AX63" s="853"/>
      <c r="AY63" s="848"/>
      <c r="AZ63" s="848"/>
      <c r="BA63" s="848"/>
      <c r="BB63" s="848"/>
      <c r="BC63" s="848"/>
      <c r="BD63" s="848"/>
      <c r="BE63" s="848"/>
      <c r="BF63" s="848"/>
      <c r="BG63" s="853"/>
      <c r="BH63" s="853"/>
      <c r="BI63" s="853"/>
      <c r="BJ63" s="853"/>
      <c r="BK63" s="853"/>
    </row>
    <row r="64" spans="1:70" ht="15">
      <c r="A64" s="848"/>
      <c r="B64" s="849"/>
      <c r="C64" s="849"/>
      <c r="D64" s="850"/>
      <c r="E64" s="850" t="s">
        <v>2774</v>
      </c>
      <c r="F64" s="850"/>
      <c r="G64" s="850" t="s">
        <v>149</v>
      </c>
      <c r="H64" s="850"/>
      <c r="I64" s="850"/>
      <c r="J64" s="850"/>
      <c r="K64" s="850"/>
      <c r="L64" s="850"/>
      <c r="M64" s="850"/>
      <c r="N64" s="850"/>
      <c r="O64" s="850"/>
      <c r="P64" s="848"/>
      <c r="Q64" s="850" t="s">
        <v>1096</v>
      </c>
      <c r="R64" s="848"/>
      <c r="S64" s="81"/>
      <c r="T64" s="81"/>
      <c r="U64" s="81"/>
      <c r="V64" s="836" t="s">
        <v>12</v>
      </c>
      <c r="W64" s="836"/>
      <c r="X64" s="836"/>
      <c r="Y64" s="836"/>
      <c r="Z64" s="836"/>
      <c r="AA64" s="852"/>
      <c r="AB64" s="848" t="s">
        <v>0</v>
      </c>
      <c r="AC64" s="848"/>
      <c r="AD64" s="848"/>
      <c r="AE64" s="848"/>
      <c r="AF64" s="848"/>
      <c r="AG64" s="848"/>
      <c r="AH64" s="848" t="s">
        <v>2</v>
      </c>
      <c r="AI64" s="81"/>
      <c r="AJ64" s="81"/>
      <c r="AK64" s="81"/>
      <c r="AL64" s="81"/>
      <c r="AM64" s="81"/>
      <c r="AN64" s="848"/>
      <c r="AO64" s="848"/>
      <c r="AP64" s="848"/>
      <c r="AQ64" s="848"/>
      <c r="AR64" s="848"/>
      <c r="AS64" s="853"/>
      <c r="AT64" s="853"/>
      <c r="AU64" s="853"/>
      <c r="AV64" s="853"/>
      <c r="AW64" s="853"/>
      <c r="AX64" s="853"/>
      <c r="AY64" s="848"/>
      <c r="AZ64" s="848"/>
      <c r="BA64" s="848"/>
      <c r="BB64" s="848"/>
      <c r="BC64" s="848"/>
      <c r="BD64" s="848"/>
      <c r="BE64" s="848"/>
      <c r="BF64" s="848"/>
      <c r="BG64" s="853"/>
      <c r="BH64" s="853"/>
      <c r="BI64" s="853"/>
      <c r="BJ64" s="853"/>
      <c r="BK64" s="853"/>
    </row>
    <row r="65" spans="1:70" ht="15">
      <c r="A65" s="848"/>
      <c r="B65" s="849"/>
      <c r="C65" s="849"/>
      <c r="D65" s="850"/>
      <c r="E65" s="850" t="s">
        <v>2774</v>
      </c>
      <c r="F65" s="850"/>
      <c r="G65" s="850" t="s">
        <v>149</v>
      </c>
      <c r="H65" s="850"/>
      <c r="I65" s="850"/>
      <c r="J65" s="850"/>
      <c r="K65" s="850"/>
      <c r="L65" s="850"/>
      <c r="M65" s="850"/>
      <c r="N65" s="850"/>
      <c r="O65" s="850"/>
      <c r="P65" s="848"/>
      <c r="Q65" s="850" t="s">
        <v>1096</v>
      </c>
      <c r="R65" s="848"/>
      <c r="S65" s="81"/>
      <c r="T65" s="81"/>
      <c r="U65" s="81"/>
      <c r="V65" s="836" t="s">
        <v>12</v>
      </c>
      <c r="W65" s="836"/>
      <c r="X65" s="836"/>
      <c r="Y65" s="836"/>
      <c r="Z65" s="836"/>
      <c r="AA65" s="852"/>
      <c r="AB65" s="848" t="s">
        <v>0</v>
      </c>
      <c r="AC65" s="848"/>
      <c r="AD65" s="848"/>
      <c r="AE65" s="848"/>
      <c r="AF65" s="848"/>
      <c r="AG65" s="848"/>
      <c r="AH65" s="848" t="s">
        <v>2</v>
      </c>
      <c r="AI65" s="81"/>
      <c r="AJ65" s="81"/>
      <c r="AK65" s="81"/>
      <c r="AL65" s="81"/>
      <c r="AM65" s="81"/>
      <c r="AN65" s="848"/>
      <c r="AO65" s="848"/>
      <c r="AP65" s="848"/>
      <c r="AQ65" s="848"/>
      <c r="AR65" s="848"/>
      <c r="AS65" s="853"/>
      <c r="AT65" s="853"/>
      <c r="AU65" s="853"/>
      <c r="AV65" s="853"/>
      <c r="AW65" s="853"/>
      <c r="AX65" s="853"/>
      <c r="AY65" s="848"/>
      <c r="AZ65" s="848"/>
      <c r="BA65" s="848"/>
      <c r="BB65" s="848"/>
      <c r="BC65" s="848"/>
      <c r="BD65" s="848"/>
      <c r="BE65" s="848"/>
      <c r="BF65" s="848"/>
      <c r="BG65" s="853"/>
      <c r="BH65" s="853"/>
      <c r="BI65" s="853"/>
      <c r="BJ65" s="853"/>
      <c r="BK65" s="853"/>
    </row>
    <row r="66" spans="1:70" s="845" customFormat="1">
      <c r="B66" s="854"/>
      <c r="C66" s="854"/>
      <c r="D66" s="850"/>
      <c r="E66" s="850" t="s">
        <v>2774</v>
      </c>
      <c r="F66" s="855"/>
      <c r="G66" s="850" t="s">
        <v>149</v>
      </c>
      <c r="H66" s="855"/>
      <c r="I66" s="855"/>
      <c r="J66" s="855"/>
      <c r="K66" s="855"/>
      <c r="L66" s="855"/>
      <c r="M66" s="855"/>
      <c r="N66" s="855"/>
      <c r="O66" s="855"/>
      <c r="P66" s="848"/>
      <c r="Q66" s="850" t="s">
        <v>1096</v>
      </c>
      <c r="R66" s="848"/>
      <c r="S66" s="81"/>
      <c r="T66" s="81"/>
      <c r="U66" s="81"/>
      <c r="V66" s="854" t="s">
        <v>12</v>
      </c>
      <c r="W66" s="854"/>
      <c r="X66" s="854"/>
      <c r="Y66" s="854"/>
      <c r="Z66" s="854"/>
      <c r="AA66" s="854"/>
      <c r="AB66" s="854" t="s">
        <v>0</v>
      </c>
      <c r="AC66" s="854"/>
      <c r="AD66" s="854"/>
      <c r="AE66" s="855"/>
      <c r="AF66" s="855"/>
      <c r="AG66" s="855"/>
      <c r="AH66" s="855" t="s">
        <v>2</v>
      </c>
      <c r="AI66" s="81"/>
      <c r="AJ66" s="81"/>
      <c r="AK66" s="81"/>
      <c r="AL66" s="81"/>
      <c r="AM66" s="81"/>
      <c r="AN66" s="855"/>
      <c r="AO66" s="855"/>
      <c r="AP66" s="855"/>
      <c r="AQ66" s="855"/>
      <c r="AR66" s="855"/>
      <c r="AS66" s="855"/>
      <c r="AT66" s="855"/>
      <c r="AU66" s="856"/>
      <c r="AV66" s="856"/>
      <c r="AW66" s="856"/>
      <c r="AY66" s="854"/>
      <c r="AZ66" s="856"/>
      <c r="BA66" s="855"/>
      <c r="BB66" s="855"/>
      <c r="BC66" s="855"/>
      <c r="BD66" s="855"/>
      <c r="BE66" s="855"/>
      <c r="BF66" s="855"/>
      <c r="BG66" s="855"/>
      <c r="BH66" s="855"/>
      <c r="BI66" s="856"/>
      <c r="BJ66" s="856"/>
      <c r="BK66" s="856"/>
      <c r="BL66" s="856"/>
      <c r="BM66" s="856"/>
      <c r="BN66" s="856"/>
      <c r="BO66" s="856"/>
      <c r="BP66" s="856"/>
      <c r="BQ66" s="856"/>
      <c r="BR66" s="855"/>
    </row>
    <row r="67" spans="1:70" s="845" customFormat="1">
      <c r="D67" s="850"/>
      <c r="E67" s="850" t="s">
        <v>2774</v>
      </c>
      <c r="F67" s="855"/>
      <c r="G67" s="850" t="s">
        <v>149</v>
      </c>
      <c r="H67" s="855"/>
      <c r="I67" s="855"/>
      <c r="J67" s="855"/>
      <c r="K67" s="855"/>
      <c r="L67" s="855"/>
      <c r="M67" s="855"/>
      <c r="N67" s="855"/>
      <c r="O67" s="855"/>
      <c r="P67" s="848"/>
      <c r="Q67" s="850" t="s">
        <v>1096</v>
      </c>
      <c r="R67" s="848"/>
      <c r="S67" s="81"/>
      <c r="T67" s="81"/>
      <c r="U67" s="81"/>
      <c r="V67" s="857" t="s">
        <v>12</v>
      </c>
      <c r="W67" s="857"/>
      <c r="X67" s="857"/>
      <c r="Y67" s="857"/>
      <c r="Z67" s="857"/>
      <c r="AA67" s="854"/>
      <c r="AB67" s="856" t="s">
        <v>0</v>
      </c>
      <c r="AC67" s="856"/>
      <c r="AD67" s="856"/>
      <c r="AE67" s="855"/>
      <c r="AF67" s="855"/>
      <c r="AG67" s="855"/>
      <c r="AH67" s="855" t="s">
        <v>2</v>
      </c>
      <c r="AI67" s="81"/>
      <c r="AJ67" s="81"/>
      <c r="AK67" s="81"/>
      <c r="AL67" s="81"/>
      <c r="AM67" s="81"/>
      <c r="AN67" s="855"/>
      <c r="AO67" s="855"/>
      <c r="AP67" s="855"/>
      <c r="AQ67" s="855"/>
      <c r="AR67" s="855"/>
      <c r="AS67" s="855"/>
      <c r="AT67" s="855"/>
      <c r="AU67" s="856"/>
      <c r="AV67" s="856"/>
      <c r="AW67" s="856"/>
      <c r="AY67" s="854"/>
      <c r="AZ67" s="856"/>
      <c r="BA67" s="855"/>
      <c r="BB67" s="855"/>
      <c r="BC67" s="855"/>
      <c r="BD67" s="855"/>
      <c r="BE67" s="855"/>
      <c r="BF67" s="855"/>
      <c r="BG67" s="855"/>
      <c r="BH67" s="855"/>
      <c r="BI67" s="856"/>
      <c r="BJ67" s="856"/>
      <c r="BK67" s="856"/>
      <c r="BL67" s="856"/>
      <c r="BM67" s="856"/>
      <c r="BN67" s="856"/>
      <c r="BO67" s="856"/>
      <c r="BP67" s="856"/>
      <c r="BQ67" s="856"/>
      <c r="BR67" s="855"/>
    </row>
    <row r="68" spans="1:70" s="845" customFormat="1">
      <c r="D68" s="850"/>
      <c r="E68" s="850" t="s">
        <v>2774</v>
      </c>
      <c r="F68" s="855"/>
      <c r="G68" s="850" t="s">
        <v>149</v>
      </c>
      <c r="H68" s="855"/>
      <c r="I68" s="855"/>
      <c r="J68" s="855"/>
      <c r="K68" s="855"/>
      <c r="L68" s="855"/>
      <c r="M68" s="855"/>
      <c r="N68" s="855"/>
      <c r="O68" s="855"/>
      <c r="P68" s="848"/>
      <c r="Q68" s="850" t="s">
        <v>1096</v>
      </c>
      <c r="R68" s="848"/>
      <c r="S68" s="81"/>
      <c r="T68" s="81"/>
      <c r="U68" s="81"/>
      <c r="V68" s="857" t="s">
        <v>12</v>
      </c>
      <c r="W68" s="857"/>
      <c r="X68" s="857"/>
      <c r="Y68" s="857"/>
      <c r="Z68" s="857"/>
      <c r="AA68" s="854"/>
      <c r="AB68" s="856" t="s">
        <v>0</v>
      </c>
      <c r="AC68" s="856"/>
      <c r="AD68" s="856"/>
      <c r="AE68" s="855"/>
      <c r="AF68" s="855"/>
      <c r="AG68" s="855"/>
      <c r="AH68" s="855" t="s">
        <v>2</v>
      </c>
      <c r="AI68" s="81"/>
      <c r="AJ68" s="81"/>
      <c r="AK68" s="81"/>
      <c r="AL68" s="81"/>
      <c r="AM68" s="81"/>
      <c r="AN68" s="855"/>
      <c r="AO68" s="855"/>
      <c r="AP68" s="855"/>
      <c r="AQ68" s="855"/>
      <c r="AR68" s="855"/>
      <c r="AS68" s="855"/>
      <c r="AT68" s="855"/>
      <c r="AU68" s="856"/>
      <c r="AV68" s="856"/>
      <c r="AW68" s="856"/>
      <c r="AY68" s="854"/>
      <c r="AZ68" s="856"/>
      <c r="BA68" s="855"/>
      <c r="BB68" s="855"/>
      <c r="BC68" s="855"/>
      <c r="BD68" s="855"/>
      <c r="BE68" s="855"/>
      <c r="BF68" s="855"/>
      <c r="BG68" s="855"/>
      <c r="BH68" s="855"/>
      <c r="BI68" s="856"/>
      <c r="BJ68" s="856"/>
      <c r="BK68" s="856"/>
      <c r="BL68" s="856"/>
      <c r="BM68" s="856"/>
      <c r="BN68" s="856"/>
      <c r="BO68" s="856"/>
      <c r="BP68" s="856"/>
      <c r="BQ68" s="856"/>
      <c r="BR68" s="855"/>
    </row>
    <row r="69" spans="1:70" s="845" customFormat="1">
      <c r="D69" s="850"/>
      <c r="E69" s="850" t="s">
        <v>2774</v>
      </c>
      <c r="F69" s="855"/>
      <c r="G69" s="850" t="s">
        <v>149</v>
      </c>
      <c r="H69" s="855"/>
      <c r="I69" s="855"/>
      <c r="J69" s="855"/>
      <c r="K69" s="855"/>
      <c r="L69" s="855"/>
      <c r="M69" s="855"/>
      <c r="N69" s="855"/>
      <c r="O69" s="855"/>
      <c r="P69" s="848"/>
      <c r="Q69" s="850" t="s">
        <v>1096</v>
      </c>
      <c r="R69" s="848"/>
      <c r="S69" s="81"/>
      <c r="T69" s="81"/>
      <c r="U69" s="81"/>
      <c r="V69" s="857" t="s">
        <v>12</v>
      </c>
      <c r="W69" s="857"/>
      <c r="X69" s="857"/>
      <c r="Y69" s="857"/>
      <c r="Z69" s="857"/>
      <c r="AA69" s="854"/>
      <c r="AB69" s="856"/>
      <c r="AC69" s="856"/>
      <c r="AD69" s="856"/>
      <c r="AE69" s="855"/>
      <c r="AF69" s="855"/>
      <c r="AG69" s="855"/>
      <c r="AH69" s="855" t="s">
        <v>2</v>
      </c>
      <c r="AI69" s="81"/>
      <c r="AJ69" s="81"/>
      <c r="AK69" s="81"/>
      <c r="AL69" s="81"/>
      <c r="AM69" s="81"/>
      <c r="AN69" s="855"/>
      <c r="AO69" s="855"/>
      <c r="AP69" s="855"/>
      <c r="AQ69" s="855"/>
      <c r="AR69" s="855"/>
      <c r="AS69" s="855"/>
      <c r="AT69" s="855"/>
      <c r="AU69" s="856"/>
      <c r="AV69" s="856"/>
      <c r="AW69" s="856"/>
      <c r="AY69" s="854"/>
      <c r="AZ69" s="856"/>
      <c r="BA69" s="855"/>
      <c r="BB69" s="855"/>
      <c r="BC69" s="855"/>
      <c r="BD69" s="855"/>
      <c r="BE69" s="855"/>
      <c r="BF69" s="855"/>
      <c r="BG69" s="855"/>
      <c r="BH69" s="855"/>
      <c r="BI69" s="856"/>
      <c r="BJ69" s="856"/>
      <c r="BK69" s="856"/>
      <c r="BL69" s="856"/>
      <c r="BM69" s="856"/>
      <c r="BN69" s="856"/>
      <c r="BO69" s="856"/>
      <c r="BP69" s="856"/>
      <c r="BQ69" s="856"/>
      <c r="BR69" s="855"/>
    </row>
    <row r="70" spans="1:70" s="845" customFormat="1">
      <c r="D70" s="850"/>
      <c r="E70" s="850" t="s">
        <v>2774</v>
      </c>
      <c r="F70" s="855"/>
      <c r="G70" s="850" t="s">
        <v>149</v>
      </c>
      <c r="H70" s="855"/>
      <c r="I70" s="855"/>
      <c r="J70" s="855"/>
      <c r="K70" s="855"/>
      <c r="L70" s="855"/>
      <c r="M70" s="855"/>
      <c r="N70" s="855"/>
      <c r="O70" s="855"/>
      <c r="P70" s="848"/>
      <c r="Q70" s="850" t="s">
        <v>1096</v>
      </c>
      <c r="R70" s="848"/>
      <c r="S70" s="81"/>
      <c r="T70" s="81"/>
      <c r="U70" s="81"/>
      <c r="V70" s="857" t="s">
        <v>12</v>
      </c>
      <c r="W70" s="857"/>
      <c r="X70" s="857"/>
      <c r="Y70" s="857"/>
      <c r="Z70" s="857"/>
      <c r="AA70" s="854"/>
      <c r="AB70" s="856"/>
      <c r="AC70" s="856"/>
      <c r="AD70" s="856"/>
      <c r="AE70" s="855"/>
      <c r="AF70" s="855"/>
      <c r="AG70" s="855"/>
      <c r="AH70" s="855" t="s">
        <v>2</v>
      </c>
      <c r="AI70" s="81"/>
      <c r="AJ70" s="81"/>
      <c r="AK70" s="81"/>
      <c r="AL70" s="81"/>
      <c r="AM70" s="81"/>
      <c r="AN70" s="855"/>
      <c r="AO70" s="855"/>
      <c r="AP70" s="855"/>
      <c r="AQ70" s="855"/>
      <c r="AR70" s="855"/>
      <c r="AS70" s="855"/>
      <c r="AT70" s="855"/>
      <c r="AU70" s="856"/>
      <c r="AV70" s="856"/>
      <c r="AW70" s="856"/>
      <c r="AY70" s="854"/>
      <c r="AZ70" s="856"/>
      <c r="BA70" s="855"/>
      <c r="BB70" s="855"/>
      <c r="BC70" s="855"/>
      <c r="BD70" s="855"/>
      <c r="BE70" s="855"/>
      <c r="BF70" s="855"/>
      <c r="BG70" s="855"/>
      <c r="BH70" s="855"/>
      <c r="BI70" s="856"/>
      <c r="BJ70" s="856"/>
      <c r="BK70" s="856"/>
      <c r="BL70" s="856"/>
      <c r="BM70" s="856"/>
      <c r="BN70" s="856"/>
      <c r="BO70" s="856"/>
      <c r="BP70" s="856"/>
      <c r="BQ70" s="856"/>
      <c r="BR70" s="855"/>
    </row>
    <row r="71" spans="1:70" s="845" customFormat="1">
      <c r="D71" s="850"/>
      <c r="E71" s="850" t="s">
        <v>2774</v>
      </c>
      <c r="F71" s="855"/>
      <c r="G71" s="850" t="s">
        <v>149</v>
      </c>
      <c r="H71" s="855"/>
      <c r="I71" s="855"/>
      <c r="J71" s="855"/>
      <c r="K71" s="855"/>
      <c r="L71" s="855"/>
      <c r="M71" s="855"/>
      <c r="N71" s="855"/>
      <c r="O71" s="855"/>
      <c r="P71" s="848"/>
      <c r="Q71" s="850" t="s">
        <v>1096</v>
      </c>
      <c r="R71" s="848"/>
      <c r="S71" s="81"/>
      <c r="T71" s="81"/>
      <c r="U71" s="81"/>
      <c r="V71" s="857" t="s">
        <v>12</v>
      </c>
      <c r="W71" s="857"/>
      <c r="X71" s="857"/>
      <c r="Y71" s="857"/>
      <c r="Z71" s="857"/>
      <c r="AA71" s="854"/>
      <c r="AB71" s="856"/>
      <c r="AC71" s="856"/>
      <c r="AD71" s="856"/>
      <c r="AE71" s="855"/>
      <c r="AF71" s="855"/>
      <c r="AG71" s="855"/>
      <c r="AH71" s="855" t="s">
        <v>2</v>
      </c>
      <c r="AI71" s="81"/>
      <c r="AJ71" s="81"/>
      <c r="AK71" s="81"/>
      <c r="AL71" s="81"/>
      <c r="AM71" s="81"/>
      <c r="AN71" s="855"/>
      <c r="AO71" s="855"/>
      <c r="AP71" s="855"/>
      <c r="AQ71" s="855"/>
      <c r="AR71" s="855"/>
      <c r="AS71" s="855"/>
      <c r="AT71" s="855"/>
      <c r="AU71" s="856"/>
      <c r="AV71" s="856"/>
      <c r="AW71" s="856"/>
      <c r="AY71" s="854"/>
      <c r="AZ71" s="856"/>
      <c r="BA71" s="855"/>
      <c r="BB71" s="855"/>
      <c r="BC71" s="855"/>
      <c r="BD71" s="855"/>
      <c r="BE71" s="855"/>
      <c r="BF71" s="855"/>
      <c r="BG71" s="855"/>
      <c r="BH71" s="855"/>
      <c r="BI71" s="856"/>
      <c r="BJ71" s="856"/>
      <c r="BK71" s="856"/>
      <c r="BL71" s="856"/>
      <c r="BM71" s="856"/>
      <c r="BN71" s="856"/>
      <c r="BO71" s="856"/>
      <c r="BP71" s="856"/>
      <c r="BQ71" s="856"/>
      <c r="BR71" s="855"/>
    </row>
    <row r="73" spans="1:70" s="1" customFormat="1" ht="13.9">
      <c r="B73" s="866" t="s">
        <v>2790</v>
      </c>
    </row>
    <row r="75" spans="1:70" ht="15">
      <c r="A75" s="848"/>
      <c r="B75" s="849"/>
      <c r="C75" s="849"/>
      <c r="D75" s="850"/>
      <c r="E75" s="850" t="s">
        <v>2774</v>
      </c>
      <c r="F75" s="850"/>
      <c r="G75" s="850" t="s">
        <v>149</v>
      </c>
      <c r="H75" s="850"/>
      <c r="I75" s="850"/>
      <c r="J75" s="850"/>
      <c r="K75" s="850"/>
      <c r="L75" s="850"/>
      <c r="M75" s="850"/>
      <c r="N75" s="850"/>
      <c r="O75" s="850"/>
      <c r="P75" s="848"/>
      <c r="Q75" s="850" t="s">
        <v>1096</v>
      </c>
      <c r="R75" s="848"/>
      <c r="S75" s="81"/>
      <c r="T75" s="81"/>
      <c r="U75" s="81"/>
      <c r="V75" s="836" t="s">
        <v>12</v>
      </c>
      <c r="W75" s="836"/>
      <c r="X75" s="836"/>
      <c r="Y75" s="836"/>
      <c r="Z75" s="836"/>
      <c r="AA75" s="852"/>
      <c r="AB75" s="848" t="s">
        <v>0</v>
      </c>
      <c r="AC75" s="848"/>
      <c r="AD75" s="848"/>
      <c r="AE75" s="848"/>
      <c r="AF75" s="848"/>
      <c r="AG75" s="848"/>
      <c r="AH75" s="848" t="s">
        <v>2</v>
      </c>
      <c r="AI75" s="81"/>
      <c r="AJ75" s="81"/>
      <c r="AK75" s="81"/>
      <c r="AL75" s="81"/>
      <c r="AM75" s="81"/>
      <c r="AN75" s="848"/>
      <c r="AO75" s="848"/>
      <c r="AP75" s="848"/>
      <c r="AQ75" s="848"/>
      <c r="AR75" s="848"/>
      <c r="AS75" s="853"/>
      <c r="AT75" s="853"/>
      <c r="AU75" s="853"/>
      <c r="AV75" s="853"/>
      <c r="AW75" s="853"/>
      <c r="AX75" s="853"/>
      <c r="AY75" s="848"/>
      <c r="AZ75" s="848"/>
      <c r="BA75" s="848"/>
      <c r="BB75" s="848"/>
      <c r="BC75" s="848"/>
      <c r="BD75" s="848"/>
      <c r="BE75" s="848"/>
      <c r="BF75" s="848"/>
      <c r="BG75" s="853"/>
      <c r="BH75" s="853"/>
      <c r="BI75" s="853"/>
      <c r="BJ75" s="853"/>
      <c r="BK75" s="853"/>
    </row>
    <row r="76" spans="1:70" ht="15">
      <c r="A76" s="848"/>
      <c r="B76" s="849"/>
      <c r="C76" s="849"/>
      <c r="D76" s="850"/>
      <c r="E76" s="850" t="s">
        <v>2774</v>
      </c>
      <c r="F76" s="850"/>
      <c r="G76" s="850" t="s">
        <v>149</v>
      </c>
      <c r="H76" s="850"/>
      <c r="I76" s="850"/>
      <c r="J76" s="850"/>
      <c r="K76" s="850"/>
      <c r="L76" s="850"/>
      <c r="M76" s="850"/>
      <c r="N76" s="850"/>
      <c r="O76" s="850"/>
      <c r="P76" s="848"/>
      <c r="Q76" s="850" t="s">
        <v>1096</v>
      </c>
      <c r="R76" s="848"/>
      <c r="S76" s="81"/>
      <c r="T76" s="81"/>
      <c r="U76" s="81"/>
      <c r="V76" s="836" t="s">
        <v>12</v>
      </c>
      <c r="W76" s="836"/>
      <c r="X76" s="836"/>
      <c r="Y76" s="836"/>
      <c r="Z76" s="836"/>
      <c r="AA76" s="852"/>
      <c r="AB76" s="848" t="s">
        <v>0</v>
      </c>
      <c r="AC76" s="848"/>
      <c r="AD76" s="848"/>
      <c r="AE76" s="848"/>
      <c r="AF76" s="848"/>
      <c r="AG76" s="848"/>
      <c r="AH76" s="848" t="s">
        <v>2</v>
      </c>
      <c r="AI76" s="81"/>
      <c r="AJ76" s="81"/>
      <c r="AK76" s="81"/>
      <c r="AL76" s="81"/>
      <c r="AM76" s="81"/>
      <c r="AN76" s="848"/>
      <c r="AO76" s="848"/>
      <c r="AP76" s="848"/>
      <c r="AQ76" s="848"/>
      <c r="AR76" s="848"/>
      <c r="AS76" s="853"/>
      <c r="AT76" s="853"/>
      <c r="AU76" s="853"/>
      <c r="AV76" s="853"/>
      <c r="AW76" s="853"/>
      <c r="AX76" s="853"/>
      <c r="AY76" s="848"/>
      <c r="AZ76" s="848"/>
      <c r="BA76" s="848"/>
      <c r="BB76" s="848"/>
      <c r="BC76" s="848"/>
      <c r="BD76" s="848"/>
      <c r="BE76" s="848"/>
      <c r="BF76" s="848"/>
      <c r="BG76" s="853"/>
      <c r="BH76" s="853"/>
      <c r="BI76" s="853"/>
      <c r="BJ76" s="853"/>
      <c r="BK76" s="853"/>
    </row>
    <row r="77" spans="1:70" ht="15">
      <c r="A77" s="848"/>
      <c r="B77" s="849"/>
      <c r="C77" s="849"/>
      <c r="D77" s="850"/>
      <c r="E77" s="850" t="s">
        <v>2774</v>
      </c>
      <c r="F77" s="850"/>
      <c r="G77" s="850" t="s">
        <v>149</v>
      </c>
      <c r="H77" s="850"/>
      <c r="I77" s="850"/>
      <c r="J77" s="850"/>
      <c r="K77" s="850"/>
      <c r="L77" s="850"/>
      <c r="M77" s="850"/>
      <c r="N77" s="850"/>
      <c r="O77" s="850"/>
      <c r="P77" s="848"/>
      <c r="Q77" s="850" t="s">
        <v>1096</v>
      </c>
      <c r="R77" s="848"/>
      <c r="S77" s="81"/>
      <c r="T77" s="81"/>
      <c r="U77" s="81"/>
      <c r="V77" s="836" t="s">
        <v>12</v>
      </c>
      <c r="W77" s="836"/>
      <c r="X77" s="836"/>
      <c r="Y77" s="836"/>
      <c r="Z77" s="836"/>
      <c r="AA77" s="852"/>
      <c r="AB77" s="848" t="s">
        <v>0</v>
      </c>
      <c r="AC77" s="848"/>
      <c r="AD77" s="848"/>
      <c r="AE77" s="848"/>
      <c r="AF77" s="848"/>
      <c r="AG77" s="848"/>
      <c r="AH77" s="848" t="s">
        <v>2</v>
      </c>
      <c r="AI77" s="81"/>
      <c r="AJ77" s="81"/>
      <c r="AK77" s="81"/>
      <c r="AL77" s="81"/>
      <c r="AM77" s="81"/>
      <c r="AN77" s="848"/>
      <c r="AO77" s="848"/>
      <c r="AP77" s="848"/>
      <c r="AQ77" s="848"/>
      <c r="AR77" s="848"/>
      <c r="AS77" s="853"/>
      <c r="AT77" s="853"/>
      <c r="AU77" s="853"/>
      <c r="AV77" s="853"/>
      <c r="AW77" s="853"/>
      <c r="AX77" s="853"/>
      <c r="AY77" s="848"/>
      <c r="AZ77" s="848"/>
      <c r="BA77" s="848"/>
      <c r="BB77" s="848"/>
      <c r="BC77" s="848"/>
      <c r="BD77" s="848"/>
      <c r="BE77" s="848"/>
      <c r="BF77" s="848"/>
      <c r="BG77" s="853"/>
      <c r="BH77" s="853"/>
      <c r="BI77" s="853"/>
      <c r="BJ77" s="853"/>
      <c r="BK77" s="853"/>
    </row>
    <row r="78" spans="1:70" ht="15">
      <c r="A78" s="848"/>
      <c r="B78" s="849"/>
      <c r="C78" s="849"/>
      <c r="D78" s="850"/>
      <c r="E78" s="850" t="s">
        <v>2774</v>
      </c>
      <c r="F78" s="850"/>
      <c r="G78" s="850" t="s">
        <v>149</v>
      </c>
      <c r="H78" s="850"/>
      <c r="I78" s="850"/>
      <c r="J78" s="850"/>
      <c r="K78" s="850"/>
      <c r="L78" s="850"/>
      <c r="M78" s="850"/>
      <c r="N78" s="850"/>
      <c r="O78" s="850"/>
      <c r="P78" s="848"/>
      <c r="Q78" s="850" t="s">
        <v>1096</v>
      </c>
      <c r="R78" s="848"/>
      <c r="S78" s="81"/>
      <c r="T78" s="81"/>
      <c r="U78" s="81"/>
      <c r="V78" s="836" t="s">
        <v>12</v>
      </c>
      <c r="W78" s="836"/>
      <c r="X78" s="836"/>
      <c r="Y78" s="836"/>
      <c r="Z78" s="836"/>
      <c r="AA78" s="852"/>
      <c r="AB78" s="848" t="s">
        <v>0</v>
      </c>
      <c r="AC78" s="848"/>
      <c r="AD78" s="848"/>
      <c r="AE78" s="848"/>
      <c r="AF78" s="848"/>
      <c r="AG78" s="848"/>
      <c r="AH78" s="848" t="s">
        <v>2</v>
      </c>
      <c r="AI78" s="81"/>
      <c r="AJ78" s="81"/>
      <c r="AK78" s="81"/>
      <c r="AL78" s="81"/>
      <c r="AM78" s="81"/>
      <c r="AN78" s="848"/>
      <c r="AO78" s="848"/>
      <c r="AP78" s="848"/>
      <c r="AQ78" s="848"/>
      <c r="AR78" s="848"/>
      <c r="AS78" s="853"/>
      <c r="AT78" s="853"/>
      <c r="AU78" s="853"/>
      <c r="AV78" s="853"/>
      <c r="AW78" s="853"/>
      <c r="AX78" s="853"/>
      <c r="AY78" s="848"/>
      <c r="AZ78" s="848"/>
      <c r="BA78" s="848"/>
      <c r="BB78" s="848"/>
      <c r="BC78" s="848"/>
      <c r="BD78" s="848"/>
      <c r="BE78" s="848"/>
      <c r="BF78" s="848"/>
      <c r="BG78" s="853"/>
      <c r="BH78" s="853"/>
      <c r="BI78" s="853"/>
      <c r="BJ78" s="853"/>
      <c r="BK78" s="853"/>
    </row>
    <row r="79" spans="1:70" s="845" customFormat="1">
      <c r="B79" s="854"/>
      <c r="C79" s="854"/>
      <c r="D79" s="850"/>
      <c r="E79" s="850" t="s">
        <v>2774</v>
      </c>
      <c r="F79" s="855"/>
      <c r="G79" s="850" t="s">
        <v>149</v>
      </c>
      <c r="H79" s="855"/>
      <c r="I79" s="855"/>
      <c r="J79" s="855"/>
      <c r="K79" s="855"/>
      <c r="L79" s="855"/>
      <c r="M79" s="855"/>
      <c r="N79" s="855"/>
      <c r="O79" s="855"/>
      <c r="P79" s="848"/>
      <c r="Q79" s="850" t="s">
        <v>1096</v>
      </c>
      <c r="R79" s="848"/>
      <c r="S79" s="81"/>
      <c r="T79" s="81"/>
      <c r="U79" s="81"/>
      <c r="V79" s="854" t="s">
        <v>12</v>
      </c>
      <c r="W79" s="854"/>
      <c r="X79" s="854"/>
      <c r="Y79" s="854"/>
      <c r="Z79" s="854"/>
      <c r="AA79" s="854"/>
      <c r="AB79" s="854" t="s">
        <v>0</v>
      </c>
      <c r="AC79" s="854"/>
      <c r="AD79" s="854"/>
      <c r="AE79" s="855"/>
      <c r="AF79" s="855"/>
      <c r="AG79" s="855"/>
      <c r="AH79" s="855" t="s">
        <v>2</v>
      </c>
      <c r="AI79" s="81"/>
      <c r="AJ79" s="81"/>
      <c r="AK79" s="81"/>
      <c r="AL79" s="81"/>
      <c r="AM79" s="81"/>
      <c r="AN79" s="855"/>
      <c r="AO79" s="855"/>
      <c r="AP79" s="855"/>
      <c r="AQ79" s="855"/>
      <c r="AR79" s="855"/>
      <c r="AS79" s="855"/>
      <c r="AT79" s="855"/>
      <c r="AU79" s="856"/>
      <c r="AV79" s="856"/>
      <c r="AW79" s="856"/>
      <c r="AY79" s="854"/>
      <c r="AZ79" s="856"/>
      <c r="BA79" s="855"/>
      <c r="BB79" s="855"/>
      <c r="BC79" s="855"/>
      <c r="BD79" s="855"/>
      <c r="BE79" s="855"/>
      <c r="BF79" s="855"/>
      <c r="BG79" s="855"/>
      <c r="BH79" s="855"/>
      <c r="BI79" s="856"/>
      <c r="BJ79" s="856"/>
      <c r="BK79" s="856"/>
      <c r="BL79" s="856"/>
      <c r="BM79" s="856"/>
      <c r="BN79" s="856"/>
      <c r="BO79" s="856"/>
      <c r="BP79" s="856"/>
      <c r="BQ79" s="856"/>
      <c r="BR79" s="855"/>
    </row>
    <row r="80" spans="1:70" s="845" customFormat="1">
      <c r="D80" s="850"/>
      <c r="E80" s="850" t="s">
        <v>2774</v>
      </c>
      <c r="F80" s="855"/>
      <c r="G80" s="850" t="s">
        <v>149</v>
      </c>
      <c r="H80" s="855"/>
      <c r="I80" s="855"/>
      <c r="J80" s="855"/>
      <c r="K80" s="855"/>
      <c r="L80" s="855"/>
      <c r="M80" s="855"/>
      <c r="N80" s="855"/>
      <c r="O80" s="855"/>
      <c r="P80" s="848"/>
      <c r="Q80" s="850" t="s">
        <v>1096</v>
      </c>
      <c r="R80" s="848"/>
      <c r="S80" s="81"/>
      <c r="T80" s="81"/>
      <c r="U80" s="81"/>
      <c r="V80" s="857" t="s">
        <v>12</v>
      </c>
      <c r="W80" s="857"/>
      <c r="X80" s="857"/>
      <c r="Y80" s="857"/>
      <c r="Z80" s="857"/>
      <c r="AA80" s="854"/>
      <c r="AB80" s="856" t="s">
        <v>0</v>
      </c>
      <c r="AC80" s="856"/>
      <c r="AD80" s="856"/>
      <c r="AE80" s="855"/>
      <c r="AF80" s="855"/>
      <c r="AG80" s="855"/>
      <c r="AH80" s="855" t="s">
        <v>2</v>
      </c>
      <c r="AI80" s="81"/>
      <c r="AJ80" s="81"/>
      <c r="AK80" s="81"/>
      <c r="AL80" s="81"/>
      <c r="AM80" s="81"/>
      <c r="AN80" s="855"/>
      <c r="AO80" s="855"/>
      <c r="AP80" s="855"/>
      <c r="AQ80" s="855"/>
      <c r="AR80" s="855"/>
      <c r="AS80" s="855"/>
      <c r="AT80" s="855"/>
      <c r="AU80" s="856"/>
      <c r="AV80" s="856"/>
      <c r="AW80" s="856"/>
      <c r="AY80" s="854"/>
      <c r="AZ80" s="856"/>
      <c r="BA80" s="855"/>
      <c r="BB80" s="855"/>
      <c r="BC80" s="855"/>
      <c r="BD80" s="855"/>
      <c r="BE80" s="855"/>
      <c r="BF80" s="855"/>
      <c r="BG80" s="855"/>
      <c r="BH80" s="855"/>
      <c r="BI80" s="856"/>
      <c r="BJ80" s="856"/>
      <c r="BK80" s="856"/>
      <c r="BL80" s="856"/>
      <c r="BM80" s="856"/>
      <c r="BN80" s="856"/>
      <c r="BO80" s="856"/>
      <c r="BP80" s="856"/>
      <c r="BQ80" s="856"/>
      <c r="BR80" s="855"/>
    </row>
    <row r="81" spans="1:70" s="845" customFormat="1">
      <c r="D81" s="850"/>
      <c r="E81" s="850" t="s">
        <v>2774</v>
      </c>
      <c r="F81" s="855"/>
      <c r="G81" s="850" t="s">
        <v>149</v>
      </c>
      <c r="H81" s="855"/>
      <c r="I81" s="855"/>
      <c r="J81" s="855"/>
      <c r="K81" s="855"/>
      <c r="L81" s="855"/>
      <c r="M81" s="855"/>
      <c r="N81" s="855"/>
      <c r="O81" s="855"/>
      <c r="P81" s="848"/>
      <c r="Q81" s="850" t="s">
        <v>1096</v>
      </c>
      <c r="R81" s="848"/>
      <c r="S81" s="81"/>
      <c r="T81" s="81"/>
      <c r="U81" s="81"/>
      <c r="V81" s="857" t="s">
        <v>12</v>
      </c>
      <c r="W81" s="857"/>
      <c r="X81" s="857"/>
      <c r="Y81" s="857"/>
      <c r="Z81" s="857"/>
      <c r="AA81" s="854"/>
      <c r="AB81" s="856" t="s">
        <v>0</v>
      </c>
      <c r="AC81" s="856"/>
      <c r="AD81" s="856"/>
      <c r="AE81" s="855"/>
      <c r="AF81" s="855"/>
      <c r="AG81" s="855"/>
      <c r="AH81" s="855" t="s">
        <v>2</v>
      </c>
      <c r="AI81" s="81"/>
      <c r="AJ81" s="81"/>
      <c r="AK81" s="81"/>
      <c r="AL81" s="81"/>
      <c r="AM81" s="81"/>
      <c r="AN81" s="855"/>
      <c r="AO81" s="855"/>
      <c r="AP81" s="855"/>
      <c r="AQ81" s="855"/>
      <c r="AR81" s="855"/>
      <c r="AS81" s="855"/>
      <c r="AT81" s="855"/>
      <c r="AU81" s="856"/>
      <c r="AV81" s="856"/>
      <c r="AW81" s="856"/>
      <c r="AY81" s="854"/>
      <c r="AZ81" s="856"/>
      <c r="BA81" s="855"/>
      <c r="BB81" s="855"/>
      <c r="BC81" s="855"/>
      <c r="BD81" s="855"/>
      <c r="BE81" s="855"/>
      <c r="BF81" s="855"/>
      <c r="BG81" s="855"/>
      <c r="BH81" s="855"/>
      <c r="BI81" s="856"/>
      <c r="BJ81" s="856"/>
      <c r="BK81" s="856"/>
      <c r="BL81" s="856"/>
      <c r="BM81" s="856"/>
      <c r="BN81" s="856"/>
      <c r="BO81" s="856"/>
      <c r="BP81" s="856"/>
      <c r="BQ81" s="856"/>
      <c r="BR81" s="855"/>
    </row>
    <row r="82" spans="1:70" s="845" customFormat="1">
      <c r="D82" s="850"/>
      <c r="E82" s="850" t="s">
        <v>2774</v>
      </c>
      <c r="F82" s="855"/>
      <c r="G82" s="850" t="s">
        <v>149</v>
      </c>
      <c r="H82" s="855"/>
      <c r="I82" s="855"/>
      <c r="J82" s="855"/>
      <c r="K82" s="855"/>
      <c r="L82" s="855"/>
      <c r="M82" s="855"/>
      <c r="N82" s="855"/>
      <c r="O82" s="855"/>
      <c r="P82" s="848"/>
      <c r="Q82" s="850" t="s">
        <v>1096</v>
      </c>
      <c r="R82" s="848"/>
      <c r="S82" s="81"/>
      <c r="T82" s="81"/>
      <c r="U82" s="81"/>
      <c r="V82" s="857" t="s">
        <v>12</v>
      </c>
      <c r="W82" s="857"/>
      <c r="X82" s="857"/>
      <c r="Y82" s="857"/>
      <c r="Z82" s="857"/>
      <c r="AA82" s="854"/>
      <c r="AB82" s="856"/>
      <c r="AC82" s="856"/>
      <c r="AD82" s="856"/>
      <c r="AE82" s="855"/>
      <c r="AF82" s="855"/>
      <c r="AG82" s="855"/>
      <c r="AH82" s="855" t="s">
        <v>2</v>
      </c>
      <c r="AI82" s="81"/>
      <c r="AJ82" s="81"/>
      <c r="AK82" s="81"/>
      <c r="AL82" s="81"/>
      <c r="AM82" s="81"/>
      <c r="AN82" s="855"/>
      <c r="AO82" s="855"/>
      <c r="AP82" s="855"/>
      <c r="AQ82" s="855"/>
      <c r="AR82" s="855"/>
      <c r="AS82" s="855"/>
      <c r="AT82" s="855"/>
      <c r="AU82" s="856"/>
      <c r="AV82" s="856"/>
      <c r="AW82" s="856"/>
      <c r="AY82" s="854"/>
      <c r="AZ82" s="856"/>
      <c r="BA82" s="855"/>
      <c r="BB82" s="855"/>
      <c r="BC82" s="855"/>
      <c r="BD82" s="855"/>
      <c r="BE82" s="855"/>
      <c r="BF82" s="855"/>
      <c r="BG82" s="855"/>
      <c r="BH82" s="855"/>
      <c r="BI82" s="856"/>
      <c r="BJ82" s="856"/>
      <c r="BK82" s="856"/>
      <c r="BL82" s="856"/>
      <c r="BM82" s="856"/>
      <c r="BN82" s="856"/>
      <c r="BO82" s="856"/>
      <c r="BP82" s="856"/>
      <c r="BQ82" s="856"/>
      <c r="BR82" s="855"/>
    </row>
    <row r="83" spans="1:70" s="845" customFormat="1">
      <c r="D83" s="850"/>
      <c r="E83" s="850" t="s">
        <v>2774</v>
      </c>
      <c r="F83" s="855"/>
      <c r="G83" s="850" t="s">
        <v>149</v>
      </c>
      <c r="H83" s="855"/>
      <c r="I83" s="855"/>
      <c r="J83" s="855"/>
      <c r="K83" s="855"/>
      <c r="L83" s="855"/>
      <c r="M83" s="855"/>
      <c r="N83" s="855"/>
      <c r="O83" s="855"/>
      <c r="P83" s="848"/>
      <c r="Q83" s="850" t="s">
        <v>1096</v>
      </c>
      <c r="R83" s="848"/>
      <c r="S83" s="81"/>
      <c r="T83" s="81"/>
      <c r="U83" s="81"/>
      <c r="V83" s="857" t="s">
        <v>12</v>
      </c>
      <c r="W83" s="857"/>
      <c r="X83" s="857"/>
      <c r="Y83" s="857"/>
      <c r="Z83" s="857"/>
      <c r="AA83" s="854"/>
      <c r="AB83" s="856"/>
      <c r="AC83" s="856"/>
      <c r="AD83" s="856"/>
      <c r="AE83" s="855"/>
      <c r="AF83" s="855"/>
      <c r="AG83" s="855"/>
      <c r="AH83" s="855" t="s">
        <v>2</v>
      </c>
      <c r="AI83" s="81"/>
      <c r="AJ83" s="81"/>
      <c r="AK83" s="81"/>
      <c r="AL83" s="81"/>
      <c r="AM83" s="81"/>
      <c r="AN83" s="855"/>
      <c r="AO83" s="855"/>
      <c r="AP83" s="855"/>
      <c r="AQ83" s="855"/>
      <c r="AR83" s="855"/>
      <c r="AS83" s="855"/>
      <c r="AT83" s="855"/>
      <c r="AU83" s="856"/>
      <c r="AV83" s="856"/>
      <c r="AW83" s="856"/>
      <c r="AY83" s="854"/>
      <c r="AZ83" s="856"/>
      <c r="BA83" s="855"/>
      <c r="BB83" s="855"/>
      <c r="BC83" s="855"/>
      <c r="BD83" s="855"/>
      <c r="BE83" s="855"/>
      <c r="BF83" s="855"/>
      <c r="BG83" s="855"/>
      <c r="BH83" s="855"/>
      <c r="BI83" s="856"/>
      <c r="BJ83" s="856"/>
      <c r="BK83" s="856"/>
      <c r="BL83" s="856"/>
      <c r="BM83" s="856"/>
      <c r="BN83" s="856"/>
      <c r="BO83" s="856"/>
      <c r="BP83" s="856"/>
      <c r="BQ83" s="856"/>
      <c r="BR83" s="855"/>
    </row>
    <row r="84" spans="1:70" s="845" customFormat="1">
      <c r="D84" s="850"/>
      <c r="E84" s="850" t="s">
        <v>2774</v>
      </c>
      <c r="F84" s="855"/>
      <c r="G84" s="850" t="s">
        <v>149</v>
      </c>
      <c r="H84" s="855"/>
      <c r="I84" s="855"/>
      <c r="J84" s="855"/>
      <c r="K84" s="855"/>
      <c r="L84" s="855"/>
      <c r="M84" s="855"/>
      <c r="N84" s="855"/>
      <c r="O84" s="855"/>
      <c r="P84" s="848"/>
      <c r="Q84" s="850" t="s">
        <v>1096</v>
      </c>
      <c r="R84" s="848"/>
      <c r="S84" s="81"/>
      <c r="T84" s="81"/>
      <c r="U84" s="81"/>
      <c r="V84" s="857" t="s">
        <v>12</v>
      </c>
      <c r="W84" s="857"/>
      <c r="X84" s="857"/>
      <c r="Y84" s="857"/>
      <c r="Z84" s="857"/>
      <c r="AA84" s="854"/>
      <c r="AB84" s="856"/>
      <c r="AC84" s="856"/>
      <c r="AD84" s="856"/>
      <c r="AE84" s="855"/>
      <c r="AF84" s="855"/>
      <c r="AG84" s="855"/>
      <c r="AH84" s="855" t="s">
        <v>2</v>
      </c>
      <c r="AI84" s="81"/>
      <c r="AJ84" s="81"/>
      <c r="AK84" s="81"/>
      <c r="AL84" s="81"/>
      <c r="AM84" s="81"/>
      <c r="AN84" s="855"/>
      <c r="AO84" s="855"/>
      <c r="AP84" s="855"/>
      <c r="AQ84" s="855"/>
      <c r="AR84" s="855"/>
      <c r="AS84" s="855"/>
      <c r="AT84" s="855"/>
      <c r="AU84" s="856"/>
      <c r="AV84" s="856"/>
      <c r="AW84" s="856"/>
      <c r="AY84" s="854"/>
      <c r="AZ84" s="856"/>
      <c r="BA84" s="855"/>
      <c r="BB84" s="855"/>
      <c r="BC84" s="855"/>
      <c r="BD84" s="855"/>
      <c r="BE84" s="855"/>
      <c r="BF84" s="855"/>
      <c r="BG84" s="855"/>
      <c r="BH84" s="855"/>
      <c r="BI84" s="856"/>
      <c r="BJ84" s="856"/>
      <c r="BK84" s="856"/>
      <c r="BL84" s="856"/>
      <c r="BM84" s="856"/>
      <c r="BN84" s="856"/>
      <c r="BO84" s="856"/>
      <c r="BP84" s="856"/>
      <c r="BQ84" s="856"/>
      <c r="BR84" s="855"/>
    </row>
    <row r="86" spans="1:70" s="73" customFormat="1" ht="18">
      <c r="A86" s="74" t="s">
        <v>76</v>
      </c>
    </row>
    <row r="88" spans="1:70">
      <c r="AI88" s="86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13" activePane="bottomLeft" state="frozen"/>
      <selection activeCell="Q28" sqref="Q28"/>
      <selection pane="bottomLeft" activeCell="R33" sqref="R33"/>
    </sheetView>
  </sheetViews>
  <sheetFormatPr defaultColWidth="9.1328125" defaultRowHeight="14.25"/>
  <cols>
    <col min="1" max="1" width="1.86328125" style="435" customWidth="1"/>
    <col min="2" max="7" width="9.1328125" style="435"/>
    <col min="8" max="16" width="1.86328125" style="435" customWidth="1"/>
    <col min="17" max="17" width="9.1328125" style="435"/>
    <col min="18" max="18" width="77.3984375" style="435" customWidth="1"/>
    <col min="19" max="19" width="19.86328125" style="435" bestFit="1" customWidth="1"/>
    <col min="20" max="20" width="22.1328125" style="435" customWidth="1"/>
    <col min="21" max="21" width="24.1328125" style="435" customWidth="1"/>
    <col min="22" max="22" width="9.1328125" style="435"/>
    <col min="23" max="25" width="1.59765625" style="435" customWidth="1"/>
    <col min="26" max="26" width="9.1328125" style="435"/>
    <col min="27" max="33" width="2.1328125" style="435" customWidth="1"/>
    <col min="34" max="39" width="9.1328125" style="435"/>
    <col min="40" max="40" width="9.73046875" style="435" customWidth="1"/>
    <col min="41" max="16384" width="9.1328125" style="435"/>
  </cols>
  <sheetData>
    <row r="1" spans="1:70" s="817" customFormat="1" ht="23.25">
      <c r="A1" s="89" t="str">
        <f>'1.1 Cover'!A2</f>
        <v>Regulatory Reporting Pack</v>
      </c>
      <c r="B1" s="113"/>
    </row>
    <row r="2" spans="1:70" s="817" customFormat="1" ht="23.25">
      <c r="A2" s="89" t="str">
        <f>'1.1 Cover'!A3</f>
        <v>Price base - 2018/19</v>
      </c>
      <c r="B2" s="113"/>
    </row>
    <row r="3" spans="1:70" s="817" customFormat="1" ht="23.25">
      <c r="A3" s="89" t="str">
        <f>'1.1 Cover'!A4</f>
        <v>Regulatory Year: April 2021 - March 2022</v>
      </c>
      <c r="B3" s="113"/>
    </row>
    <row r="4" spans="1:70" s="817" customFormat="1" ht="23.25">
      <c r="A4" s="89" t="s">
        <v>2858</v>
      </c>
      <c r="B4" s="113"/>
    </row>
    <row r="5" spans="1:70" s="66" customFormat="1" ht="13.5"/>
    <row r="6" spans="1:70" s="843" customFormat="1" ht="60.75" customHeight="1">
      <c r="A6" s="836"/>
      <c r="B6" s="837"/>
      <c r="C6" s="837"/>
      <c r="D6" s="3" t="s">
        <v>9</v>
      </c>
      <c r="E6" s="3" t="s">
        <v>10</v>
      </c>
      <c r="F6" s="3" t="s">
        <v>38</v>
      </c>
      <c r="G6" s="3" t="s">
        <v>68</v>
      </c>
      <c r="H6" s="3" t="s">
        <v>2757</v>
      </c>
      <c r="I6" s="3" t="s">
        <v>2758</v>
      </c>
      <c r="J6" s="3" t="s">
        <v>2759</v>
      </c>
      <c r="K6" s="3" t="s">
        <v>2760</v>
      </c>
      <c r="L6" s="3" t="s">
        <v>2761</v>
      </c>
      <c r="M6" s="3" t="s">
        <v>2762</v>
      </c>
      <c r="N6" s="3" t="s">
        <v>11</v>
      </c>
      <c r="O6" s="3" t="s">
        <v>2763</v>
      </c>
      <c r="P6" s="838" t="s">
        <v>2764</v>
      </c>
      <c r="Q6" s="838" t="s">
        <v>2765</v>
      </c>
      <c r="R6" s="838" t="s">
        <v>2766</v>
      </c>
      <c r="S6" s="839" t="s">
        <v>1777</v>
      </c>
      <c r="T6" s="839" t="s">
        <v>1778</v>
      </c>
      <c r="U6" s="839" t="s">
        <v>1779</v>
      </c>
      <c r="V6" s="838" t="s">
        <v>2767</v>
      </c>
      <c r="W6" s="838" t="s">
        <v>1158</v>
      </c>
      <c r="X6" s="838" t="s">
        <v>2768</v>
      </c>
      <c r="Y6" s="838" t="s">
        <v>2769</v>
      </c>
      <c r="Z6" s="838" t="s">
        <v>2770</v>
      </c>
      <c r="AA6" s="840" t="s">
        <v>2771</v>
      </c>
      <c r="AB6" s="841"/>
      <c r="AC6" s="841"/>
      <c r="AD6" s="841"/>
      <c r="AE6" s="841"/>
      <c r="AF6" s="841"/>
      <c r="AG6" s="841"/>
      <c r="AH6" s="838" t="s">
        <v>5</v>
      </c>
      <c r="AI6" s="842">
        <v>2022</v>
      </c>
      <c r="AJ6" s="842">
        <v>2023</v>
      </c>
      <c r="AK6" s="842">
        <v>2024</v>
      </c>
      <c r="AL6" s="842">
        <v>2025</v>
      </c>
      <c r="AM6" s="842">
        <v>2026</v>
      </c>
      <c r="AN6" s="836"/>
      <c r="AO6" s="836"/>
      <c r="AP6" s="836"/>
      <c r="AQ6" s="836"/>
      <c r="AR6" s="836"/>
      <c r="AS6" s="836"/>
      <c r="AT6" s="836"/>
      <c r="AU6" s="836"/>
      <c r="AV6" s="836"/>
      <c r="AW6" s="836"/>
      <c r="AX6" s="836"/>
      <c r="AY6" s="836"/>
      <c r="AZ6" s="836"/>
      <c r="BA6" s="836"/>
      <c r="BB6" s="836"/>
      <c r="BC6" s="836"/>
      <c r="BD6" s="836"/>
      <c r="BE6" s="836"/>
      <c r="BF6" s="836"/>
      <c r="BG6" s="836"/>
      <c r="BH6" s="836"/>
      <c r="BI6" s="836"/>
      <c r="BJ6" s="836"/>
      <c r="BK6" s="836"/>
    </row>
    <row r="8" spans="1:70" s="1" customFormat="1" ht="20.25">
      <c r="B8" s="844" t="s">
        <v>2791</v>
      </c>
    </row>
    <row r="9" spans="1:70" s="66" customFormat="1" ht="13.5"/>
    <row r="10" spans="1:70" s="869" customFormat="1" ht="13.9">
      <c r="A10" s="868"/>
      <c r="B10" s="866" t="s">
        <v>2792</v>
      </c>
    </row>
    <row r="11" spans="1:70" s="66" customFormat="1" ht="13.5"/>
    <row r="12" spans="1:70" s="845" customFormat="1">
      <c r="D12" s="850"/>
      <c r="E12" s="850" t="s">
        <v>2774</v>
      </c>
      <c r="F12" s="855"/>
      <c r="G12" s="850" t="s">
        <v>149</v>
      </c>
      <c r="H12" s="855"/>
      <c r="I12" s="855"/>
      <c r="J12" s="855"/>
      <c r="K12" s="855"/>
      <c r="L12" s="855"/>
      <c r="M12" s="855"/>
      <c r="N12" s="855"/>
      <c r="O12" s="855"/>
      <c r="P12" s="848"/>
      <c r="Q12" s="850" t="s">
        <v>1534</v>
      </c>
      <c r="R12" s="848"/>
      <c r="S12" s="81"/>
      <c r="T12" s="81"/>
      <c r="U12" s="81"/>
      <c r="V12" s="857" t="s">
        <v>12</v>
      </c>
      <c r="W12" s="857"/>
      <c r="X12" s="857"/>
      <c r="Y12" s="857"/>
      <c r="Z12" s="857" t="s">
        <v>2775</v>
      </c>
      <c r="AA12" s="854"/>
      <c r="AB12" s="856"/>
      <c r="AC12" s="856"/>
      <c r="AD12" s="856"/>
      <c r="AE12" s="855"/>
      <c r="AF12" s="855"/>
      <c r="AG12" s="855"/>
      <c r="AH12" s="855" t="s">
        <v>2</v>
      </c>
      <c r="AI12" s="81"/>
      <c r="AJ12" s="491"/>
      <c r="AK12" s="491"/>
      <c r="AL12" s="491"/>
      <c r="AM12" s="491"/>
      <c r="AN12" s="855"/>
      <c r="AO12" s="855"/>
      <c r="AP12" s="855"/>
      <c r="AQ12" s="855"/>
      <c r="AR12" s="855"/>
      <c r="AS12" s="855"/>
      <c r="AT12" s="855"/>
      <c r="AU12" s="856"/>
      <c r="AV12" s="856"/>
      <c r="AW12" s="856"/>
      <c r="AY12" s="854"/>
      <c r="AZ12" s="856"/>
      <c r="BA12" s="855"/>
      <c r="BB12" s="855"/>
      <c r="BC12" s="855"/>
      <c r="BD12" s="855"/>
      <c r="BE12" s="855"/>
      <c r="BF12" s="855"/>
      <c r="BG12" s="855"/>
      <c r="BH12" s="855"/>
      <c r="BI12" s="856"/>
      <c r="BJ12" s="856"/>
      <c r="BK12" s="856"/>
      <c r="BL12" s="856"/>
      <c r="BM12" s="856"/>
      <c r="BN12" s="856"/>
      <c r="BO12" s="856"/>
      <c r="BP12" s="856"/>
      <c r="BQ12" s="856"/>
      <c r="BR12" s="855"/>
    </row>
    <row r="13" spans="1:70" s="845" customFormat="1">
      <c r="D13" s="850"/>
      <c r="E13" s="850" t="s">
        <v>2774</v>
      </c>
      <c r="F13" s="855"/>
      <c r="G13" s="850" t="s">
        <v>149</v>
      </c>
      <c r="H13" s="855"/>
      <c r="I13" s="855"/>
      <c r="J13" s="855"/>
      <c r="K13" s="855"/>
      <c r="L13" s="855"/>
      <c r="M13" s="855"/>
      <c r="N13" s="855"/>
      <c r="O13" s="855"/>
      <c r="P13" s="848"/>
      <c r="Q13" s="850" t="s">
        <v>1534</v>
      </c>
      <c r="R13" s="848"/>
      <c r="S13" s="81"/>
      <c r="T13" s="81"/>
      <c r="U13" s="81"/>
      <c r="V13" s="857" t="s">
        <v>12</v>
      </c>
      <c r="W13" s="857"/>
      <c r="X13" s="857"/>
      <c r="Y13" s="857"/>
      <c r="Z13" s="857" t="s">
        <v>2775</v>
      </c>
      <c r="AA13" s="854"/>
      <c r="AB13" s="856"/>
      <c r="AC13" s="856"/>
      <c r="AD13" s="856"/>
      <c r="AE13" s="855"/>
      <c r="AF13" s="855"/>
      <c r="AG13" s="855"/>
      <c r="AH13" s="855" t="s">
        <v>2</v>
      </c>
      <c r="AI13" s="81"/>
      <c r="AJ13" s="491"/>
      <c r="AK13" s="491"/>
      <c r="AL13" s="491"/>
      <c r="AM13" s="491"/>
      <c r="AN13" s="855"/>
      <c r="AO13" s="855"/>
      <c r="AP13" s="855"/>
      <c r="AQ13" s="855"/>
      <c r="AR13" s="855"/>
      <c r="AS13" s="855"/>
      <c r="AT13" s="855"/>
      <c r="AU13" s="856"/>
      <c r="AV13" s="856"/>
      <c r="AW13" s="856"/>
      <c r="AY13" s="854"/>
      <c r="AZ13" s="856"/>
      <c r="BA13" s="855"/>
      <c r="BB13" s="855"/>
      <c r="BC13" s="855"/>
      <c r="BD13" s="855"/>
      <c r="BE13" s="855"/>
      <c r="BF13" s="855"/>
      <c r="BG13" s="855"/>
      <c r="BH13" s="855"/>
      <c r="BI13" s="856"/>
      <c r="BJ13" s="856"/>
      <c r="BK13" s="856"/>
      <c r="BL13" s="856"/>
      <c r="BM13" s="856"/>
      <c r="BN13" s="856"/>
      <c r="BO13" s="856"/>
      <c r="BP13" s="856"/>
      <c r="BQ13" s="856"/>
      <c r="BR13" s="855"/>
    </row>
    <row r="14" spans="1:70" s="845" customFormat="1">
      <c r="D14" s="850"/>
      <c r="E14" s="850" t="s">
        <v>2774</v>
      </c>
      <c r="F14" s="855"/>
      <c r="G14" s="850" t="s">
        <v>149</v>
      </c>
      <c r="H14" s="855"/>
      <c r="I14" s="855"/>
      <c r="J14" s="855"/>
      <c r="K14" s="855"/>
      <c r="L14" s="855"/>
      <c r="M14" s="855"/>
      <c r="N14" s="855"/>
      <c r="O14" s="855"/>
      <c r="P14" s="848"/>
      <c r="Q14" s="850" t="s">
        <v>1534</v>
      </c>
      <c r="R14" s="848"/>
      <c r="S14" s="81"/>
      <c r="T14" s="81"/>
      <c r="U14" s="81"/>
      <c r="V14" s="857" t="s">
        <v>12</v>
      </c>
      <c r="W14" s="857"/>
      <c r="X14" s="857"/>
      <c r="Y14" s="857"/>
      <c r="Z14" s="857" t="s">
        <v>2775</v>
      </c>
      <c r="AA14" s="854"/>
      <c r="AB14" s="856"/>
      <c r="AC14" s="856"/>
      <c r="AD14" s="856"/>
      <c r="AE14" s="855"/>
      <c r="AF14" s="855"/>
      <c r="AG14" s="855"/>
      <c r="AH14" s="855" t="s">
        <v>2</v>
      </c>
      <c r="AI14" s="81"/>
      <c r="AJ14" s="491"/>
      <c r="AK14" s="491"/>
      <c r="AL14" s="491"/>
      <c r="AM14" s="491"/>
      <c r="AN14" s="855"/>
      <c r="AO14" s="855"/>
      <c r="AP14" s="855"/>
      <c r="AQ14" s="855"/>
      <c r="AR14" s="855"/>
      <c r="AS14" s="855"/>
      <c r="AT14" s="855"/>
      <c r="AU14" s="856"/>
      <c r="AV14" s="856"/>
      <c r="AW14" s="856"/>
      <c r="AY14" s="854"/>
      <c r="AZ14" s="856"/>
      <c r="BA14" s="855"/>
      <c r="BB14" s="855"/>
      <c r="BC14" s="855"/>
      <c r="BD14" s="855"/>
      <c r="BE14" s="855"/>
      <c r="BF14" s="855"/>
      <c r="BG14" s="855"/>
      <c r="BH14" s="855"/>
      <c r="BI14" s="856"/>
      <c r="BJ14" s="856"/>
      <c r="BK14" s="856"/>
      <c r="BL14" s="856"/>
      <c r="BM14" s="856"/>
      <c r="BN14" s="856"/>
      <c r="BO14" s="856"/>
      <c r="BP14" s="856"/>
      <c r="BQ14" s="856"/>
      <c r="BR14" s="855"/>
    </row>
    <row r="15" spans="1:70" s="845" customFormat="1">
      <c r="D15" s="850"/>
      <c r="E15" s="850" t="s">
        <v>2774</v>
      </c>
      <c r="F15" s="855"/>
      <c r="G15" s="850" t="s">
        <v>149</v>
      </c>
      <c r="H15" s="855"/>
      <c r="I15" s="855"/>
      <c r="J15" s="855"/>
      <c r="K15" s="855"/>
      <c r="L15" s="855"/>
      <c r="M15" s="855"/>
      <c r="N15" s="855"/>
      <c r="O15" s="855"/>
      <c r="P15" s="848"/>
      <c r="Q15" s="850" t="s">
        <v>1534</v>
      </c>
      <c r="R15" s="848"/>
      <c r="S15" s="81"/>
      <c r="T15" s="81"/>
      <c r="U15" s="81"/>
      <c r="V15" s="857" t="s">
        <v>12</v>
      </c>
      <c r="W15" s="857"/>
      <c r="X15" s="857"/>
      <c r="Y15" s="857"/>
      <c r="Z15" s="857" t="s">
        <v>2775</v>
      </c>
      <c r="AA15" s="854"/>
      <c r="AB15" s="856"/>
      <c r="AC15" s="856"/>
      <c r="AD15" s="856"/>
      <c r="AE15" s="855"/>
      <c r="AF15" s="855"/>
      <c r="AG15" s="855"/>
      <c r="AH15" s="855" t="s">
        <v>2</v>
      </c>
      <c r="AI15" s="81"/>
      <c r="AJ15" s="491"/>
      <c r="AK15" s="491"/>
      <c r="AL15" s="491"/>
      <c r="AM15" s="491"/>
      <c r="AN15" s="855"/>
      <c r="AO15" s="855"/>
      <c r="AP15" s="855"/>
      <c r="AQ15" s="855"/>
      <c r="AR15" s="855"/>
      <c r="AS15" s="855"/>
      <c r="AT15" s="855"/>
      <c r="AU15" s="856"/>
      <c r="AV15" s="856"/>
      <c r="AW15" s="856"/>
      <c r="AY15" s="854"/>
      <c r="AZ15" s="856"/>
      <c r="BA15" s="855"/>
      <c r="BB15" s="855"/>
      <c r="BC15" s="855"/>
      <c r="BD15" s="855"/>
      <c r="BE15" s="855"/>
      <c r="BF15" s="855"/>
      <c r="BG15" s="855"/>
      <c r="BH15" s="855"/>
      <c r="BI15" s="856"/>
      <c r="BJ15" s="856"/>
      <c r="BK15" s="856"/>
      <c r="BL15" s="856"/>
      <c r="BM15" s="856"/>
      <c r="BN15" s="856"/>
      <c r="BO15" s="856"/>
      <c r="BP15" s="856"/>
      <c r="BQ15" s="856"/>
      <c r="BR15" s="855"/>
    </row>
    <row r="16" spans="1:70" s="845" customFormat="1">
      <c r="D16" s="850"/>
      <c r="E16" s="850" t="s">
        <v>2774</v>
      </c>
      <c r="F16" s="855"/>
      <c r="G16" s="850" t="s">
        <v>149</v>
      </c>
      <c r="H16" s="855"/>
      <c r="I16" s="855"/>
      <c r="J16" s="855"/>
      <c r="K16" s="855"/>
      <c r="L16" s="855"/>
      <c r="M16" s="855"/>
      <c r="N16" s="855"/>
      <c r="O16" s="855"/>
      <c r="P16" s="848"/>
      <c r="Q16" s="850" t="s">
        <v>1534</v>
      </c>
      <c r="R16" s="848"/>
      <c r="S16" s="81"/>
      <c r="T16" s="81"/>
      <c r="U16" s="81"/>
      <c r="V16" s="857" t="s">
        <v>12</v>
      </c>
      <c r="W16" s="857"/>
      <c r="X16" s="857"/>
      <c r="Y16" s="857"/>
      <c r="Z16" s="857" t="s">
        <v>2775</v>
      </c>
      <c r="AA16" s="854"/>
      <c r="AB16" s="856"/>
      <c r="AC16" s="856"/>
      <c r="AD16" s="856"/>
      <c r="AE16" s="855"/>
      <c r="AF16" s="855"/>
      <c r="AG16" s="855"/>
      <c r="AH16" s="855" t="s">
        <v>2</v>
      </c>
      <c r="AI16" s="81"/>
      <c r="AJ16" s="491"/>
      <c r="AK16" s="491"/>
      <c r="AL16" s="491"/>
      <c r="AM16" s="491"/>
      <c r="AN16" s="855"/>
      <c r="AO16" s="855"/>
      <c r="AP16" s="855"/>
      <c r="AQ16" s="855"/>
      <c r="AR16" s="855"/>
      <c r="AS16" s="855"/>
      <c r="AT16" s="855"/>
      <c r="AU16" s="856"/>
      <c r="AV16" s="856"/>
      <c r="AW16" s="856"/>
      <c r="AY16" s="854"/>
      <c r="AZ16" s="856"/>
      <c r="BA16" s="855"/>
      <c r="BB16" s="855"/>
      <c r="BC16" s="855"/>
      <c r="BD16" s="855"/>
      <c r="BE16" s="855"/>
      <c r="BF16" s="855"/>
      <c r="BG16" s="855"/>
      <c r="BH16" s="855"/>
      <c r="BI16" s="856"/>
      <c r="BJ16" s="856"/>
      <c r="BK16" s="856"/>
      <c r="BL16" s="856"/>
      <c r="BM16" s="856"/>
      <c r="BN16" s="856"/>
      <c r="BO16" s="856"/>
      <c r="BP16" s="856"/>
      <c r="BQ16" s="856"/>
      <c r="BR16" s="855"/>
    </row>
    <row r="17" spans="1:70" s="845" customFormat="1">
      <c r="D17" s="850"/>
      <c r="E17" s="850" t="s">
        <v>2774</v>
      </c>
      <c r="F17" s="855"/>
      <c r="G17" s="850" t="s">
        <v>149</v>
      </c>
      <c r="H17" s="855"/>
      <c r="I17" s="855"/>
      <c r="J17" s="855"/>
      <c r="K17" s="855"/>
      <c r="L17" s="855"/>
      <c r="M17" s="855"/>
      <c r="N17" s="855"/>
      <c r="O17" s="855"/>
      <c r="P17" s="848"/>
      <c r="Q17" s="850" t="s">
        <v>1534</v>
      </c>
      <c r="R17" s="848"/>
      <c r="S17" s="81"/>
      <c r="T17" s="81"/>
      <c r="U17" s="81"/>
      <c r="V17" s="857" t="s">
        <v>12</v>
      </c>
      <c r="W17" s="857"/>
      <c r="X17" s="857"/>
      <c r="Y17" s="857"/>
      <c r="Z17" s="857" t="s">
        <v>2775</v>
      </c>
      <c r="AA17" s="854"/>
      <c r="AB17" s="856"/>
      <c r="AC17" s="856"/>
      <c r="AD17" s="856"/>
      <c r="AE17" s="855"/>
      <c r="AF17" s="855"/>
      <c r="AG17" s="855"/>
      <c r="AH17" s="855" t="s">
        <v>2</v>
      </c>
      <c r="AI17" s="81"/>
      <c r="AJ17" s="491"/>
      <c r="AK17" s="491"/>
      <c r="AL17" s="491"/>
      <c r="AM17" s="491"/>
      <c r="AN17" s="855"/>
      <c r="AO17" s="855"/>
      <c r="AP17" s="855"/>
      <c r="AQ17" s="855"/>
      <c r="AR17" s="855"/>
      <c r="AS17" s="855"/>
      <c r="AT17" s="855"/>
      <c r="AU17" s="856"/>
      <c r="AV17" s="856"/>
      <c r="AW17" s="856"/>
      <c r="AY17" s="854"/>
      <c r="AZ17" s="856"/>
      <c r="BA17" s="855"/>
      <c r="BB17" s="855"/>
      <c r="BC17" s="855"/>
      <c r="BD17" s="855"/>
      <c r="BE17" s="855"/>
      <c r="BF17" s="855"/>
      <c r="BG17" s="855"/>
      <c r="BH17" s="855"/>
      <c r="BI17" s="856"/>
      <c r="BJ17" s="856"/>
      <c r="BK17" s="856"/>
      <c r="BL17" s="856"/>
      <c r="BM17" s="856"/>
      <c r="BN17" s="856"/>
      <c r="BO17" s="856"/>
      <c r="BP17" s="856"/>
      <c r="BQ17" s="856"/>
      <c r="BR17" s="855"/>
    </row>
    <row r="18" spans="1:70" s="845" customFormat="1">
      <c r="D18" s="850"/>
      <c r="E18" s="850" t="s">
        <v>2774</v>
      </c>
      <c r="F18" s="855"/>
      <c r="G18" s="850" t="s">
        <v>149</v>
      </c>
      <c r="H18" s="855"/>
      <c r="I18" s="855"/>
      <c r="J18" s="855"/>
      <c r="K18" s="855"/>
      <c r="L18" s="855"/>
      <c r="M18" s="855"/>
      <c r="N18" s="855"/>
      <c r="O18" s="855"/>
      <c r="P18" s="848"/>
      <c r="Q18" s="850" t="s">
        <v>1534</v>
      </c>
      <c r="R18" s="848"/>
      <c r="S18" s="81"/>
      <c r="T18" s="81"/>
      <c r="U18" s="81"/>
      <c r="V18" s="857" t="s">
        <v>12</v>
      </c>
      <c r="W18" s="857"/>
      <c r="X18" s="857"/>
      <c r="Y18" s="857"/>
      <c r="Z18" s="857" t="s">
        <v>2775</v>
      </c>
      <c r="AA18" s="854"/>
      <c r="AB18" s="856"/>
      <c r="AC18" s="856"/>
      <c r="AD18" s="856"/>
      <c r="AE18" s="855"/>
      <c r="AF18" s="855"/>
      <c r="AG18" s="855"/>
      <c r="AH18" s="855" t="s">
        <v>2</v>
      </c>
      <c r="AI18" s="81"/>
      <c r="AJ18" s="491"/>
      <c r="AK18" s="491"/>
      <c r="AL18" s="491"/>
      <c r="AM18" s="491"/>
      <c r="AN18" s="855"/>
      <c r="AO18" s="855"/>
      <c r="AP18" s="855"/>
      <c r="AQ18" s="855"/>
      <c r="AR18" s="855"/>
      <c r="AS18" s="855"/>
      <c r="AT18" s="855"/>
      <c r="AU18" s="856"/>
      <c r="AV18" s="856"/>
      <c r="AW18" s="856"/>
      <c r="AY18" s="854"/>
      <c r="AZ18" s="856"/>
      <c r="BA18" s="855"/>
      <c r="BB18" s="855"/>
      <c r="BC18" s="855"/>
      <c r="BD18" s="855"/>
      <c r="BE18" s="855"/>
      <c r="BF18" s="855"/>
      <c r="BG18" s="855"/>
      <c r="BH18" s="855"/>
      <c r="BI18" s="856"/>
      <c r="BJ18" s="856"/>
      <c r="BK18" s="856"/>
      <c r="BL18" s="856"/>
      <c r="BM18" s="856"/>
      <c r="BN18" s="856"/>
      <c r="BO18" s="856"/>
      <c r="BP18" s="856"/>
      <c r="BQ18" s="856"/>
      <c r="BR18" s="855"/>
    </row>
    <row r="19" spans="1:70" s="845" customFormat="1">
      <c r="D19" s="850"/>
      <c r="E19" s="850" t="s">
        <v>2774</v>
      </c>
      <c r="F19" s="855"/>
      <c r="G19" s="850" t="s">
        <v>149</v>
      </c>
      <c r="H19" s="855"/>
      <c r="I19" s="855"/>
      <c r="J19" s="855"/>
      <c r="K19" s="855"/>
      <c r="L19" s="855"/>
      <c r="M19" s="855"/>
      <c r="N19" s="855"/>
      <c r="O19" s="855"/>
      <c r="P19" s="848"/>
      <c r="Q19" s="850" t="s">
        <v>1534</v>
      </c>
      <c r="R19" s="848"/>
      <c r="S19" s="81"/>
      <c r="T19" s="81"/>
      <c r="U19" s="81"/>
      <c r="V19" s="857" t="s">
        <v>12</v>
      </c>
      <c r="W19" s="857"/>
      <c r="X19" s="857"/>
      <c r="Y19" s="857"/>
      <c r="Z19" s="857" t="s">
        <v>2775</v>
      </c>
      <c r="AA19" s="854"/>
      <c r="AB19" s="856"/>
      <c r="AC19" s="856"/>
      <c r="AD19" s="856"/>
      <c r="AE19" s="855"/>
      <c r="AF19" s="855"/>
      <c r="AG19" s="855"/>
      <c r="AH19" s="855" t="s">
        <v>2</v>
      </c>
      <c r="AI19" s="81"/>
      <c r="AJ19" s="491"/>
      <c r="AK19" s="491"/>
      <c r="AL19" s="491"/>
      <c r="AM19" s="491"/>
      <c r="AN19" s="855"/>
      <c r="AO19" s="855"/>
      <c r="AP19" s="855"/>
      <c r="AQ19" s="855"/>
      <c r="AR19" s="855"/>
      <c r="AS19" s="855"/>
      <c r="AT19" s="855"/>
      <c r="AU19" s="856"/>
      <c r="AV19" s="856"/>
      <c r="AW19" s="856"/>
      <c r="AY19" s="854"/>
      <c r="AZ19" s="856"/>
      <c r="BA19" s="855"/>
      <c r="BB19" s="855"/>
      <c r="BC19" s="855"/>
      <c r="BD19" s="855"/>
      <c r="BE19" s="855"/>
      <c r="BF19" s="855"/>
      <c r="BG19" s="855"/>
      <c r="BH19" s="855"/>
      <c r="BI19" s="856"/>
      <c r="BJ19" s="856"/>
      <c r="BK19" s="856"/>
      <c r="BL19" s="856"/>
      <c r="BM19" s="856"/>
      <c r="BN19" s="856"/>
      <c r="BO19" s="856"/>
      <c r="BP19" s="856"/>
      <c r="BQ19" s="856"/>
      <c r="BR19" s="855"/>
    </row>
    <row r="20" spans="1:70" s="845" customFormat="1">
      <c r="D20" s="850"/>
      <c r="E20" s="850" t="s">
        <v>2774</v>
      </c>
      <c r="F20" s="855"/>
      <c r="G20" s="850" t="s">
        <v>149</v>
      </c>
      <c r="H20" s="855"/>
      <c r="I20" s="855"/>
      <c r="J20" s="855"/>
      <c r="K20" s="855"/>
      <c r="L20" s="855"/>
      <c r="M20" s="855"/>
      <c r="N20" s="855"/>
      <c r="O20" s="855"/>
      <c r="P20" s="848"/>
      <c r="Q20" s="850" t="s">
        <v>1534</v>
      </c>
      <c r="R20" s="848"/>
      <c r="S20" s="81"/>
      <c r="T20" s="81"/>
      <c r="U20" s="81"/>
      <c r="V20" s="857" t="s">
        <v>12</v>
      </c>
      <c r="W20" s="857"/>
      <c r="X20" s="857"/>
      <c r="Y20" s="857"/>
      <c r="Z20" s="857" t="s">
        <v>2775</v>
      </c>
      <c r="AA20" s="854"/>
      <c r="AB20" s="856"/>
      <c r="AC20" s="856"/>
      <c r="AD20" s="856"/>
      <c r="AE20" s="855"/>
      <c r="AF20" s="855"/>
      <c r="AG20" s="855"/>
      <c r="AH20" s="855" t="s">
        <v>2</v>
      </c>
      <c r="AI20" s="81"/>
      <c r="AJ20" s="491"/>
      <c r="AK20" s="491"/>
      <c r="AL20" s="491"/>
      <c r="AM20" s="491"/>
      <c r="AN20" s="855"/>
      <c r="AO20" s="855"/>
      <c r="AP20" s="855"/>
      <c r="AQ20" s="855"/>
      <c r="AR20" s="855"/>
      <c r="AS20" s="855"/>
      <c r="AT20" s="855"/>
      <c r="AU20" s="856"/>
      <c r="AV20" s="856"/>
      <c r="AW20" s="856"/>
      <c r="AY20" s="854"/>
      <c r="AZ20" s="856"/>
      <c r="BA20" s="855"/>
      <c r="BB20" s="855"/>
      <c r="BC20" s="855"/>
      <c r="BD20" s="855"/>
      <c r="BE20" s="855"/>
      <c r="BF20" s="855"/>
      <c r="BG20" s="855"/>
      <c r="BH20" s="855"/>
      <c r="BI20" s="856"/>
      <c r="BJ20" s="856"/>
      <c r="BK20" s="856"/>
      <c r="BL20" s="856"/>
      <c r="BM20" s="856"/>
      <c r="BN20" s="856"/>
      <c r="BO20" s="856"/>
      <c r="BP20" s="856"/>
      <c r="BQ20" s="856"/>
      <c r="BR20" s="855"/>
    </row>
    <row r="21" spans="1:70" s="870" customFormat="1">
      <c r="Q21" s="871" t="s">
        <v>1534</v>
      </c>
      <c r="R21" s="871" t="s">
        <v>3162</v>
      </c>
      <c r="Z21" s="872" t="s">
        <v>2775</v>
      </c>
      <c r="AA21" s="873"/>
      <c r="AB21" s="874"/>
      <c r="AC21" s="874"/>
      <c r="AD21" s="874"/>
      <c r="AE21" s="875"/>
      <c r="AF21" s="875"/>
      <c r="AG21" s="875"/>
      <c r="AH21" s="875" t="s">
        <v>2</v>
      </c>
      <c r="AI21" s="860">
        <f>SUM(AI12:AI20)</f>
        <v>0</v>
      </c>
      <c r="AJ21" s="491"/>
      <c r="AK21" s="491"/>
      <c r="AL21" s="491"/>
      <c r="AM21" s="491"/>
    </row>
    <row r="22" spans="1:70" s="66" customFormat="1" ht="13.5">
      <c r="Q22" s="850"/>
      <c r="AI22" s="876"/>
      <c r="AJ22" s="867"/>
    </row>
    <row r="23" spans="1:70" s="869" customFormat="1" ht="13.9">
      <c r="A23" s="868"/>
      <c r="B23" s="866" t="s">
        <v>867</v>
      </c>
    </row>
    <row r="24" spans="1:70" s="868" customFormat="1" ht="13.9">
      <c r="B24" s="877"/>
    </row>
    <row r="25" spans="1:70" s="66" customFormat="1">
      <c r="R25" s="66" t="s">
        <v>866</v>
      </c>
      <c r="Z25" s="857" t="s">
        <v>2775</v>
      </c>
      <c r="AA25" s="854"/>
      <c r="AB25" s="856"/>
      <c r="AC25" s="856"/>
      <c r="AD25" s="856"/>
      <c r="AE25" s="855"/>
      <c r="AF25" s="855"/>
      <c r="AG25" s="855"/>
      <c r="AH25" s="855" t="s">
        <v>2</v>
      </c>
      <c r="AI25" s="81"/>
      <c r="AJ25" s="491"/>
      <c r="AK25" s="491"/>
      <c r="AL25" s="491"/>
      <c r="AM25" s="491"/>
    </row>
    <row r="26" spans="1:70" s="66" customFormat="1" ht="13.5"/>
    <row r="27" spans="1:70" s="869" customFormat="1" ht="13.9">
      <c r="A27" s="868"/>
      <c r="B27" s="866" t="s">
        <v>1783</v>
      </c>
    </row>
    <row r="28" spans="1:70" s="868" customFormat="1" ht="13.9">
      <c r="B28" s="877"/>
    </row>
    <row r="29" spans="1:70" s="66" customFormat="1">
      <c r="R29" s="66" t="s">
        <v>3163</v>
      </c>
      <c r="Z29" s="857" t="s">
        <v>2775</v>
      </c>
      <c r="AA29" s="854"/>
      <c r="AB29" s="856"/>
      <c r="AC29" s="856"/>
      <c r="AD29" s="856"/>
      <c r="AE29" s="855"/>
      <c r="AF29" s="855"/>
      <c r="AG29" s="855"/>
      <c r="AH29" s="855" t="s">
        <v>2</v>
      </c>
      <c r="AI29" s="81"/>
      <c r="AJ29" s="491"/>
      <c r="AK29" s="491"/>
      <c r="AL29" s="491"/>
      <c r="AM29" s="491"/>
    </row>
    <row r="30" spans="1:70" s="66" customFormat="1" ht="13.5"/>
    <row r="31" spans="1:70" s="869" customFormat="1" ht="13.9">
      <c r="A31" s="868"/>
      <c r="B31" s="866" t="s">
        <v>1784</v>
      </c>
    </row>
    <row r="32" spans="1:70" s="868" customFormat="1" ht="13.9">
      <c r="B32" s="877"/>
    </row>
    <row r="33" spans="1:40" s="66" customFormat="1">
      <c r="R33" s="66" t="s">
        <v>2793</v>
      </c>
      <c r="Z33" s="857" t="s">
        <v>2775</v>
      </c>
      <c r="AA33" s="854"/>
      <c r="AB33" s="856"/>
      <c r="AC33" s="856"/>
      <c r="AD33" s="856"/>
      <c r="AE33" s="855"/>
      <c r="AF33" s="855"/>
      <c r="AG33" s="855"/>
      <c r="AH33" s="855" t="s">
        <v>2</v>
      </c>
      <c r="AI33" s="81"/>
      <c r="AJ33" s="491"/>
      <c r="AK33" s="491"/>
      <c r="AL33" s="491"/>
      <c r="AM33" s="491"/>
      <c r="AN33" s="66" t="s">
        <v>2794</v>
      </c>
    </row>
    <row r="34" spans="1:40" s="66" customFormat="1">
      <c r="R34" s="66" t="s">
        <v>2795</v>
      </c>
      <c r="Z34" s="857" t="s">
        <v>2775</v>
      </c>
      <c r="AA34" s="854"/>
      <c r="AB34" s="856"/>
      <c r="AC34" s="856"/>
      <c r="AD34" s="856"/>
      <c r="AE34" s="855"/>
      <c r="AF34" s="855"/>
      <c r="AG34" s="855"/>
      <c r="AH34" s="855" t="s">
        <v>2</v>
      </c>
      <c r="AI34" s="81"/>
      <c r="AJ34" s="491"/>
      <c r="AK34" s="491"/>
      <c r="AL34" s="491"/>
      <c r="AM34" s="491"/>
      <c r="AN34" s="66" t="s">
        <v>2796</v>
      </c>
    </row>
    <row r="35" spans="1:40" s="66" customFormat="1">
      <c r="R35" s="66" t="s">
        <v>2797</v>
      </c>
      <c r="Z35" s="857" t="s">
        <v>2775</v>
      </c>
      <c r="AA35" s="854"/>
      <c r="AB35" s="856"/>
      <c r="AC35" s="856"/>
      <c r="AD35" s="856"/>
      <c r="AE35" s="855"/>
      <c r="AF35" s="855"/>
      <c r="AG35" s="855"/>
      <c r="AH35" s="855" t="s">
        <v>2</v>
      </c>
      <c r="AI35" s="81"/>
      <c r="AJ35" s="491"/>
      <c r="AK35" s="491"/>
      <c r="AL35" s="491"/>
      <c r="AM35" s="491"/>
      <c r="AN35" s="66" t="s">
        <v>2798</v>
      </c>
    </row>
    <row r="36" spans="1:40" s="66" customFormat="1">
      <c r="R36" s="66" t="s">
        <v>2799</v>
      </c>
      <c r="Z36" s="857" t="s">
        <v>2775</v>
      </c>
      <c r="AA36" s="854"/>
      <c r="AB36" s="856"/>
      <c r="AC36" s="856"/>
      <c r="AD36" s="856"/>
      <c r="AE36" s="855"/>
      <c r="AF36" s="855"/>
      <c r="AG36" s="855"/>
      <c r="AH36" s="855" t="s">
        <v>2</v>
      </c>
      <c r="AI36" s="81"/>
      <c r="AJ36" s="491"/>
      <c r="AK36" s="491"/>
      <c r="AL36" s="491"/>
      <c r="AM36" s="491"/>
      <c r="AN36" s="66" t="s">
        <v>2800</v>
      </c>
    </row>
    <row r="37" spans="1:40" s="870" customFormat="1">
      <c r="Q37" s="871" t="s">
        <v>1534</v>
      </c>
      <c r="R37" s="66" t="s">
        <v>1785</v>
      </c>
      <c r="S37" s="66"/>
      <c r="T37" s="66"/>
      <c r="U37" s="66"/>
      <c r="V37" s="66"/>
      <c r="W37" s="66"/>
      <c r="X37" s="66"/>
      <c r="Y37" s="66"/>
      <c r="Z37" s="857" t="s">
        <v>2775</v>
      </c>
      <c r="AA37" s="854"/>
      <c r="AB37" s="856"/>
      <c r="AC37" s="856"/>
      <c r="AD37" s="856"/>
      <c r="AE37" s="855"/>
      <c r="AF37" s="855"/>
      <c r="AG37" s="855"/>
      <c r="AH37" s="855" t="s">
        <v>2</v>
      </c>
      <c r="AI37" s="860">
        <f>AI33*AI34-(AI35+AI36)</f>
        <v>0</v>
      </c>
      <c r="AJ37" s="491"/>
      <c r="AK37" s="491"/>
      <c r="AL37" s="491"/>
      <c r="AM37" s="491"/>
    </row>
    <row r="38" spans="1:40" s="66" customFormat="1" ht="13.5"/>
    <row r="39" spans="1:40" s="869" customFormat="1" ht="13.9">
      <c r="A39" s="868"/>
      <c r="B39" s="866" t="s">
        <v>2801</v>
      </c>
    </row>
    <row r="40" spans="1:40" s="868" customFormat="1" ht="13.9">
      <c r="B40" s="877"/>
    </row>
    <row r="41" spans="1:40" s="66" customFormat="1" ht="13.5">
      <c r="R41" s="66" t="s">
        <v>2802</v>
      </c>
      <c r="Z41" s="857"/>
      <c r="AA41" s="854"/>
      <c r="AB41" s="856"/>
      <c r="AC41" s="856"/>
      <c r="AD41" s="856"/>
      <c r="AE41" s="855"/>
      <c r="AF41" s="855"/>
      <c r="AG41" s="855"/>
      <c r="AH41" s="855" t="s">
        <v>2803</v>
      </c>
      <c r="AI41" s="81"/>
    </row>
    <row r="42" spans="1:40" s="66" customFormat="1" ht="13.5">
      <c r="R42" s="66" t="s">
        <v>2804</v>
      </c>
      <c r="Z42" s="857"/>
      <c r="AA42" s="854"/>
      <c r="AB42" s="856"/>
      <c r="AC42" s="856"/>
      <c r="AD42" s="856"/>
      <c r="AE42" s="855"/>
      <c r="AF42" s="855"/>
      <c r="AG42" s="855"/>
      <c r="AH42" s="855" t="s">
        <v>2803</v>
      </c>
      <c r="AI42" s="81"/>
    </row>
    <row r="43" spans="1:40" s="66" customFormat="1" ht="13.5"/>
    <row r="44" spans="1:40" s="869" customFormat="1" ht="13.9">
      <c r="A44" s="868"/>
      <c r="B44" s="866" t="s">
        <v>2805</v>
      </c>
    </row>
    <row r="45" spans="1:40" s="868" customFormat="1" ht="13.9">
      <c r="B45" s="877"/>
    </row>
    <row r="46" spans="1:40" s="66" customFormat="1">
      <c r="R46" s="870" t="s">
        <v>1786</v>
      </c>
      <c r="Z46" s="857" t="s">
        <v>2775</v>
      </c>
      <c r="AA46" s="854"/>
      <c r="AB46" s="856"/>
      <c r="AC46" s="856"/>
      <c r="AD46" s="856"/>
      <c r="AE46" s="855"/>
      <c r="AF46" s="855"/>
      <c r="AG46" s="855"/>
      <c r="AH46" s="855" t="s">
        <v>2</v>
      </c>
      <c r="AI46" s="860" t="str">
        <f>IFERROR((0.9*MIN(AI21,AI37)-AI29)*(AI41/AI42),"-")</f>
        <v>-</v>
      </c>
      <c r="AJ46" s="491"/>
      <c r="AK46" s="491"/>
      <c r="AL46" s="491"/>
      <c r="AM46" s="491"/>
    </row>
    <row r="47" spans="1:40" s="66" customFormat="1" ht="13.5"/>
    <row r="48" spans="1:40" s="73" customFormat="1" ht="18">
      <c r="A48" s="74" t="s">
        <v>76</v>
      </c>
    </row>
    <row r="49" spans="19:19" s="66" customFormat="1" ht="13.5">
      <c r="S49" s="867"/>
    </row>
    <row r="50" spans="19:19">
      <c r="S50" s="99"/>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01"/>
  <sheetViews>
    <sheetView topLeftCell="A2" zoomScale="80" zoomScaleNormal="80" workbookViewId="0"/>
  </sheetViews>
  <sheetFormatPr defaultColWidth="0" defaultRowHeight="13.5"/>
  <cols>
    <col min="1" max="3" width="1.59765625" style="66" customWidth="1"/>
    <col min="4" max="4" width="1.73046875" style="66" customWidth="1"/>
    <col min="5" max="5" width="23.3984375" style="66" bestFit="1" customWidth="1"/>
    <col min="6" max="6" width="7.3984375" style="66" bestFit="1" customWidth="1"/>
    <col min="7" max="7" width="5.1328125" style="66" bestFit="1" customWidth="1"/>
    <col min="8" max="8" width="5.1328125" style="66" customWidth="1"/>
    <col min="9" max="16" width="1.59765625" style="66" customWidth="1"/>
    <col min="17" max="17" width="14.86328125" style="66" bestFit="1" customWidth="1"/>
    <col min="18" max="18" width="1.73046875" style="66" customWidth="1"/>
    <col min="19" max="19" width="21" style="66" bestFit="1" customWidth="1"/>
    <col min="20" max="20" width="38.265625" style="66" bestFit="1" customWidth="1"/>
    <col min="21" max="21" width="28.73046875" style="66" bestFit="1" customWidth="1"/>
    <col min="22" max="22" width="10.86328125" style="66" bestFit="1" customWidth="1"/>
    <col min="23" max="25" width="1.73046875" style="66" customWidth="1"/>
    <col min="26" max="26" width="10.3984375" style="66" bestFit="1" customWidth="1"/>
    <col min="27" max="27" width="11.265625" style="66" bestFit="1" customWidth="1"/>
    <col min="28" max="33" width="2" style="66" customWidth="1"/>
    <col min="34" max="34" width="5.3984375" style="66" bestFit="1" customWidth="1"/>
    <col min="35" max="39" width="18.3984375" style="66" customWidth="1"/>
    <col min="40" max="45" width="1.59765625" style="66" customWidth="1"/>
    <col min="46" max="63" width="18.3984375" style="66" hidden="1" customWidth="1"/>
    <col min="64" max="16384" width="14" style="66" hidden="1"/>
  </cols>
  <sheetData>
    <row r="1" spans="1:70" s="817" customFormat="1" ht="23.25">
      <c r="A1" s="89" t="str">
        <f>'1.1 Cover'!A2</f>
        <v>Regulatory Reporting Pack</v>
      </c>
      <c r="B1" s="113"/>
    </row>
    <row r="2" spans="1:70" s="817" customFormat="1" ht="23.25">
      <c r="A2" s="89" t="str">
        <f>'1.1 Cover'!A3</f>
        <v>Price base - 2018/19</v>
      </c>
      <c r="B2" s="113"/>
    </row>
    <row r="3" spans="1:70" s="817" customFormat="1" ht="23.25">
      <c r="A3" s="89" t="str">
        <f>'1.1 Cover'!A4</f>
        <v>Regulatory Year: April 2021 - March 2022</v>
      </c>
      <c r="B3" s="113"/>
    </row>
    <row r="4" spans="1:70" s="817" customFormat="1" ht="23.25">
      <c r="A4" s="89" t="s">
        <v>1966</v>
      </c>
      <c r="B4" s="113"/>
    </row>
    <row r="6" spans="1:70" s="843" customFormat="1" ht="45">
      <c r="A6" s="836"/>
      <c r="B6" s="837"/>
      <c r="C6" s="837"/>
      <c r="D6" s="3" t="s">
        <v>9</v>
      </c>
      <c r="E6" s="3" t="s">
        <v>10</v>
      </c>
      <c r="F6" s="3" t="s">
        <v>38</v>
      </c>
      <c r="G6" s="3" t="s">
        <v>68</v>
      </c>
      <c r="H6" s="3" t="s">
        <v>2757</v>
      </c>
      <c r="I6" s="3" t="s">
        <v>2758</v>
      </c>
      <c r="J6" s="3" t="s">
        <v>2759</v>
      </c>
      <c r="K6" s="3" t="s">
        <v>2760</v>
      </c>
      <c r="L6" s="3" t="s">
        <v>2761</v>
      </c>
      <c r="M6" s="3" t="s">
        <v>2762</v>
      </c>
      <c r="N6" s="3" t="s">
        <v>11</v>
      </c>
      <c r="O6" s="3" t="s">
        <v>2763</v>
      </c>
      <c r="P6" s="838" t="s">
        <v>2764</v>
      </c>
      <c r="Q6" s="840" t="s">
        <v>2765</v>
      </c>
      <c r="R6" s="838"/>
      <c r="S6" s="838" t="s">
        <v>1777</v>
      </c>
      <c r="T6" s="838" t="s">
        <v>1778</v>
      </c>
      <c r="U6" s="839" t="s">
        <v>1779</v>
      </c>
      <c r="V6" s="838" t="s">
        <v>2767</v>
      </c>
      <c r="W6" s="838"/>
      <c r="X6" s="838"/>
      <c r="Y6" s="838"/>
      <c r="Z6" s="838" t="s">
        <v>2770</v>
      </c>
      <c r="AA6" s="840"/>
      <c r="AB6" s="841"/>
      <c r="AC6" s="841"/>
      <c r="AD6" s="841"/>
      <c r="AE6" s="841"/>
      <c r="AF6" s="841"/>
      <c r="AG6" s="841"/>
      <c r="AH6" s="838" t="s">
        <v>5</v>
      </c>
      <c r="AI6" s="842">
        <v>2022</v>
      </c>
      <c r="AJ6" s="842">
        <v>2023</v>
      </c>
      <c r="AK6" s="842">
        <v>2024</v>
      </c>
      <c r="AL6" s="842">
        <v>2025</v>
      </c>
      <c r="AM6" s="842">
        <v>2026</v>
      </c>
      <c r="AN6" s="836"/>
      <c r="AO6" s="836"/>
      <c r="AP6" s="836"/>
      <c r="AQ6" s="836"/>
      <c r="AR6" s="836"/>
      <c r="AS6" s="836"/>
      <c r="AT6" s="836"/>
      <c r="AU6" s="836"/>
      <c r="AV6" s="836"/>
      <c r="AW6" s="836"/>
      <c r="AX6" s="836"/>
      <c r="AY6" s="836"/>
      <c r="AZ6" s="836"/>
      <c r="BA6" s="836"/>
      <c r="BB6" s="836"/>
      <c r="BC6" s="836"/>
      <c r="BD6" s="836"/>
      <c r="BE6" s="836"/>
      <c r="BF6" s="836"/>
      <c r="BG6" s="836"/>
      <c r="BH6" s="836"/>
      <c r="BI6" s="836"/>
      <c r="BJ6" s="836"/>
      <c r="BK6" s="836"/>
    </row>
    <row r="8" spans="1:70" s="1" customFormat="1" ht="13.9">
      <c r="B8" s="866" t="s">
        <v>868</v>
      </c>
    </row>
    <row r="10" spans="1:70" ht="15">
      <c r="A10" s="848"/>
      <c r="B10" s="849"/>
      <c r="C10" s="849"/>
      <c r="D10" s="850"/>
      <c r="E10" s="850" t="s">
        <v>2774</v>
      </c>
      <c r="F10" s="850"/>
      <c r="G10" s="850" t="s">
        <v>149</v>
      </c>
      <c r="H10" s="850"/>
      <c r="I10" s="850"/>
      <c r="J10" s="850"/>
      <c r="K10" s="850"/>
      <c r="L10" s="850"/>
      <c r="M10" s="850"/>
      <c r="N10" s="850"/>
      <c r="O10" s="850"/>
      <c r="P10" s="848"/>
      <c r="Q10" s="850" t="s">
        <v>1093</v>
      </c>
      <c r="R10" s="848"/>
      <c r="S10" s="81"/>
      <c r="T10" s="81"/>
      <c r="U10" s="81"/>
      <c r="V10" s="836" t="s">
        <v>12</v>
      </c>
      <c r="W10" s="836"/>
      <c r="X10" s="836"/>
      <c r="Y10" s="836"/>
      <c r="Z10" s="836" t="s">
        <v>2775</v>
      </c>
      <c r="AA10" s="852"/>
      <c r="AB10" s="848" t="s">
        <v>0</v>
      </c>
      <c r="AC10" s="848"/>
      <c r="AD10" s="848"/>
      <c r="AE10" s="848"/>
      <c r="AF10" s="848"/>
      <c r="AG10" s="848"/>
      <c r="AH10" s="848" t="s">
        <v>2</v>
      </c>
      <c r="AI10" s="81"/>
      <c r="AJ10" s="81"/>
      <c r="AK10" s="81"/>
      <c r="AL10" s="81"/>
      <c r="AM10" s="81"/>
      <c r="AN10" s="848"/>
      <c r="AO10" s="848"/>
      <c r="AP10" s="848"/>
      <c r="AQ10" s="848"/>
      <c r="AR10" s="848"/>
      <c r="AS10" s="853"/>
      <c r="AT10" s="853"/>
      <c r="AU10" s="853"/>
      <c r="AV10" s="853"/>
      <c r="AW10" s="853"/>
      <c r="AX10" s="853"/>
      <c r="AY10" s="848"/>
      <c r="AZ10" s="848"/>
      <c r="BA10" s="848"/>
      <c r="BB10" s="848"/>
      <c r="BC10" s="848"/>
      <c r="BD10" s="848"/>
      <c r="BE10" s="848"/>
      <c r="BF10" s="848"/>
      <c r="BG10" s="853"/>
      <c r="BH10" s="853"/>
      <c r="BI10" s="853"/>
      <c r="BJ10" s="853"/>
      <c r="BK10" s="853"/>
    </row>
    <row r="11" spans="1:70" ht="15">
      <c r="A11" s="848"/>
      <c r="B11" s="849"/>
      <c r="C11" s="849"/>
      <c r="D11" s="850"/>
      <c r="E11" s="850" t="s">
        <v>2774</v>
      </c>
      <c r="F11" s="850"/>
      <c r="G11" s="850" t="s">
        <v>149</v>
      </c>
      <c r="H11" s="850"/>
      <c r="I11" s="850"/>
      <c r="J11" s="850"/>
      <c r="K11" s="850"/>
      <c r="L11" s="850"/>
      <c r="M11" s="850"/>
      <c r="N11" s="850"/>
      <c r="O11" s="850"/>
      <c r="P11" s="848"/>
      <c r="Q11" s="850" t="s">
        <v>1093</v>
      </c>
      <c r="R11" s="848"/>
      <c r="S11" s="81"/>
      <c r="T11" s="81"/>
      <c r="U11" s="81"/>
      <c r="V11" s="836" t="s">
        <v>12</v>
      </c>
      <c r="W11" s="836"/>
      <c r="X11" s="836"/>
      <c r="Y11" s="836"/>
      <c r="Z11" s="836" t="s">
        <v>2775</v>
      </c>
      <c r="AA11" s="852"/>
      <c r="AB11" s="848" t="s">
        <v>0</v>
      </c>
      <c r="AC11" s="848"/>
      <c r="AD11" s="848"/>
      <c r="AE11" s="848"/>
      <c r="AF11" s="848"/>
      <c r="AG11" s="848"/>
      <c r="AH11" s="848" t="s">
        <v>2</v>
      </c>
      <c r="AI11" s="81"/>
      <c r="AJ11" s="81"/>
      <c r="AK11" s="81"/>
      <c r="AL11" s="81"/>
      <c r="AM11" s="81"/>
      <c r="AN11" s="848"/>
      <c r="AO11" s="848"/>
      <c r="AP11" s="848"/>
      <c r="AQ11" s="848"/>
      <c r="AR11" s="848"/>
      <c r="AS11" s="853"/>
      <c r="AT11" s="853"/>
      <c r="AU11" s="853"/>
      <c r="AV11" s="853"/>
      <c r="AW11" s="853"/>
      <c r="AX11" s="853"/>
      <c r="AY11" s="848"/>
      <c r="AZ11" s="848"/>
      <c r="BA11" s="848"/>
      <c r="BB11" s="848"/>
      <c r="BC11" s="848"/>
      <c r="BD11" s="848"/>
      <c r="BE11" s="848"/>
      <c r="BF11" s="848"/>
      <c r="BG11" s="853"/>
      <c r="BH11" s="853"/>
      <c r="BI11" s="853"/>
      <c r="BJ11" s="853"/>
      <c r="BK11" s="853"/>
    </row>
    <row r="12" spans="1:70" ht="15">
      <c r="A12" s="848"/>
      <c r="B12" s="849"/>
      <c r="C12" s="849"/>
      <c r="D12" s="850"/>
      <c r="E12" s="850" t="s">
        <v>2774</v>
      </c>
      <c r="F12" s="850"/>
      <c r="G12" s="850" t="s">
        <v>149</v>
      </c>
      <c r="H12" s="850"/>
      <c r="I12" s="850"/>
      <c r="J12" s="850"/>
      <c r="K12" s="850"/>
      <c r="L12" s="850"/>
      <c r="M12" s="850"/>
      <c r="N12" s="850"/>
      <c r="O12" s="850"/>
      <c r="P12" s="848"/>
      <c r="Q12" s="850" t="s">
        <v>1093</v>
      </c>
      <c r="R12" s="848"/>
      <c r="S12" s="81"/>
      <c r="T12" s="81"/>
      <c r="U12" s="81"/>
      <c r="V12" s="836" t="s">
        <v>12</v>
      </c>
      <c r="W12" s="836"/>
      <c r="X12" s="836"/>
      <c r="Y12" s="836"/>
      <c r="Z12" s="836" t="s">
        <v>2775</v>
      </c>
      <c r="AA12" s="852"/>
      <c r="AB12" s="848" t="s">
        <v>0</v>
      </c>
      <c r="AC12" s="848"/>
      <c r="AD12" s="848"/>
      <c r="AE12" s="848"/>
      <c r="AF12" s="848"/>
      <c r="AG12" s="848"/>
      <c r="AH12" s="848" t="s">
        <v>2</v>
      </c>
      <c r="AI12" s="81"/>
      <c r="AJ12" s="81"/>
      <c r="AK12" s="81"/>
      <c r="AL12" s="81"/>
      <c r="AM12" s="81"/>
      <c r="AN12" s="848"/>
      <c r="AO12" s="848"/>
      <c r="AP12" s="848"/>
      <c r="AQ12" s="848"/>
      <c r="AR12" s="848"/>
      <c r="AS12" s="853"/>
      <c r="AT12" s="853"/>
      <c r="AU12" s="853"/>
      <c r="AV12" s="853"/>
      <c r="AW12" s="853"/>
      <c r="AX12" s="853"/>
      <c r="AY12" s="848"/>
      <c r="AZ12" s="848"/>
      <c r="BA12" s="848"/>
      <c r="BB12" s="848"/>
      <c r="BC12" s="848"/>
      <c r="BD12" s="848"/>
      <c r="BE12" s="848"/>
      <c r="BF12" s="848"/>
      <c r="BG12" s="853"/>
      <c r="BH12" s="853"/>
      <c r="BI12" s="853"/>
      <c r="BJ12" s="853"/>
      <c r="BK12" s="853"/>
    </row>
    <row r="13" spans="1:70" ht="15">
      <c r="A13" s="848"/>
      <c r="B13" s="849"/>
      <c r="C13" s="849"/>
      <c r="D13" s="850"/>
      <c r="E13" s="850" t="s">
        <v>2774</v>
      </c>
      <c r="F13" s="850"/>
      <c r="G13" s="850" t="s">
        <v>149</v>
      </c>
      <c r="H13" s="850"/>
      <c r="I13" s="850"/>
      <c r="J13" s="850"/>
      <c r="K13" s="850"/>
      <c r="L13" s="850"/>
      <c r="M13" s="850"/>
      <c r="N13" s="850"/>
      <c r="O13" s="850"/>
      <c r="P13" s="848"/>
      <c r="Q13" s="850" t="s">
        <v>1093</v>
      </c>
      <c r="R13" s="848"/>
      <c r="S13" s="81"/>
      <c r="T13" s="81"/>
      <c r="U13" s="81"/>
      <c r="V13" s="836" t="s">
        <v>12</v>
      </c>
      <c r="W13" s="836"/>
      <c r="X13" s="836"/>
      <c r="Y13" s="836"/>
      <c r="Z13" s="836" t="s">
        <v>2775</v>
      </c>
      <c r="AA13" s="852"/>
      <c r="AB13" s="848" t="s">
        <v>0</v>
      </c>
      <c r="AC13" s="848"/>
      <c r="AD13" s="848"/>
      <c r="AE13" s="848"/>
      <c r="AF13" s="848"/>
      <c r="AG13" s="848"/>
      <c r="AH13" s="848" t="s">
        <v>2</v>
      </c>
      <c r="AI13" s="81"/>
      <c r="AJ13" s="81"/>
      <c r="AK13" s="81"/>
      <c r="AL13" s="81"/>
      <c r="AM13" s="81"/>
      <c r="AN13" s="848"/>
      <c r="AO13" s="848"/>
      <c r="AP13" s="848"/>
      <c r="AQ13" s="848"/>
      <c r="AR13" s="848"/>
      <c r="AS13" s="853"/>
      <c r="AT13" s="853"/>
      <c r="AU13" s="853"/>
      <c r="AV13" s="853"/>
      <c r="AW13" s="853"/>
      <c r="AX13" s="853"/>
      <c r="AY13" s="848"/>
      <c r="AZ13" s="848"/>
      <c r="BA13" s="848"/>
      <c r="BB13" s="848"/>
      <c r="BC13" s="848"/>
      <c r="BD13" s="848"/>
      <c r="BE13" s="848"/>
      <c r="BF13" s="848"/>
      <c r="BG13" s="853"/>
      <c r="BH13" s="853"/>
      <c r="BI13" s="853"/>
      <c r="BJ13" s="853"/>
      <c r="BK13" s="853"/>
    </row>
    <row r="14" spans="1:70" s="845" customFormat="1">
      <c r="B14" s="854"/>
      <c r="C14" s="854"/>
      <c r="D14" s="850"/>
      <c r="E14" s="850" t="s">
        <v>2774</v>
      </c>
      <c r="F14" s="855"/>
      <c r="G14" s="850" t="s">
        <v>149</v>
      </c>
      <c r="H14" s="855"/>
      <c r="I14" s="855"/>
      <c r="J14" s="855"/>
      <c r="K14" s="855"/>
      <c r="L14" s="855"/>
      <c r="M14" s="855"/>
      <c r="N14" s="855"/>
      <c r="O14" s="855"/>
      <c r="P14" s="848"/>
      <c r="Q14" s="850" t="s">
        <v>1093</v>
      </c>
      <c r="R14" s="848"/>
      <c r="S14" s="81"/>
      <c r="T14" s="81"/>
      <c r="U14" s="81"/>
      <c r="V14" s="854" t="s">
        <v>12</v>
      </c>
      <c r="W14" s="854"/>
      <c r="X14" s="854"/>
      <c r="Y14" s="854"/>
      <c r="Z14" s="854" t="s">
        <v>2775</v>
      </c>
      <c r="AA14" s="854"/>
      <c r="AB14" s="854" t="s">
        <v>0</v>
      </c>
      <c r="AC14" s="854"/>
      <c r="AD14" s="854"/>
      <c r="AE14" s="855"/>
      <c r="AF14" s="855"/>
      <c r="AG14" s="855"/>
      <c r="AH14" s="855" t="s">
        <v>2</v>
      </c>
      <c r="AI14" s="81"/>
      <c r="AJ14" s="81"/>
      <c r="AK14" s="81"/>
      <c r="AL14" s="81"/>
      <c r="AM14" s="81"/>
      <c r="AN14" s="855"/>
      <c r="AO14" s="855"/>
      <c r="AP14" s="855"/>
      <c r="AQ14" s="855"/>
      <c r="AR14" s="855"/>
      <c r="AS14" s="855"/>
      <c r="AT14" s="855"/>
      <c r="AU14" s="856"/>
      <c r="AV14" s="856"/>
      <c r="AW14" s="856"/>
      <c r="AY14" s="854"/>
      <c r="AZ14" s="856"/>
      <c r="BA14" s="855"/>
      <c r="BB14" s="855"/>
      <c r="BC14" s="855"/>
      <c r="BD14" s="855"/>
      <c r="BE14" s="855"/>
      <c r="BF14" s="855"/>
      <c r="BG14" s="855"/>
      <c r="BH14" s="855"/>
      <c r="BI14" s="856"/>
      <c r="BJ14" s="856"/>
      <c r="BK14" s="856"/>
      <c r="BL14" s="856"/>
      <c r="BM14" s="856"/>
      <c r="BN14" s="856"/>
      <c r="BO14" s="856"/>
      <c r="BP14" s="856"/>
      <c r="BQ14" s="856"/>
      <c r="BR14" s="855"/>
    </row>
    <row r="15" spans="1:70" s="845" customFormat="1">
      <c r="D15" s="850"/>
      <c r="E15" s="850" t="s">
        <v>2774</v>
      </c>
      <c r="F15" s="855"/>
      <c r="G15" s="850" t="s">
        <v>149</v>
      </c>
      <c r="H15" s="855"/>
      <c r="I15" s="855"/>
      <c r="J15" s="855"/>
      <c r="K15" s="855"/>
      <c r="L15" s="855"/>
      <c r="M15" s="855"/>
      <c r="N15" s="855"/>
      <c r="O15" s="855"/>
      <c r="P15" s="848"/>
      <c r="Q15" s="850" t="s">
        <v>1093</v>
      </c>
      <c r="R15" s="848"/>
      <c r="S15" s="81"/>
      <c r="T15" s="81"/>
      <c r="U15" s="81"/>
      <c r="V15" s="857" t="s">
        <v>12</v>
      </c>
      <c r="W15" s="857"/>
      <c r="X15" s="857"/>
      <c r="Y15" s="857"/>
      <c r="Z15" s="857" t="s">
        <v>2775</v>
      </c>
      <c r="AA15" s="854"/>
      <c r="AB15" s="856" t="s">
        <v>0</v>
      </c>
      <c r="AC15" s="856"/>
      <c r="AD15" s="856"/>
      <c r="AE15" s="855"/>
      <c r="AF15" s="855"/>
      <c r="AG15" s="855"/>
      <c r="AH15" s="855" t="s">
        <v>2</v>
      </c>
      <c r="AI15" s="81"/>
      <c r="AJ15" s="81"/>
      <c r="AK15" s="81"/>
      <c r="AL15" s="81"/>
      <c r="AM15" s="81"/>
      <c r="AN15" s="855"/>
      <c r="AO15" s="855"/>
      <c r="AP15" s="855"/>
      <c r="AQ15" s="855"/>
      <c r="AR15" s="855"/>
      <c r="AS15" s="855"/>
      <c r="AT15" s="855"/>
      <c r="AU15" s="856"/>
      <c r="AV15" s="856"/>
      <c r="AW15" s="856"/>
      <c r="AY15" s="854"/>
      <c r="AZ15" s="856"/>
      <c r="BA15" s="855"/>
      <c r="BB15" s="855"/>
      <c r="BC15" s="855"/>
      <c r="BD15" s="855"/>
      <c r="BE15" s="855"/>
      <c r="BF15" s="855"/>
      <c r="BG15" s="855"/>
      <c r="BH15" s="855"/>
      <c r="BI15" s="856"/>
      <c r="BJ15" s="856"/>
      <c r="BK15" s="856"/>
      <c r="BL15" s="856"/>
      <c r="BM15" s="856"/>
      <c r="BN15" s="856"/>
      <c r="BO15" s="856"/>
      <c r="BP15" s="856"/>
      <c r="BQ15" s="856"/>
      <c r="BR15" s="855"/>
    </row>
    <row r="16" spans="1:70" s="845" customFormat="1">
      <c r="D16" s="850"/>
      <c r="E16" s="850" t="s">
        <v>2774</v>
      </c>
      <c r="F16" s="855"/>
      <c r="G16" s="850" t="s">
        <v>149</v>
      </c>
      <c r="H16" s="855"/>
      <c r="I16" s="855"/>
      <c r="J16" s="855"/>
      <c r="K16" s="855"/>
      <c r="L16" s="855"/>
      <c r="M16" s="855"/>
      <c r="N16" s="855"/>
      <c r="O16" s="855"/>
      <c r="P16" s="848"/>
      <c r="Q16" s="850" t="s">
        <v>1093</v>
      </c>
      <c r="R16" s="848"/>
      <c r="S16" s="81"/>
      <c r="T16" s="81"/>
      <c r="U16" s="81"/>
      <c r="V16" s="857" t="s">
        <v>12</v>
      </c>
      <c r="W16" s="857"/>
      <c r="X16" s="857"/>
      <c r="Y16" s="857"/>
      <c r="Z16" s="857" t="s">
        <v>2775</v>
      </c>
      <c r="AA16" s="854"/>
      <c r="AB16" s="856" t="s">
        <v>0</v>
      </c>
      <c r="AC16" s="856"/>
      <c r="AD16" s="856"/>
      <c r="AE16" s="855"/>
      <c r="AF16" s="855"/>
      <c r="AG16" s="855"/>
      <c r="AH16" s="855" t="s">
        <v>2</v>
      </c>
      <c r="AI16" s="81"/>
      <c r="AJ16" s="81"/>
      <c r="AK16" s="81"/>
      <c r="AL16" s="81"/>
      <c r="AM16" s="81"/>
      <c r="AN16" s="855"/>
      <c r="AO16" s="855"/>
      <c r="AP16" s="855"/>
      <c r="AQ16" s="855"/>
      <c r="AR16" s="855"/>
      <c r="AS16" s="855"/>
      <c r="AT16" s="855"/>
      <c r="AU16" s="856"/>
      <c r="AV16" s="856"/>
      <c r="AW16" s="856"/>
      <c r="AY16" s="854"/>
      <c r="AZ16" s="856"/>
      <c r="BA16" s="855"/>
      <c r="BB16" s="855"/>
      <c r="BC16" s="855"/>
      <c r="BD16" s="855"/>
      <c r="BE16" s="855"/>
      <c r="BF16" s="855"/>
      <c r="BG16" s="855"/>
      <c r="BH16" s="855"/>
      <c r="BI16" s="856"/>
      <c r="BJ16" s="856"/>
      <c r="BK16" s="856"/>
      <c r="BL16" s="856"/>
      <c r="BM16" s="856"/>
      <c r="BN16" s="856"/>
      <c r="BO16" s="856"/>
      <c r="BP16" s="856"/>
      <c r="BQ16" s="856"/>
      <c r="BR16" s="855"/>
    </row>
    <row r="17" spans="1:70" s="845" customFormat="1">
      <c r="D17" s="850"/>
      <c r="E17" s="850" t="s">
        <v>2774</v>
      </c>
      <c r="F17" s="855"/>
      <c r="G17" s="850" t="s">
        <v>149</v>
      </c>
      <c r="H17" s="855"/>
      <c r="I17" s="855"/>
      <c r="J17" s="855"/>
      <c r="K17" s="855"/>
      <c r="L17" s="855"/>
      <c r="M17" s="855"/>
      <c r="N17" s="855"/>
      <c r="O17" s="855"/>
      <c r="P17" s="848"/>
      <c r="Q17" s="850" t="s">
        <v>1093</v>
      </c>
      <c r="R17" s="848"/>
      <c r="S17" s="81"/>
      <c r="T17" s="81"/>
      <c r="U17" s="81"/>
      <c r="V17" s="857" t="s">
        <v>12</v>
      </c>
      <c r="W17" s="857"/>
      <c r="X17" s="857"/>
      <c r="Y17" s="857"/>
      <c r="Z17" s="857" t="s">
        <v>2775</v>
      </c>
      <c r="AA17" s="854"/>
      <c r="AB17" s="856"/>
      <c r="AC17" s="856"/>
      <c r="AD17" s="856"/>
      <c r="AE17" s="855"/>
      <c r="AF17" s="855"/>
      <c r="AG17" s="855"/>
      <c r="AH17" s="855" t="s">
        <v>2</v>
      </c>
      <c r="AI17" s="81"/>
      <c r="AJ17" s="81"/>
      <c r="AK17" s="81"/>
      <c r="AL17" s="81"/>
      <c r="AM17" s="81"/>
      <c r="AN17" s="855"/>
      <c r="AO17" s="855"/>
      <c r="AP17" s="855"/>
      <c r="AQ17" s="855"/>
      <c r="AR17" s="855"/>
      <c r="AS17" s="855"/>
      <c r="AT17" s="855"/>
      <c r="AU17" s="856"/>
      <c r="AV17" s="856"/>
      <c r="AW17" s="856"/>
      <c r="AY17" s="854"/>
      <c r="AZ17" s="856"/>
      <c r="BA17" s="855"/>
      <c r="BB17" s="855"/>
      <c r="BC17" s="855"/>
      <c r="BD17" s="855"/>
      <c r="BE17" s="855"/>
      <c r="BF17" s="855"/>
      <c r="BG17" s="855"/>
      <c r="BH17" s="855"/>
      <c r="BI17" s="856"/>
      <c r="BJ17" s="856"/>
      <c r="BK17" s="856"/>
      <c r="BL17" s="856"/>
      <c r="BM17" s="856"/>
      <c r="BN17" s="856"/>
      <c r="BO17" s="856"/>
      <c r="BP17" s="856"/>
      <c r="BQ17" s="856"/>
      <c r="BR17" s="855"/>
    </row>
    <row r="18" spans="1:70" s="845" customFormat="1">
      <c r="D18" s="850"/>
      <c r="E18" s="850" t="s">
        <v>2774</v>
      </c>
      <c r="F18" s="855"/>
      <c r="G18" s="850" t="s">
        <v>149</v>
      </c>
      <c r="H18" s="855"/>
      <c r="I18" s="855"/>
      <c r="J18" s="855"/>
      <c r="K18" s="855"/>
      <c r="L18" s="855"/>
      <c r="M18" s="855"/>
      <c r="N18" s="855"/>
      <c r="O18" s="855"/>
      <c r="P18" s="848"/>
      <c r="Q18" s="850" t="s">
        <v>1093</v>
      </c>
      <c r="R18" s="848"/>
      <c r="S18" s="81"/>
      <c r="T18" s="81"/>
      <c r="U18" s="81"/>
      <c r="V18" s="857" t="s">
        <v>12</v>
      </c>
      <c r="W18" s="857"/>
      <c r="X18" s="857"/>
      <c r="Y18" s="857"/>
      <c r="Z18" s="857" t="s">
        <v>2775</v>
      </c>
      <c r="AA18" s="854"/>
      <c r="AB18" s="856"/>
      <c r="AC18" s="856"/>
      <c r="AD18" s="856"/>
      <c r="AE18" s="855"/>
      <c r="AF18" s="855"/>
      <c r="AG18" s="855"/>
      <c r="AH18" s="855" t="s">
        <v>2</v>
      </c>
      <c r="AI18" s="81"/>
      <c r="AJ18" s="81"/>
      <c r="AK18" s="81"/>
      <c r="AL18" s="81"/>
      <c r="AM18" s="81"/>
      <c r="AN18" s="855"/>
      <c r="AO18" s="855"/>
      <c r="AP18" s="855"/>
      <c r="AQ18" s="855"/>
      <c r="AR18" s="855"/>
      <c r="AS18" s="855"/>
      <c r="AT18" s="855"/>
      <c r="AU18" s="856"/>
      <c r="AV18" s="856"/>
      <c r="AW18" s="856"/>
      <c r="AY18" s="854"/>
      <c r="AZ18" s="856"/>
      <c r="BA18" s="855"/>
      <c r="BB18" s="855"/>
      <c r="BC18" s="855"/>
      <c r="BD18" s="855"/>
      <c r="BE18" s="855"/>
      <c r="BF18" s="855"/>
      <c r="BG18" s="855"/>
      <c r="BH18" s="855"/>
      <c r="BI18" s="856"/>
      <c r="BJ18" s="856"/>
      <c r="BK18" s="856"/>
      <c r="BL18" s="856"/>
      <c r="BM18" s="856"/>
      <c r="BN18" s="856"/>
      <c r="BO18" s="856"/>
      <c r="BP18" s="856"/>
      <c r="BQ18" s="856"/>
      <c r="BR18" s="855"/>
    </row>
    <row r="19" spans="1:70" s="845" customFormat="1">
      <c r="D19" s="850"/>
      <c r="E19" s="850" t="s">
        <v>2774</v>
      </c>
      <c r="F19" s="855"/>
      <c r="G19" s="850" t="s">
        <v>149</v>
      </c>
      <c r="H19" s="855"/>
      <c r="I19" s="855"/>
      <c r="J19" s="855"/>
      <c r="K19" s="855"/>
      <c r="L19" s="855"/>
      <c r="M19" s="855"/>
      <c r="N19" s="855"/>
      <c r="O19" s="855"/>
      <c r="P19" s="848"/>
      <c r="Q19" s="850" t="s">
        <v>1093</v>
      </c>
      <c r="R19" s="848"/>
      <c r="S19" s="81"/>
      <c r="T19" s="81"/>
      <c r="U19" s="81"/>
      <c r="V19" s="857" t="s">
        <v>12</v>
      </c>
      <c r="W19" s="857"/>
      <c r="X19" s="857"/>
      <c r="Y19" s="857"/>
      <c r="Z19" s="857" t="s">
        <v>2775</v>
      </c>
      <c r="AA19" s="854"/>
      <c r="AB19" s="856"/>
      <c r="AC19" s="856"/>
      <c r="AD19" s="856"/>
      <c r="AE19" s="855"/>
      <c r="AF19" s="855"/>
      <c r="AG19" s="855"/>
      <c r="AH19" s="855" t="s">
        <v>2</v>
      </c>
      <c r="AI19" s="81"/>
      <c r="AJ19" s="81"/>
      <c r="AK19" s="81"/>
      <c r="AL19" s="81"/>
      <c r="AM19" s="81"/>
      <c r="AN19" s="855"/>
      <c r="AO19" s="855"/>
      <c r="AP19" s="855"/>
      <c r="AQ19" s="855"/>
      <c r="AR19" s="855"/>
      <c r="AS19" s="855"/>
      <c r="AT19" s="855"/>
      <c r="AU19" s="856"/>
      <c r="AV19" s="856"/>
      <c r="AW19" s="856"/>
      <c r="AY19" s="854"/>
      <c r="AZ19" s="856"/>
      <c r="BA19" s="855"/>
      <c r="BB19" s="855"/>
      <c r="BC19" s="855"/>
      <c r="BD19" s="855"/>
      <c r="BE19" s="855"/>
      <c r="BF19" s="855"/>
      <c r="BG19" s="855"/>
      <c r="BH19" s="855"/>
      <c r="BI19" s="856"/>
      <c r="BJ19" s="856"/>
      <c r="BK19" s="856"/>
      <c r="BL19" s="856"/>
      <c r="BM19" s="856"/>
      <c r="BN19" s="856"/>
      <c r="BO19" s="856"/>
      <c r="BP19" s="856"/>
      <c r="BQ19" s="856"/>
      <c r="BR19" s="855"/>
    </row>
    <row r="20" spans="1:70" s="845" customFormat="1">
      <c r="P20" s="848"/>
      <c r="Q20" s="852"/>
      <c r="R20" s="848"/>
      <c r="S20" s="848"/>
      <c r="T20" s="848"/>
      <c r="U20" s="848"/>
      <c r="V20" s="859"/>
      <c r="W20" s="859"/>
      <c r="X20" s="859"/>
      <c r="Y20" s="859"/>
      <c r="Z20" s="859"/>
      <c r="AA20" s="854"/>
      <c r="AB20" s="856"/>
      <c r="AC20" s="856"/>
      <c r="AD20" s="856"/>
      <c r="AE20" s="855"/>
      <c r="AF20" s="855"/>
      <c r="AG20" s="855"/>
      <c r="AH20" s="855"/>
      <c r="AK20" s="854"/>
      <c r="AL20" s="856"/>
      <c r="AM20" s="855"/>
      <c r="AN20" s="855"/>
      <c r="AO20" s="855"/>
      <c r="AP20" s="855"/>
      <c r="AQ20" s="855"/>
      <c r="AR20" s="855"/>
      <c r="AS20" s="855"/>
      <c r="AT20" s="855"/>
      <c r="AU20" s="856"/>
      <c r="AV20" s="856"/>
      <c r="AW20" s="856"/>
      <c r="AY20" s="854"/>
      <c r="AZ20" s="856"/>
      <c r="BA20" s="855"/>
      <c r="BB20" s="855"/>
      <c r="BC20" s="855"/>
      <c r="BD20" s="855"/>
      <c r="BE20" s="855"/>
      <c r="BF20" s="855"/>
      <c r="BG20" s="855"/>
      <c r="BH20" s="855"/>
      <c r="BI20" s="856"/>
      <c r="BJ20" s="856"/>
      <c r="BK20" s="856"/>
      <c r="BL20" s="856"/>
      <c r="BM20" s="856"/>
      <c r="BN20" s="856"/>
      <c r="BO20" s="856"/>
      <c r="BP20" s="856"/>
      <c r="BQ20" s="856"/>
      <c r="BR20" s="855"/>
    </row>
    <row r="21" spans="1:70" s="1" customFormat="1" ht="13.9">
      <c r="B21" s="866" t="s">
        <v>1791</v>
      </c>
    </row>
    <row r="23" spans="1:70" ht="15">
      <c r="A23" s="848"/>
      <c r="B23" s="849"/>
      <c r="C23" s="849"/>
      <c r="D23" s="850"/>
      <c r="E23" s="850" t="s">
        <v>2774</v>
      </c>
      <c r="F23" s="850"/>
      <c r="G23" s="850" t="s">
        <v>149</v>
      </c>
      <c r="H23" s="850"/>
      <c r="I23" s="850"/>
      <c r="J23" s="850"/>
      <c r="K23" s="850"/>
      <c r="L23" s="850"/>
      <c r="M23" s="850"/>
      <c r="N23" s="850"/>
      <c r="O23" s="850"/>
      <c r="P23" s="848"/>
      <c r="Q23" s="850" t="s">
        <v>1093</v>
      </c>
      <c r="R23" s="848"/>
      <c r="S23" s="81"/>
      <c r="T23" s="81"/>
      <c r="U23" s="81"/>
      <c r="V23" s="836" t="s">
        <v>12</v>
      </c>
      <c r="W23" s="836"/>
      <c r="X23" s="836"/>
      <c r="Y23" s="836"/>
      <c r="Z23" s="836" t="s">
        <v>2775</v>
      </c>
      <c r="AA23" s="852"/>
      <c r="AB23" s="848" t="s">
        <v>0</v>
      </c>
      <c r="AC23" s="848"/>
      <c r="AD23" s="848"/>
      <c r="AE23" s="848"/>
      <c r="AF23" s="848"/>
      <c r="AG23" s="848"/>
      <c r="AH23" s="848" t="s">
        <v>2</v>
      </c>
      <c r="AI23" s="81"/>
      <c r="AJ23" s="81"/>
      <c r="AK23" s="81"/>
      <c r="AL23" s="81"/>
      <c r="AM23" s="81"/>
      <c r="AN23" s="848"/>
      <c r="AO23" s="848"/>
      <c r="AP23" s="848"/>
      <c r="AQ23" s="848"/>
      <c r="AR23" s="848"/>
      <c r="AS23" s="853"/>
      <c r="AT23" s="853"/>
      <c r="AU23" s="853"/>
      <c r="AV23" s="853"/>
      <c r="AW23" s="853"/>
      <c r="AX23" s="853"/>
      <c r="AY23" s="848"/>
      <c r="AZ23" s="848"/>
      <c r="BA23" s="848"/>
      <c r="BB23" s="848"/>
      <c r="BC23" s="848"/>
      <c r="BD23" s="848"/>
      <c r="BE23" s="848"/>
      <c r="BF23" s="848"/>
      <c r="BG23" s="853"/>
      <c r="BH23" s="853"/>
      <c r="BI23" s="853"/>
      <c r="BJ23" s="853"/>
      <c r="BK23" s="853"/>
    </row>
    <row r="24" spans="1:70" ht="15">
      <c r="A24" s="848"/>
      <c r="B24" s="849"/>
      <c r="C24" s="849"/>
      <c r="D24" s="850"/>
      <c r="E24" s="850" t="s">
        <v>2774</v>
      </c>
      <c r="F24" s="850"/>
      <c r="G24" s="850" t="s">
        <v>149</v>
      </c>
      <c r="H24" s="850"/>
      <c r="I24" s="850"/>
      <c r="J24" s="850"/>
      <c r="K24" s="850"/>
      <c r="L24" s="850"/>
      <c r="M24" s="850"/>
      <c r="N24" s="850"/>
      <c r="O24" s="850"/>
      <c r="P24" s="848"/>
      <c r="Q24" s="850" t="s">
        <v>1093</v>
      </c>
      <c r="R24" s="848"/>
      <c r="S24" s="81"/>
      <c r="T24" s="81"/>
      <c r="U24" s="81"/>
      <c r="V24" s="836" t="s">
        <v>12</v>
      </c>
      <c r="W24" s="836"/>
      <c r="X24" s="836"/>
      <c r="Y24" s="836"/>
      <c r="Z24" s="836" t="s">
        <v>2775</v>
      </c>
      <c r="AA24" s="852"/>
      <c r="AB24" s="848" t="s">
        <v>0</v>
      </c>
      <c r="AC24" s="848"/>
      <c r="AD24" s="848"/>
      <c r="AE24" s="848"/>
      <c r="AF24" s="848"/>
      <c r="AG24" s="848"/>
      <c r="AH24" s="848" t="s">
        <v>2</v>
      </c>
      <c r="AI24" s="81"/>
      <c r="AJ24" s="81"/>
      <c r="AK24" s="81"/>
      <c r="AL24" s="81"/>
      <c r="AM24" s="81"/>
      <c r="AN24" s="848"/>
      <c r="AO24" s="848"/>
      <c r="AP24" s="848"/>
      <c r="AQ24" s="848"/>
      <c r="AR24" s="848"/>
      <c r="AS24" s="853"/>
      <c r="AT24" s="853"/>
      <c r="AU24" s="853"/>
      <c r="AV24" s="853"/>
      <c r="AW24" s="853"/>
      <c r="AX24" s="853"/>
      <c r="AY24" s="848"/>
      <c r="AZ24" s="848"/>
      <c r="BA24" s="848"/>
      <c r="BB24" s="848"/>
      <c r="BC24" s="848"/>
      <c r="BD24" s="848"/>
      <c r="BE24" s="848"/>
      <c r="BF24" s="848"/>
      <c r="BG24" s="853"/>
      <c r="BH24" s="853"/>
      <c r="BI24" s="853"/>
      <c r="BJ24" s="853"/>
      <c r="BK24" s="853"/>
    </row>
    <row r="25" spans="1:70" ht="15">
      <c r="A25" s="848"/>
      <c r="B25" s="849"/>
      <c r="C25" s="849"/>
      <c r="D25" s="850"/>
      <c r="E25" s="850" t="s">
        <v>2774</v>
      </c>
      <c r="F25" s="850"/>
      <c r="G25" s="850" t="s">
        <v>149</v>
      </c>
      <c r="H25" s="850"/>
      <c r="I25" s="850"/>
      <c r="J25" s="850"/>
      <c r="K25" s="850"/>
      <c r="L25" s="850"/>
      <c r="M25" s="850"/>
      <c r="N25" s="850"/>
      <c r="O25" s="850"/>
      <c r="P25" s="848"/>
      <c r="Q25" s="850" t="s">
        <v>1093</v>
      </c>
      <c r="R25" s="848"/>
      <c r="S25" s="81"/>
      <c r="T25" s="81"/>
      <c r="U25" s="81"/>
      <c r="V25" s="836" t="s">
        <v>12</v>
      </c>
      <c r="W25" s="836"/>
      <c r="X25" s="836"/>
      <c r="Y25" s="836"/>
      <c r="Z25" s="836" t="s">
        <v>2775</v>
      </c>
      <c r="AA25" s="852"/>
      <c r="AB25" s="848" t="s">
        <v>0</v>
      </c>
      <c r="AC25" s="848"/>
      <c r="AD25" s="848"/>
      <c r="AE25" s="848"/>
      <c r="AF25" s="848"/>
      <c r="AG25" s="848"/>
      <c r="AH25" s="848" t="s">
        <v>2</v>
      </c>
      <c r="AI25" s="81"/>
      <c r="AJ25" s="81"/>
      <c r="AK25" s="81"/>
      <c r="AL25" s="81"/>
      <c r="AM25" s="81"/>
      <c r="AN25" s="848"/>
      <c r="AO25" s="848"/>
      <c r="AP25" s="848"/>
      <c r="AQ25" s="848"/>
      <c r="AR25" s="848"/>
      <c r="AS25" s="853"/>
      <c r="AT25" s="853"/>
      <c r="AU25" s="853"/>
      <c r="AV25" s="853"/>
      <c r="AW25" s="853"/>
      <c r="AX25" s="853"/>
      <c r="AY25" s="848"/>
      <c r="AZ25" s="848"/>
      <c r="BA25" s="848"/>
      <c r="BB25" s="848"/>
      <c r="BC25" s="848"/>
      <c r="BD25" s="848"/>
      <c r="BE25" s="848"/>
      <c r="BF25" s="848"/>
      <c r="BG25" s="853"/>
      <c r="BH25" s="853"/>
      <c r="BI25" s="853"/>
      <c r="BJ25" s="853"/>
      <c r="BK25" s="853"/>
    </row>
    <row r="26" spans="1:70" ht="15">
      <c r="A26" s="848"/>
      <c r="B26" s="849"/>
      <c r="C26" s="849"/>
      <c r="D26" s="850"/>
      <c r="E26" s="850" t="s">
        <v>2774</v>
      </c>
      <c r="F26" s="850"/>
      <c r="G26" s="850" t="s">
        <v>149</v>
      </c>
      <c r="H26" s="850"/>
      <c r="I26" s="850"/>
      <c r="J26" s="850"/>
      <c r="K26" s="850"/>
      <c r="L26" s="850"/>
      <c r="M26" s="850"/>
      <c r="N26" s="850"/>
      <c r="O26" s="850"/>
      <c r="P26" s="848"/>
      <c r="Q26" s="850" t="s">
        <v>1093</v>
      </c>
      <c r="R26" s="848"/>
      <c r="S26" s="81"/>
      <c r="T26" s="81"/>
      <c r="U26" s="81"/>
      <c r="V26" s="836" t="s">
        <v>12</v>
      </c>
      <c r="W26" s="836"/>
      <c r="X26" s="836"/>
      <c r="Y26" s="836"/>
      <c r="Z26" s="836" t="s">
        <v>2775</v>
      </c>
      <c r="AA26" s="852"/>
      <c r="AB26" s="848" t="s">
        <v>0</v>
      </c>
      <c r="AC26" s="848"/>
      <c r="AD26" s="848"/>
      <c r="AE26" s="848"/>
      <c r="AF26" s="848"/>
      <c r="AG26" s="848"/>
      <c r="AH26" s="848" t="s">
        <v>2</v>
      </c>
      <c r="AI26" s="81"/>
      <c r="AJ26" s="81"/>
      <c r="AK26" s="81"/>
      <c r="AL26" s="81"/>
      <c r="AM26" s="81"/>
      <c r="AN26" s="848"/>
      <c r="AO26" s="848"/>
      <c r="AP26" s="848"/>
      <c r="AQ26" s="848"/>
      <c r="AR26" s="848"/>
      <c r="AS26" s="853"/>
      <c r="AT26" s="853"/>
      <c r="AU26" s="853"/>
      <c r="AV26" s="853"/>
      <c r="AW26" s="853"/>
      <c r="AX26" s="853"/>
      <c r="AY26" s="848"/>
      <c r="AZ26" s="848"/>
      <c r="BA26" s="848"/>
      <c r="BB26" s="848"/>
      <c r="BC26" s="848"/>
      <c r="BD26" s="848"/>
      <c r="BE26" s="848"/>
      <c r="BF26" s="848"/>
      <c r="BG26" s="853"/>
      <c r="BH26" s="853"/>
      <c r="BI26" s="853"/>
      <c r="BJ26" s="853"/>
      <c r="BK26" s="853"/>
    </row>
    <row r="27" spans="1:70" s="845" customFormat="1">
      <c r="B27" s="854"/>
      <c r="C27" s="854"/>
      <c r="D27" s="850"/>
      <c r="E27" s="850" t="s">
        <v>2774</v>
      </c>
      <c r="F27" s="850"/>
      <c r="G27" s="850" t="s">
        <v>149</v>
      </c>
      <c r="H27" s="855"/>
      <c r="I27" s="855"/>
      <c r="J27" s="855"/>
      <c r="K27" s="855"/>
      <c r="L27" s="855"/>
      <c r="M27" s="855"/>
      <c r="N27" s="855"/>
      <c r="O27" s="855"/>
      <c r="P27" s="848"/>
      <c r="Q27" s="850" t="s">
        <v>1093</v>
      </c>
      <c r="R27" s="848"/>
      <c r="S27" s="81"/>
      <c r="T27" s="81"/>
      <c r="U27" s="81"/>
      <c r="V27" s="854" t="s">
        <v>12</v>
      </c>
      <c r="W27" s="854"/>
      <c r="X27" s="854"/>
      <c r="Y27" s="854"/>
      <c r="Z27" s="854" t="s">
        <v>2775</v>
      </c>
      <c r="AA27" s="854"/>
      <c r="AB27" s="854" t="s">
        <v>0</v>
      </c>
      <c r="AC27" s="854"/>
      <c r="AD27" s="854"/>
      <c r="AE27" s="855"/>
      <c r="AF27" s="855"/>
      <c r="AG27" s="855"/>
      <c r="AH27" s="855" t="s">
        <v>2</v>
      </c>
      <c r="AI27" s="81"/>
      <c r="AJ27" s="81"/>
      <c r="AK27" s="81"/>
      <c r="AL27" s="81"/>
      <c r="AM27" s="81"/>
      <c r="AN27" s="855"/>
      <c r="AO27" s="855"/>
      <c r="AP27" s="855"/>
      <c r="AQ27" s="855"/>
      <c r="AR27" s="855"/>
      <c r="AS27" s="855"/>
      <c r="AT27" s="855"/>
      <c r="AU27" s="856"/>
      <c r="AV27" s="856"/>
      <c r="AW27" s="856"/>
      <c r="AY27" s="854"/>
      <c r="AZ27" s="856"/>
      <c r="BA27" s="855"/>
      <c r="BB27" s="855"/>
      <c r="BC27" s="855"/>
      <c r="BD27" s="855"/>
      <c r="BE27" s="855"/>
      <c r="BF27" s="855"/>
      <c r="BG27" s="855"/>
      <c r="BH27" s="855"/>
      <c r="BI27" s="856"/>
      <c r="BJ27" s="856"/>
      <c r="BK27" s="856"/>
      <c r="BL27" s="856"/>
      <c r="BM27" s="856"/>
      <c r="BN27" s="856"/>
      <c r="BO27" s="856"/>
      <c r="BP27" s="856"/>
      <c r="BQ27" s="856"/>
      <c r="BR27" s="855"/>
    </row>
    <row r="28" spans="1:70" s="845" customFormat="1">
      <c r="D28" s="850"/>
      <c r="E28" s="850" t="s">
        <v>2774</v>
      </c>
      <c r="F28" s="850"/>
      <c r="G28" s="850" t="s">
        <v>149</v>
      </c>
      <c r="H28" s="855"/>
      <c r="I28" s="855"/>
      <c r="J28" s="855"/>
      <c r="K28" s="855"/>
      <c r="L28" s="855"/>
      <c r="M28" s="855"/>
      <c r="N28" s="855"/>
      <c r="O28" s="855"/>
      <c r="P28" s="848"/>
      <c r="Q28" s="850" t="s">
        <v>1093</v>
      </c>
      <c r="R28" s="848"/>
      <c r="S28" s="81"/>
      <c r="T28" s="81"/>
      <c r="U28" s="81"/>
      <c r="V28" s="857" t="s">
        <v>12</v>
      </c>
      <c r="W28" s="857"/>
      <c r="X28" s="857"/>
      <c r="Y28" s="857"/>
      <c r="Z28" s="857" t="s">
        <v>2775</v>
      </c>
      <c r="AA28" s="854"/>
      <c r="AB28" s="856" t="s">
        <v>0</v>
      </c>
      <c r="AC28" s="856"/>
      <c r="AD28" s="856"/>
      <c r="AE28" s="855"/>
      <c r="AF28" s="855"/>
      <c r="AG28" s="855"/>
      <c r="AH28" s="855" t="s">
        <v>2</v>
      </c>
      <c r="AI28" s="81"/>
      <c r="AJ28" s="81"/>
      <c r="AK28" s="81"/>
      <c r="AL28" s="81"/>
      <c r="AM28" s="81"/>
      <c r="AN28" s="855"/>
      <c r="AO28" s="855"/>
      <c r="AP28" s="855"/>
      <c r="AQ28" s="855"/>
      <c r="AR28" s="855"/>
      <c r="AS28" s="855"/>
      <c r="AT28" s="855"/>
      <c r="AU28" s="856"/>
      <c r="AV28" s="856"/>
      <c r="AW28" s="856"/>
      <c r="AY28" s="854"/>
      <c r="AZ28" s="856"/>
      <c r="BA28" s="855"/>
      <c r="BB28" s="855"/>
      <c r="BC28" s="855"/>
      <c r="BD28" s="855"/>
      <c r="BE28" s="855"/>
      <c r="BF28" s="855"/>
      <c r="BG28" s="855"/>
      <c r="BH28" s="855"/>
      <c r="BI28" s="856"/>
      <c r="BJ28" s="856"/>
      <c r="BK28" s="856"/>
      <c r="BL28" s="856"/>
      <c r="BM28" s="856"/>
      <c r="BN28" s="856"/>
      <c r="BO28" s="856"/>
      <c r="BP28" s="856"/>
      <c r="BQ28" s="856"/>
      <c r="BR28" s="855"/>
    </row>
    <row r="29" spans="1:70" s="845" customFormat="1">
      <c r="D29" s="850"/>
      <c r="E29" s="850" t="s">
        <v>2774</v>
      </c>
      <c r="F29" s="850"/>
      <c r="G29" s="850" t="s">
        <v>149</v>
      </c>
      <c r="H29" s="855"/>
      <c r="I29" s="855"/>
      <c r="J29" s="855"/>
      <c r="K29" s="855"/>
      <c r="L29" s="855"/>
      <c r="M29" s="855"/>
      <c r="N29" s="855"/>
      <c r="O29" s="855"/>
      <c r="P29" s="848"/>
      <c r="Q29" s="850" t="s">
        <v>1093</v>
      </c>
      <c r="R29" s="848"/>
      <c r="S29" s="81"/>
      <c r="T29" s="81"/>
      <c r="U29" s="81"/>
      <c r="V29" s="857" t="s">
        <v>12</v>
      </c>
      <c r="W29" s="857"/>
      <c r="X29" s="857"/>
      <c r="Y29" s="857"/>
      <c r="Z29" s="857" t="s">
        <v>2775</v>
      </c>
      <c r="AA29" s="854"/>
      <c r="AB29" s="856" t="s">
        <v>0</v>
      </c>
      <c r="AC29" s="856"/>
      <c r="AD29" s="856"/>
      <c r="AE29" s="855"/>
      <c r="AF29" s="855"/>
      <c r="AG29" s="855"/>
      <c r="AH29" s="855" t="s">
        <v>2</v>
      </c>
      <c r="AI29" s="81"/>
      <c r="AJ29" s="81"/>
      <c r="AK29" s="81"/>
      <c r="AL29" s="81"/>
      <c r="AM29" s="81"/>
      <c r="AN29" s="855"/>
      <c r="AO29" s="855"/>
      <c r="AP29" s="855"/>
      <c r="AQ29" s="855"/>
      <c r="AR29" s="855"/>
      <c r="AS29" s="855"/>
      <c r="AT29" s="855"/>
      <c r="AU29" s="856"/>
      <c r="AV29" s="856"/>
      <c r="AW29" s="856"/>
      <c r="AY29" s="854"/>
      <c r="AZ29" s="856"/>
      <c r="BA29" s="855"/>
      <c r="BB29" s="855"/>
      <c r="BC29" s="855"/>
      <c r="BD29" s="855"/>
      <c r="BE29" s="855"/>
      <c r="BF29" s="855"/>
      <c r="BG29" s="855"/>
      <c r="BH29" s="855"/>
      <c r="BI29" s="856"/>
      <c r="BJ29" s="856"/>
      <c r="BK29" s="856"/>
      <c r="BL29" s="856"/>
      <c r="BM29" s="856"/>
      <c r="BN29" s="856"/>
      <c r="BO29" s="856"/>
      <c r="BP29" s="856"/>
      <c r="BQ29" s="856"/>
      <c r="BR29" s="855"/>
    </row>
    <row r="30" spans="1:70" s="845" customFormat="1">
      <c r="D30" s="850"/>
      <c r="E30" s="850" t="s">
        <v>2774</v>
      </c>
      <c r="F30" s="850"/>
      <c r="G30" s="850" t="s">
        <v>149</v>
      </c>
      <c r="H30" s="855"/>
      <c r="I30" s="855"/>
      <c r="J30" s="855"/>
      <c r="K30" s="855"/>
      <c r="L30" s="855"/>
      <c r="M30" s="855"/>
      <c r="N30" s="855"/>
      <c r="O30" s="855"/>
      <c r="P30" s="848"/>
      <c r="Q30" s="850" t="s">
        <v>1093</v>
      </c>
      <c r="R30" s="848"/>
      <c r="S30" s="81"/>
      <c r="T30" s="81"/>
      <c r="U30" s="81"/>
      <c r="V30" s="857" t="s">
        <v>12</v>
      </c>
      <c r="W30" s="857"/>
      <c r="X30" s="857"/>
      <c r="Y30" s="857"/>
      <c r="Z30" s="857" t="s">
        <v>2775</v>
      </c>
      <c r="AA30" s="854"/>
      <c r="AB30" s="856"/>
      <c r="AC30" s="856"/>
      <c r="AD30" s="856"/>
      <c r="AE30" s="855"/>
      <c r="AF30" s="855"/>
      <c r="AG30" s="855"/>
      <c r="AH30" s="855" t="s">
        <v>2</v>
      </c>
      <c r="AI30" s="81"/>
      <c r="AJ30" s="81"/>
      <c r="AK30" s="81"/>
      <c r="AL30" s="81"/>
      <c r="AM30" s="81"/>
      <c r="AN30" s="855"/>
      <c r="AO30" s="855"/>
      <c r="AP30" s="855"/>
      <c r="AQ30" s="855"/>
      <c r="AR30" s="855"/>
      <c r="AS30" s="855"/>
      <c r="AT30" s="855"/>
      <c r="AU30" s="856"/>
      <c r="AV30" s="856"/>
      <c r="AW30" s="856"/>
      <c r="AY30" s="854"/>
      <c r="AZ30" s="856"/>
      <c r="BA30" s="855"/>
      <c r="BB30" s="855"/>
      <c r="BC30" s="855"/>
      <c r="BD30" s="855"/>
      <c r="BE30" s="855"/>
      <c r="BF30" s="855"/>
      <c r="BG30" s="855"/>
      <c r="BH30" s="855"/>
      <c r="BI30" s="856"/>
      <c r="BJ30" s="856"/>
      <c r="BK30" s="856"/>
      <c r="BL30" s="856"/>
      <c r="BM30" s="856"/>
      <c r="BN30" s="856"/>
      <c r="BO30" s="856"/>
      <c r="BP30" s="856"/>
      <c r="BQ30" s="856"/>
      <c r="BR30" s="855"/>
    </row>
    <row r="31" spans="1:70" s="845" customFormat="1">
      <c r="D31" s="850"/>
      <c r="E31" s="850" t="s">
        <v>2774</v>
      </c>
      <c r="F31" s="850"/>
      <c r="G31" s="850" t="s">
        <v>149</v>
      </c>
      <c r="H31" s="855"/>
      <c r="I31" s="855"/>
      <c r="J31" s="855"/>
      <c r="K31" s="855"/>
      <c r="L31" s="855"/>
      <c r="M31" s="855"/>
      <c r="N31" s="855"/>
      <c r="O31" s="855"/>
      <c r="P31" s="848"/>
      <c r="Q31" s="850" t="s">
        <v>1093</v>
      </c>
      <c r="R31" s="848"/>
      <c r="S31" s="81"/>
      <c r="T31" s="81"/>
      <c r="U31" s="81"/>
      <c r="V31" s="857" t="s">
        <v>12</v>
      </c>
      <c r="W31" s="857"/>
      <c r="X31" s="857"/>
      <c r="Y31" s="857"/>
      <c r="Z31" s="857" t="s">
        <v>2775</v>
      </c>
      <c r="AA31" s="854"/>
      <c r="AB31" s="856"/>
      <c r="AC31" s="856"/>
      <c r="AD31" s="856"/>
      <c r="AE31" s="855"/>
      <c r="AF31" s="855"/>
      <c r="AG31" s="855"/>
      <c r="AH31" s="855" t="s">
        <v>2</v>
      </c>
      <c r="AI31" s="81"/>
      <c r="AJ31" s="81"/>
      <c r="AK31" s="81"/>
      <c r="AL31" s="81"/>
      <c r="AM31" s="81"/>
      <c r="AN31" s="855"/>
      <c r="AO31" s="855"/>
      <c r="AP31" s="855"/>
      <c r="AQ31" s="855"/>
      <c r="AR31" s="855"/>
      <c r="AS31" s="855"/>
      <c r="AT31" s="855"/>
      <c r="AU31" s="856"/>
      <c r="AV31" s="856"/>
      <c r="AW31" s="856"/>
      <c r="AY31" s="854"/>
      <c r="AZ31" s="856"/>
      <c r="BA31" s="855"/>
      <c r="BB31" s="855"/>
      <c r="BC31" s="855"/>
      <c r="BD31" s="855"/>
      <c r="BE31" s="855"/>
      <c r="BF31" s="855"/>
      <c r="BG31" s="855"/>
      <c r="BH31" s="855"/>
      <c r="BI31" s="856"/>
      <c r="BJ31" s="856"/>
      <c r="BK31" s="856"/>
      <c r="BL31" s="856"/>
      <c r="BM31" s="856"/>
      <c r="BN31" s="856"/>
      <c r="BO31" s="856"/>
      <c r="BP31" s="856"/>
      <c r="BQ31" s="856"/>
      <c r="BR31" s="855"/>
    </row>
    <row r="32" spans="1:70" s="845" customFormat="1">
      <c r="D32" s="850"/>
      <c r="E32" s="850" t="s">
        <v>2774</v>
      </c>
      <c r="F32" s="850"/>
      <c r="G32" s="850" t="s">
        <v>149</v>
      </c>
      <c r="H32" s="855"/>
      <c r="I32" s="855"/>
      <c r="J32" s="855"/>
      <c r="K32" s="855"/>
      <c r="L32" s="855"/>
      <c r="M32" s="855"/>
      <c r="N32" s="855"/>
      <c r="O32" s="855"/>
      <c r="P32" s="848"/>
      <c r="Q32" s="850" t="s">
        <v>1093</v>
      </c>
      <c r="R32" s="848"/>
      <c r="S32" s="81"/>
      <c r="T32" s="81"/>
      <c r="U32" s="81"/>
      <c r="V32" s="857" t="s">
        <v>12</v>
      </c>
      <c r="W32" s="857"/>
      <c r="X32" s="857"/>
      <c r="Y32" s="857"/>
      <c r="Z32" s="857" t="s">
        <v>2775</v>
      </c>
      <c r="AA32" s="854"/>
      <c r="AB32" s="856"/>
      <c r="AC32" s="856"/>
      <c r="AD32" s="856"/>
      <c r="AE32" s="855"/>
      <c r="AF32" s="855"/>
      <c r="AG32" s="855"/>
      <c r="AH32" s="855" t="s">
        <v>2</v>
      </c>
      <c r="AI32" s="81"/>
      <c r="AJ32" s="81"/>
      <c r="AK32" s="81"/>
      <c r="AL32" s="81"/>
      <c r="AM32" s="81"/>
      <c r="AN32" s="855"/>
      <c r="AO32" s="855"/>
      <c r="AP32" s="855"/>
      <c r="AQ32" s="855"/>
      <c r="AR32" s="855"/>
      <c r="AS32" s="855"/>
      <c r="AT32" s="855"/>
      <c r="AU32" s="856"/>
      <c r="AV32" s="856"/>
      <c r="AW32" s="856"/>
      <c r="AY32" s="854"/>
      <c r="AZ32" s="856"/>
      <c r="BA32" s="855"/>
      <c r="BB32" s="855"/>
      <c r="BC32" s="855"/>
      <c r="BD32" s="855"/>
      <c r="BE32" s="855"/>
      <c r="BF32" s="855"/>
      <c r="BG32" s="855"/>
      <c r="BH32" s="855"/>
      <c r="BI32" s="856"/>
      <c r="BJ32" s="856"/>
      <c r="BK32" s="856"/>
      <c r="BL32" s="856"/>
      <c r="BM32" s="856"/>
      <c r="BN32" s="856"/>
      <c r="BO32" s="856"/>
      <c r="BP32" s="856"/>
      <c r="BQ32" s="856"/>
      <c r="BR32" s="855"/>
    </row>
    <row r="34" spans="1:70" s="1" customFormat="1" ht="13.9">
      <c r="B34" s="878" t="s">
        <v>2806</v>
      </c>
    </row>
    <row r="36" spans="1:70" ht="15">
      <c r="A36" s="848"/>
      <c r="B36" s="849"/>
      <c r="C36" s="849"/>
      <c r="D36" s="850"/>
      <c r="E36" s="850" t="s">
        <v>2774</v>
      </c>
      <c r="F36" s="850"/>
      <c r="G36" s="850" t="s">
        <v>149</v>
      </c>
      <c r="H36" s="850"/>
      <c r="I36" s="850"/>
      <c r="J36" s="850"/>
      <c r="K36" s="850"/>
      <c r="L36" s="850"/>
      <c r="M36" s="850"/>
      <c r="N36" s="850"/>
      <c r="O36" s="850"/>
      <c r="P36" s="848"/>
      <c r="Q36" s="850" t="s">
        <v>1093</v>
      </c>
      <c r="R36" s="848"/>
      <c r="S36" s="81"/>
      <c r="T36" s="81"/>
      <c r="U36" s="81"/>
      <c r="V36" s="836" t="s">
        <v>12</v>
      </c>
      <c r="W36" s="836"/>
      <c r="X36" s="836"/>
      <c r="Y36" s="836"/>
      <c r="Z36" s="836" t="s">
        <v>2775</v>
      </c>
      <c r="AA36" s="852"/>
      <c r="AB36" s="848" t="s">
        <v>0</v>
      </c>
      <c r="AC36" s="848"/>
      <c r="AD36" s="848"/>
      <c r="AE36" s="848"/>
      <c r="AF36" s="848"/>
      <c r="AG36" s="848"/>
      <c r="AH36" s="848" t="s">
        <v>2</v>
      </c>
      <c r="AI36" s="81"/>
      <c r="AJ36" s="81"/>
      <c r="AK36" s="81"/>
      <c r="AL36" s="81"/>
      <c r="AM36" s="81"/>
      <c r="AN36" s="848"/>
      <c r="AO36" s="848"/>
      <c r="AP36" s="848"/>
      <c r="AQ36" s="848"/>
      <c r="AR36" s="848"/>
      <c r="AS36" s="853"/>
      <c r="AT36" s="853"/>
      <c r="AU36" s="853"/>
      <c r="AV36" s="853"/>
      <c r="AW36" s="853"/>
      <c r="AX36" s="853"/>
      <c r="AY36" s="848"/>
      <c r="AZ36" s="848"/>
      <c r="BA36" s="848"/>
      <c r="BB36" s="848"/>
      <c r="BC36" s="848"/>
      <c r="BD36" s="848"/>
      <c r="BE36" s="848"/>
      <c r="BF36" s="848"/>
      <c r="BG36" s="853"/>
      <c r="BH36" s="853"/>
      <c r="BI36" s="853"/>
      <c r="BJ36" s="853"/>
      <c r="BK36" s="853"/>
    </row>
    <row r="37" spans="1:70" ht="15">
      <c r="A37" s="848"/>
      <c r="B37" s="849"/>
      <c r="C37" s="849"/>
      <c r="D37" s="850"/>
      <c r="E37" s="850" t="s">
        <v>2774</v>
      </c>
      <c r="F37" s="850"/>
      <c r="G37" s="850" t="s">
        <v>149</v>
      </c>
      <c r="H37" s="850"/>
      <c r="I37" s="850"/>
      <c r="J37" s="850"/>
      <c r="K37" s="850"/>
      <c r="L37" s="850"/>
      <c r="M37" s="850"/>
      <c r="N37" s="850"/>
      <c r="O37" s="850"/>
      <c r="P37" s="848"/>
      <c r="Q37" s="850" t="s">
        <v>1093</v>
      </c>
      <c r="R37" s="848"/>
      <c r="S37" s="81"/>
      <c r="T37" s="81"/>
      <c r="U37" s="81"/>
      <c r="V37" s="836" t="s">
        <v>12</v>
      </c>
      <c r="W37" s="836"/>
      <c r="X37" s="836"/>
      <c r="Y37" s="836"/>
      <c r="Z37" s="836" t="s">
        <v>2775</v>
      </c>
      <c r="AA37" s="852"/>
      <c r="AB37" s="848" t="s">
        <v>0</v>
      </c>
      <c r="AC37" s="848"/>
      <c r="AD37" s="848"/>
      <c r="AE37" s="848"/>
      <c r="AF37" s="848"/>
      <c r="AG37" s="848"/>
      <c r="AH37" s="848" t="s">
        <v>2</v>
      </c>
      <c r="AI37" s="81"/>
      <c r="AJ37" s="81"/>
      <c r="AK37" s="81"/>
      <c r="AL37" s="81"/>
      <c r="AM37" s="81"/>
      <c r="AN37" s="848"/>
      <c r="AO37" s="848"/>
      <c r="AP37" s="848"/>
      <c r="AQ37" s="848"/>
      <c r="AR37" s="848"/>
      <c r="AS37" s="853"/>
      <c r="AT37" s="853"/>
      <c r="AU37" s="853"/>
      <c r="AV37" s="853"/>
      <c r="AW37" s="853"/>
      <c r="AX37" s="853"/>
      <c r="AY37" s="848"/>
      <c r="AZ37" s="848"/>
      <c r="BA37" s="848"/>
      <c r="BB37" s="848"/>
      <c r="BC37" s="848"/>
      <c r="BD37" s="848"/>
      <c r="BE37" s="848"/>
      <c r="BF37" s="848"/>
      <c r="BG37" s="853"/>
      <c r="BH37" s="853"/>
      <c r="BI37" s="853"/>
      <c r="BJ37" s="853"/>
      <c r="BK37" s="853"/>
    </row>
    <row r="38" spans="1:70" ht="15">
      <c r="A38" s="848"/>
      <c r="B38" s="849"/>
      <c r="C38" s="849"/>
      <c r="D38" s="850"/>
      <c r="E38" s="850" t="s">
        <v>2774</v>
      </c>
      <c r="F38" s="850"/>
      <c r="G38" s="850" t="s">
        <v>149</v>
      </c>
      <c r="H38" s="850"/>
      <c r="I38" s="850"/>
      <c r="J38" s="850"/>
      <c r="K38" s="850"/>
      <c r="L38" s="850"/>
      <c r="M38" s="850"/>
      <c r="N38" s="850"/>
      <c r="O38" s="850"/>
      <c r="P38" s="848"/>
      <c r="Q38" s="850" t="s">
        <v>1093</v>
      </c>
      <c r="R38" s="848"/>
      <c r="S38" s="81"/>
      <c r="T38" s="81"/>
      <c r="U38" s="81"/>
      <c r="V38" s="836" t="s">
        <v>12</v>
      </c>
      <c r="W38" s="836"/>
      <c r="X38" s="836"/>
      <c r="Y38" s="836"/>
      <c r="Z38" s="836" t="s">
        <v>2775</v>
      </c>
      <c r="AA38" s="852"/>
      <c r="AB38" s="848" t="s">
        <v>0</v>
      </c>
      <c r="AC38" s="848"/>
      <c r="AD38" s="848"/>
      <c r="AE38" s="848"/>
      <c r="AF38" s="848"/>
      <c r="AG38" s="848"/>
      <c r="AH38" s="848" t="s">
        <v>2</v>
      </c>
      <c r="AI38" s="81"/>
      <c r="AJ38" s="81"/>
      <c r="AK38" s="81"/>
      <c r="AL38" s="81"/>
      <c r="AM38" s="81"/>
      <c r="AN38" s="848"/>
      <c r="AO38" s="848"/>
      <c r="AP38" s="848"/>
      <c r="AQ38" s="848"/>
      <c r="AR38" s="848"/>
      <c r="AS38" s="853"/>
      <c r="AT38" s="853"/>
      <c r="AU38" s="853"/>
      <c r="AV38" s="853"/>
      <c r="AW38" s="853"/>
      <c r="AX38" s="853"/>
      <c r="AY38" s="848"/>
      <c r="AZ38" s="848"/>
      <c r="BA38" s="848"/>
      <c r="BB38" s="848"/>
      <c r="BC38" s="848"/>
      <c r="BD38" s="848"/>
      <c r="BE38" s="848"/>
      <c r="BF38" s="848"/>
      <c r="BG38" s="853"/>
      <c r="BH38" s="853"/>
      <c r="BI38" s="853"/>
      <c r="BJ38" s="853"/>
      <c r="BK38" s="853"/>
    </row>
    <row r="39" spans="1:70" ht="15">
      <c r="A39" s="848"/>
      <c r="B39" s="849"/>
      <c r="C39" s="849"/>
      <c r="D39" s="850"/>
      <c r="E39" s="850" t="s">
        <v>2774</v>
      </c>
      <c r="F39" s="850"/>
      <c r="G39" s="850" t="s">
        <v>149</v>
      </c>
      <c r="H39" s="850"/>
      <c r="I39" s="850"/>
      <c r="J39" s="850"/>
      <c r="K39" s="850"/>
      <c r="L39" s="850"/>
      <c r="M39" s="850"/>
      <c r="N39" s="850"/>
      <c r="O39" s="850"/>
      <c r="P39" s="848"/>
      <c r="Q39" s="850" t="s">
        <v>1093</v>
      </c>
      <c r="R39" s="848"/>
      <c r="S39" s="81"/>
      <c r="T39" s="81"/>
      <c r="U39" s="81"/>
      <c r="V39" s="836" t="s">
        <v>12</v>
      </c>
      <c r="W39" s="836"/>
      <c r="X39" s="836"/>
      <c r="Y39" s="836"/>
      <c r="Z39" s="836" t="s">
        <v>2775</v>
      </c>
      <c r="AA39" s="852"/>
      <c r="AB39" s="848" t="s">
        <v>0</v>
      </c>
      <c r="AC39" s="848"/>
      <c r="AD39" s="848"/>
      <c r="AE39" s="848"/>
      <c r="AF39" s="848"/>
      <c r="AG39" s="848"/>
      <c r="AH39" s="848" t="s">
        <v>2</v>
      </c>
      <c r="AI39" s="81"/>
      <c r="AJ39" s="81"/>
      <c r="AK39" s="81"/>
      <c r="AL39" s="81"/>
      <c r="AM39" s="81"/>
      <c r="AN39" s="848"/>
      <c r="AO39" s="848"/>
      <c r="AP39" s="848"/>
      <c r="AQ39" s="848"/>
      <c r="AR39" s="848"/>
      <c r="AS39" s="853"/>
      <c r="AT39" s="853"/>
      <c r="AU39" s="853"/>
      <c r="AV39" s="853"/>
      <c r="AW39" s="853"/>
      <c r="AX39" s="853"/>
      <c r="AY39" s="848"/>
      <c r="AZ39" s="848"/>
      <c r="BA39" s="848"/>
      <c r="BB39" s="848"/>
      <c r="BC39" s="848"/>
      <c r="BD39" s="848"/>
      <c r="BE39" s="848"/>
      <c r="BF39" s="848"/>
      <c r="BG39" s="853"/>
      <c r="BH39" s="853"/>
      <c r="BI39" s="853"/>
      <c r="BJ39" s="853"/>
      <c r="BK39" s="853"/>
    </row>
    <row r="40" spans="1:70" s="845" customFormat="1">
      <c r="B40" s="854"/>
      <c r="C40" s="854"/>
      <c r="D40" s="850"/>
      <c r="E40" s="850" t="s">
        <v>2774</v>
      </c>
      <c r="F40" s="850"/>
      <c r="G40" s="850" t="s">
        <v>149</v>
      </c>
      <c r="H40" s="855"/>
      <c r="I40" s="855"/>
      <c r="J40" s="855"/>
      <c r="K40" s="855"/>
      <c r="L40" s="855"/>
      <c r="M40" s="855"/>
      <c r="N40" s="855"/>
      <c r="O40" s="855"/>
      <c r="P40" s="848"/>
      <c r="Q40" s="850" t="s">
        <v>1093</v>
      </c>
      <c r="R40" s="848"/>
      <c r="S40" s="81"/>
      <c r="T40" s="81"/>
      <c r="U40" s="81"/>
      <c r="V40" s="854" t="s">
        <v>12</v>
      </c>
      <c r="W40" s="854"/>
      <c r="X40" s="854"/>
      <c r="Y40" s="854"/>
      <c r="Z40" s="854" t="s">
        <v>2775</v>
      </c>
      <c r="AA40" s="854"/>
      <c r="AB40" s="854" t="s">
        <v>0</v>
      </c>
      <c r="AC40" s="854"/>
      <c r="AD40" s="854"/>
      <c r="AE40" s="855"/>
      <c r="AF40" s="855"/>
      <c r="AG40" s="855"/>
      <c r="AH40" s="855" t="s">
        <v>2</v>
      </c>
      <c r="AI40" s="81"/>
      <c r="AJ40" s="81"/>
      <c r="AK40" s="81"/>
      <c r="AL40" s="81"/>
      <c r="AM40" s="81"/>
      <c r="AN40" s="855"/>
      <c r="AO40" s="855"/>
      <c r="AP40" s="855"/>
      <c r="AQ40" s="855"/>
      <c r="AR40" s="855"/>
      <c r="AS40" s="855"/>
      <c r="AT40" s="855"/>
      <c r="AU40" s="856"/>
      <c r="AV40" s="856"/>
      <c r="AW40" s="856"/>
      <c r="AY40" s="854"/>
      <c r="AZ40" s="856"/>
      <c r="BA40" s="855"/>
      <c r="BB40" s="855"/>
      <c r="BC40" s="855"/>
      <c r="BD40" s="855"/>
      <c r="BE40" s="855"/>
      <c r="BF40" s="855"/>
      <c r="BG40" s="855"/>
      <c r="BH40" s="855"/>
      <c r="BI40" s="856"/>
      <c r="BJ40" s="856"/>
      <c r="BK40" s="856"/>
      <c r="BL40" s="856"/>
      <c r="BM40" s="856"/>
      <c r="BN40" s="856"/>
      <c r="BO40" s="856"/>
      <c r="BP40" s="856"/>
      <c r="BQ40" s="856"/>
      <c r="BR40" s="855"/>
    </row>
    <row r="41" spans="1:70" s="845" customFormat="1">
      <c r="D41" s="850"/>
      <c r="E41" s="850" t="s">
        <v>2774</v>
      </c>
      <c r="F41" s="850"/>
      <c r="G41" s="850" t="s">
        <v>149</v>
      </c>
      <c r="H41" s="855"/>
      <c r="I41" s="855"/>
      <c r="J41" s="855"/>
      <c r="K41" s="855"/>
      <c r="L41" s="855"/>
      <c r="M41" s="855"/>
      <c r="N41" s="855"/>
      <c r="O41" s="855"/>
      <c r="P41" s="848"/>
      <c r="Q41" s="850" t="s">
        <v>1093</v>
      </c>
      <c r="R41" s="848"/>
      <c r="S41" s="81"/>
      <c r="T41" s="81"/>
      <c r="U41" s="81"/>
      <c r="V41" s="857" t="s">
        <v>12</v>
      </c>
      <c r="W41" s="857"/>
      <c r="X41" s="857"/>
      <c r="Y41" s="857"/>
      <c r="Z41" s="857" t="s">
        <v>2775</v>
      </c>
      <c r="AA41" s="854"/>
      <c r="AB41" s="856" t="s">
        <v>0</v>
      </c>
      <c r="AC41" s="856"/>
      <c r="AD41" s="856"/>
      <c r="AE41" s="855"/>
      <c r="AF41" s="855"/>
      <c r="AG41" s="855"/>
      <c r="AH41" s="855" t="s">
        <v>2</v>
      </c>
      <c r="AI41" s="81"/>
      <c r="AJ41" s="81"/>
      <c r="AK41" s="81"/>
      <c r="AL41" s="81"/>
      <c r="AM41" s="81"/>
      <c r="AN41" s="855"/>
      <c r="AO41" s="855"/>
      <c r="AP41" s="855"/>
      <c r="AQ41" s="855"/>
      <c r="AR41" s="855"/>
      <c r="AS41" s="855"/>
      <c r="AT41" s="855"/>
      <c r="AU41" s="856"/>
      <c r="AV41" s="856"/>
      <c r="AW41" s="856"/>
      <c r="AY41" s="854"/>
      <c r="AZ41" s="856"/>
      <c r="BA41" s="855"/>
      <c r="BB41" s="855"/>
      <c r="BC41" s="855"/>
      <c r="BD41" s="855"/>
      <c r="BE41" s="855"/>
      <c r="BF41" s="855"/>
      <c r="BG41" s="855"/>
      <c r="BH41" s="855"/>
      <c r="BI41" s="856"/>
      <c r="BJ41" s="856"/>
      <c r="BK41" s="856"/>
      <c r="BL41" s="856"/>
      <c r="BM41" s="856"/>
      <c r="BN41" s="856"/>
      <c r="BO41" s="856"/>
      <c r="BP41" s="856"/>
      <c r="BQ41" s="856"/>
      <c r="BR41" s="855"/>
    </row>
    <row r="42" spans="1:70" s="845" customFormat="1">
      <c r="D42" s="850"/>
      <c r="E42" s="850" t="s">
        <v>2774</v>
      </c>
      <c r="F42" s="850"/>
      <c r="G42" s="850" t="s">
        <v>149</v>
      </c>
      <c r="H42" s="855"/>
      <c r="I42" s="855"/>
      <c r="J42" s="855"/>
      <c r="K42" s="855"/>
      <c r="L42" s="855"/>
      <c r="M42" s="855"/>
      <c r="N42" s="855"/>
      <c r="O42" s="855"/>
      <c r="P42" s="848"/>
      <c r="Q42" s="850" t="s">
        <v>1093</v>
      </c>
      <c r="R42" s="848"/>
      <c r="S42" s="81"/>
      <c r="T42" s="81"/>
      <c r="U42" s="81"/>
      <c r="V42" s="857" t="s">
        <v>12</v>
      </c>
      <c r="W42" s="857"/>
      <c r="X42" s="857"/>
      <c r="Y42" s="857"/>
      <c r="Z42" s="857" t="s">
        <v>2775</v>
      </c>
      <c r="AA42" s="854"/>
      <c r="AB42" s="856" t="s">
        <v>0</v>
      </c>
      <c r="AC42" s="856"/>
      <c r="AD42" s="856"/>
      <c r="AE42" s="855"/>
      <c r="AF42" s="855"/>
      <c r="AG42" s="855"/>
      <c r="AH42" s="855" t="s">
        <v>2</v>
      </c>
      <c r="AI42" s="81"/>
      <c r="AJ42" s="81"/>
      <c r="AK42" s="81"/>
      <c r="AL42" s="81"/>
      <c r="AM42" s="81"/>
      <c r="AN42" s="855"/>
      <c r="AO42" s="855"/>
      <c r="AP42" s="855"/>
      <c r="AQ42" s="855"/>
      <c r="AR42" s="855"/>
      <c r="AS42" s="855"/>
      <c r="AT42" s="855"/>
      <c r="AU42" s="856"/>
      <c r="AV42" s="856"/>
      <c r="AW42" s="856"/>
      <c r="AY42" s="854"/>
      <c r="AZ42" s="856"/>
      <c r="BA42" s="855"/>
      <c r="BB42" s="855"/>
      <c r="BC42" s="855"/>
      <c r="BD42" s="855"/>
      <c r="BE42" s="855"/>
      <c r="BF42" s="855"/>
      <c r="BG42" s="855"/>
      <c r="BH42" s="855"/>
      <c r="BI42" s="856"/>
      <c r="BJ42" s="856"/>
      <c r="BK42" s="856"/>
      <c r="BL42" s="856"/>
      <c r="BM42" s="856"/>
      <c r="BN42" s="856"/>
      <c r="BO42" s="856"/>
      <c r="BP42" s="856"/>
      <c r="BQ42" s="856"/>
      <c r="BR42" s="855"/>
    </row>
    <row r="43" spans="1:70" s="845" customFormat="1">
      <c r="D43" s="850"/>
      <c r="E43" s="850" t="s">
        <v>2774</v>
      </c>
      <c r="F43" s="850"/>
      <c r="G43" s="850" t="s">
        <v>149</v>
      </c>
      <c r="H43" s="855"/>
      <c r="I43" s="855"/>
      <c r="J43" s="855"/>
      <c r="K43" s="855"/>
      <c r="L43" s="855"/>
      <c r="M43" s="855"/>
      <c r="N43" s="855"/>
      <c r="O43" s="855"/>
      <c r="P43" s="848"/>
      <c r="Q43" s="850" t="s">
        <v>1093</v>
      </c>
      <c r="R43" s="848"/>
      <c r="S43" s="81"/>
      <c r="T43" s="81"/>
      <c r="U43" s="81"/>
      <c r="V43" s="857" t="s">
        <v>12</v>
      </c>
      <c r="W43" s="857"/>
      <c r="X43" s="857"/>
      <c r="Y43" s="857"/>
      <c r="Z43" s="857" t="s">
        <v>2775</v>
      </c>
      <c r="AA43" s="854"/>
      <c r="AB43" s="856"/>
      <c r="AC43" s="856"/>
      <c r="AD43" s="856"/>
      <c r="AE43" s="855"/>
      <c r="AF43" s="855"/>
      <c r="AG43" s="855"/>
      <c r="AH43" s="855" t="s">
        <v>2</v>
      </c>
      <c r="AI43" s="81"/>
      <c r="AJ43" s="81"/>
      <c r="AK43" s="81"/>
      <c r="AL43" s="81"/>
      <c r="AM43" s="81"/>
      <c r="AN43" s="855"/>
      <c r="AO43" s="855"/>
      <c r="AP43" s="855"/>
      <c r="AQ43" s="855"/>
      <c r="AR43" s="855"/>
      <c r="AS43" s="855"/>
      <c r="AT43" s="855"/>
      <c r="AU43" s="856"/>
      <c r="AV43" s="856"/>
      <c r="AW43" s="856"/>
      <c r="AY43" s="854"/>
      <c r="AZ43" s="856"/>
      <c r="BA43" s="855"/>
      <c r="BB43" s="855"/>
      <c r="BC43" s="855"/>
      <c r="BD43" s="855"/>
      <c r="BE43" s="855"/>
      <c r="BF43" s="855"/>
      <c r="BG43" s="855"/>
      <c r="BH43" s="855"/>
      <c r="BI43" s="856"/>
      <c r="BJ43" s="856"/>
      <c r="BK43" s="856"/>
      <c r="BL43" s="856"/>
      <c r="BM43" s="856"/>
      <c r="BN43" s="856"/>
      <c r="BO43" s="856"/>
      <c r="BP43" s="856"/>
      <c r="BQ43" s="856"/>
      <c r="BR43" s="855"/>
    </row>
    <row r="44" spans="1:70" s="845" customFormat="1">
      <c r="D44" s="850"/>
      <c r="E44" s="850" t="s">
        <v>2774</v>
      </c>
      <c r="F44" s="850"/>
      <c r="G44" s="850" t="s">
        <v>149</v>
      </c>
      <c r="H44" s="855"/>
      <c r="I44" s="855"/>
      <c r="J44" s="855"/>
      <c r="K44" s="855"/>
      <c r="L44" s="855"/>
      <c r="M44" s="855"/>
      <c r="N44" s="855"/>
      <c r="O44" s="855"/>
      <c r="P44" s="848"/>
      <c r="Q44" s="850" t="s">
        <v>1093</v>
      </c>
      <c r="R44" s="848"/>
      <c r="S44" s="81"/>
      <c r="T44" s="81"/>
      <c r="U44" s="81"/>
      <c r="V44" s="857" t="s">
        <v>12</v>
      </c>
      <c r="W44" s="857"/>
      <c r="X44" s="857"/>
      <c r="Y44" s="857"/>
      <c r="Z44" s="857" t="s">
        <v>2775</v>
      </c>
      <c r="AA44" s="854"/>
      <c r="AB44" s="856"/>
      <c r="AC44" s="856"/>
      <c r="AD44" s="856"/>
      <c r="AE44" s="855"/>
      <c r="AF44" s="855"/>
      <c r="AG44" s="855"/>
      <c r="AH44" s="855" t="s">
        <v>2</v>
      </c>
      <c r="AI44" s="81"/>
      <c r="AJ44" s="81"/>
      <c r="AK44" s="81"/>
      <c r="AL44" s="81"/>
      <c r="AM44" s="81"/>
      <c r="AN44" s="855"/>
      <c r="AO44" s="855"/>
      <c r="AP44" s="855"/>
      <c r="AQ44" s="855"/>
      <c r="AR44" s="855"/>
      <c r="AS44" s="855"/>
      <c r="AT44" s="855"/>
      <c r="AU44" s="856"/>
      <c r="AV44" s="856"/>
      <c r="AW44" s="856"/>
      <c r="AY44" s="854"/>
      <c r="AZ44" s="856"/>
      <c r="BA44" s="855"/>
      <c r="BB44" s="855"/>
      <c r="BC44" s="855"/>
      <c r="BD44" s="855"/>
      <c r="BE44" s="855"/>
      <c r="BF44" s="855"/>
      <c r="BG44" s="855"/>
      <c r="BH44" s="855"/>
      <c r="BI44" s="856"/>
      <c r="BJ44" s="856"/>
      <c r="BK44" s="856"/>
      <c r="BL44" s="856"/>
      <c r="BM44" s="856"/>
      <c r="BN44" s="856"/>
      <c r="BO44" s="856"/>
      <c r="BP44" s="856"/>
      <c r="BQ44" s="856"/>
      <c r="BR44" s="855"/>
    </row>
    <row r="45" spans="1:70" s="845" customFormat="1">
      <c r="D45" s="850"/>
      <c r="E45" s="850" t="s">
        <v>2774</v>
      </c>
      <c r="F45" s="850"/>
      <c r="G45" s="850" t="s">
        <v>149</v>
      </c>
      <c r="H45" s="855"/>
      <c r="I45" s="855"/>
      <c r="J45" s="855"/>
      <c r="K45" s="855"/>
      <c r="L45" s="855"/>
      <c r="M45" s="855"/>
      <c r="N45" s="855"/>
      <c r="O45" s="855"/>
      <c r="P45" s="848"/>
      <c r="Q45" s="850" t="s">
        <v>1093</v>
      </c>
      <c r="R45" s="848"/>
      <c r="S45" s="81"/>
      <c r="T45" s="81"/>
      <c r="U45" s="81"/>
      <c r="V45" s="857" t="s">
        <v>12</v>
      </c>
      <c r="W45" s="857"/>
      <c r="X45" s="857"/>
      <c r="Y45" s="857"/>
      <c r="Z45" s="857" t="s">
        <v>2775</v>
      </c>
      <c r="AA45" s="854"/>
      <c r="AB45" s="856"/>
      <c r="AC45" s="856"/>
      <c r="AD45" s="856"/>
      <c r="AE45" s="855"/>
      <c r="AF45" s="855"/>
      <c r="AG45" s="855"/>
      <c r="AH45" s="855" t="s">
        <v>2</v>
      </c>
      <c r="AI45" s="81"/>
      <c r="AJ45" s="81"/>
      <c r="AK45" s="81"/>
      <c r="AL45" s="81"/>
      <c r="AM45" s="81"/>
      <c r="AN45" s="855"/>
      <c r="AO45" s="855"/>
      <c r="AP45" s="855"/>
      <c r="AQ45" s="855"/>
      <c r="AR45" s="855"/>
      <c r="AS45" s="855"/>
      <c r="AT45" s="855"/>
      <c r="AU45" s="856"/>
      <c r="AV45" s="856"/>
      <c r="AW45" s="856"/>
      <c r="AY45" s="854"/>
      <c r="AZ45" s="856"/>
      <c r="BA45" s="855"/>
      <c r="BB45" s="855"/>
      <c r="BC45" s="855"/>
      <c r="BD45" s="855"/>
      <c r="BE45" s="855"/>
      <c r="BF45" s="855"/>
      <c r="BG45" s="855"/>
      <c r="BH45" s="855"/>
      <c r="BI45" s="856"/>
      <c r="BJ45" s="856"/>
      <c r="BK45" s="856"/>
      <c r="BL45" s="856"/>
      <c r="BM45" s="856"/>
      <c r="BN45" s="856"/>
      <c r="BO45" s="856"/>
      <c r="BP45" s="856"/>
      <c r="BQ45" s="856"/>
      <c r="BR45" s="855"/>
    </row>
    <row r="47" spans="1:70" s="1" customFormat="1" ht="13.9">
      <c r="B47" s="878" t="s">
        <v>2807</v>
      </c>
    </row>
    <row r="49" spans="1:70" ht="15">
      <c r="A49" s="848"/>
      <c r="B49" s="849"/>
      <c r="C49" s="849"/>
      <c r="D49" s="850"/>
      <c r="E49" s="850" t="s">
        <v>2774</v>
      </c>
      <c r="F49" s="850"/>
      <c r="G49" s="850" t="s">
        <v>149</v>
      </c>
      <c r="H49" s="850"/>
      <c r="I49" s="850"/>
      <c r="J49" s="850"/>
      <c r="K49" s="850"/>
      <c r="L49" s="850"/>
      <c r="M49" s="850"/>
      <c r="N49" s="850"/>
      <c r="O49" s="850"/>
      <c r="P49" s="848"/>
      <c r="Q49" s="850" t="s">
        <v>1093</v>
      </c>
      <c r="R49" s="848"/>
      <c r="S49" s="81"/>
      <c r="T49" s="81"/>
      <c r="U49" s="81"/>
      <c r="V49" s="836" t="s">
        <v>12</v>
      </c>
      <c r="W49" s="836"/>
      <c r="X49" s="836"/>
      <c r="Y49" s="836"/>
      <c r="Z49" s="836" t="s">
        <v>2775</v>
      </c>
      <c r="AA49" s="852"/>
      <c r="AB49" s="848" t="s">
        <v>0</v>
      </c>
      <c r="AC49" s="848"/>
      <c r="AD49" s="848"/>
      <c r="AE49" s="848"/>
      <c r="AF49" s="848"/>
      <c r="AG49" s="848"/>
      <c r="AH49" s="848" t="s">
        <v>2</v>
      </c>
      <c r="AI49" s="81"/>
      <c r="AJ49" s="81"/>
      <c r="AK49" s="81"/>
      <c r="AL49" s="81"/>
      <c r="AM49" s="81"/>
      <c r="AN49" s="848"/>
      <c r="AO49" s="848"/>
      <c r="AP49" s="848"/>
      <c r="AQ49" s="848"/>
      <c r="AR49" s="848"/>
      <c r="AS49" s="853"/>
      <c r="AT49" s="853"/>
      <c r="AU49" s="853"/>
      <c r="AV49" s="853"/>
      <c r="AW49" s="853"/>
      <c r="AX49" s="853"/>
      <c r="AY49" s="848"/>
      <c r="AZ49" s="848"/>
      <c r="BA49" s="848"/>
      <c r="BB49" s="848"/>
      <c r="BC49" s="848"/>
      <c r="BD49" s="848"/>
      <c r="BE49" s="848"/>
      <c r="BF49" s="848"/>
      <c r="BG49" s="853"/>
      <c r="BH49" s="853"/>
      <c r="BI49" s="853"/>
      <c r="BJ49" s="853"/>
      <c r="BK49" s="853"/>
    </row>
    <row r="50" spans="1:70" ht="15">
      <c r="A50" s="848"/>
      <c r="B50" s="849"/>
      <c r="C50" s="849"/>
      <c r="D50" s="850"/>
      <c r="E50" s="850" t="s">
        <v>2774</v>
      </c>
      <c r="F50" s="850"/>
      <c r="G50" s="850" t="s">
        <v>149</v>
      </c>
      <c r="H50" s="850"/>
      <c r="I50" s="850"/>
      <c r="J50" s="850"/>
      <c r="K50" s="850"/>
      <c r="L50" s="850"/>
      <c r="M50" s="850"/>
      <c r="N50" s="850"/>
      <c r="O50" s="850"/>
      <c r="P50" s="848"/>
      <c r="Q50" s="850" t="s">
        <v>1093</v>
      </c>
      <c r="R50" s="848"/>
      <c r="S50" s="81"/>
      <c r="T50" s="81"/>
      <c r="U50" s="81"/>
      <c r="V50" s="836" t="s">
        <v>12</v>
      </c>
      <c r="W50" s="836"/>
      <c r="X50" s="836"/>
      <c r="Y50" s="836"/>
      <c r="Z50" s="836" t="s">
        <v>2775</v>
      </c>
      <c r="AA50" s="852"/>
      <c r="AB50" s="848" t="s">
        <v>0</v>
      </c>
      <c r="AC50" s="848"/>
      <c r="AD50" s="848"/>
      <c r="AE50" s="848"/>
      <c r="AF50" s="848"/>
      <c r="AG50" s="848"/>
      <c r="AH50" s="848" t="s">
        <v>2</v>
      </c>
      <c r="AI50" s="81"/>
      <c r="AJ50" s="81"/>
      <c r="AK50" s="81"/>
      <c r="AL50" s="81"/>
      <c r="AM50" s="81"/>
      <c r="AN50" s="848"/>
      <c r="AO50" s="848"/>
      <c r="AP50" s="848"/>
      <c r="AQ50" s="848"/>
      <c r="AR50" s="848"/>
      <c r="AS50" s="853"/>
      <c r="AT50" s="853"/>
      <c r="AU50" s="853"/>
      <c r="AV50" s="853"/>
      <c r="AW50" s="853"/>
      <c r="AX50" s="853"/>
      <c r="AY50" s="848"/>
      <c r="AZ50" s="848"/>
      <c r="BA50" s="848"/>
      <c r="BB50" s="848"/>
      <c r="BC50" s="848"/>
      <c r="BD50" s="848"/>
      <c r="BE50" s="848"/>
      <c r="BF50" s="848"/>
      <c r="BG50" s="853"/>
      <c r="BH50" s="853"/>
      <c r="BI50" s="853"/>
      <c r="BJ50" s="853"/>
      <c r="BK50" s="853"/>
    </row>
    <row r="51" spans="1:70" ht="15">
      <c r="A51" s="848"/>
      <c r="B51" s="849"/>
      <c r="C51" s="849"/>
      <c r="D51" s="850"/>
      <c r="E51" s="850" t="s">
        <v>2774</v>
      </c>
      <c r="F51" s="850"/>
      <c r="G51" s="850" t="s">
        <v>149</v>
      </c>
      <c r="H51" s="850"/>
      <c r="I51" s="850"/>
      <c r="J51" s="850"/>
      <c r="K51" s="850"/>
      <c r="L51" s="850"/>
      <c r="M51" s="850"/>
      <c r="N51" s="850"/>
      <c r="O51" s="850"/>
      <c r="P51" s="848"/>
      <c r="Q51" s="850" t="s">
        <v>1093</v>
      </c>
      <c r="R51" s="848"/>
      <c r="S51" s="81"/>
      <c r="T51" s="81"/>
      <c r="U51" s="81"/>
      <c r="V51" s="836" t="s">
        <v>12</v>
      </c>
      <c r="W51" s="836"/>
      <c r="X51" s="836"/>
      <c r="Y51" s="836"/>
      <c r="Z51" s="836" t="s">
        <v>2775</v>
      </c>
      <c r="AA51" s="852"/>
      <c r="AB51" s="848" t="s">
        <v>0</v>
      </c>
      <c r="AC51" s="848"/>
      <c r="AD51" s="848"/>
      <c r="AE51" s="848"/>
      <c r="AF51" s="848"/>
      <c r="AG51" s="848"/>
      <c r="AH51" s="848" t="s">
        <v>2</v>
      </c>
      <c r="AI51" s="81"/>
      <c r="AJ51" s="81"/>
      <c r="AK51" s="81"/>
      <c r="AL51" s="81"/>
      <c r="AM51" s="81"/>
      <c r="AN51" s="848"/>
      <c r="AO51" s="848"/>
      <c r="AP51" s="848"/>
      <c r="AQ51" s="848"/>
      <c r="AR51" s="848"/>
      <c r="AS51" s="853"/>
      <c r="AT51" s="853"/>
      <c r="AU51" s="853"/>
      <c r="AV51" s="853"/>
      <c r="AW51" s="853"/>
      <c r="AX51" s="853"/>
      <c r="AY51" s="848"/>
      <c r="AZ51" s="848"/>
      <c r="BA51" s="848"/>
      <c r="BB51" s="848"/>
      <c r="BC51" s="848"/>
      <c r="BD51" s="848"/>
      <c r="BE51" s="848"/>
      <c r="BF51" s="848"/>
      <c r="BG51" s="853"/>
      <c r="BH51" s="853"/>
      <c r="BI51" s="853"/>
      <c r="BJ51" s="853"/>
      <c r="BK51" s="853"/>
    </row>
    <row r="52" spans="1:70" ht="15">
      <c r="A52" s="848"/>
      <c r="B52" s="849"/>
      <c r="C52" s="849"/>
      <c r="D52" s="850"/>
      <c r="E52" s="850" t="s">
        <v>2774</v>
      </c>
      <c r="F52" s="850"/>
      <c r="G52" s="850" t="s">
        <v>149</v>
      </c>
      <c r="H52" s="850"/>
      <c r="I52" s="850"/>
      <c r="J52" s="850"/>
      <c r="K52" s="850"/>
      <c r="L52" s="850"/>
      <c r="M52" s="850"/>
      <c r="N52" s="850"/>
      <c r="O52" s="850"/>
      <c r="P52" s="848"/>
      <c r="Q52" s="850" t="s">
        <v>1093</v>
      </c>
      <c r="R52" s="848"/>
      <c r="S52" s="81"/>
      <c r="T52" s="81"/>
      <c r="U52" s="81"/>
      <c r="V52" s="836" t="s">
        <v>12</v>
      </c>
      <c r="W52" s="836"/>
      <c r="X52" s="836"/>
      <c r="Y52" s="836"/>
      <c r="Z52" s="836" t="s">
        <v>2775</v>
      </c>
      <c r="AA52" s="852"/>
      <c r="AB52" s="848" t="s">
        <v>0</v>
      </c>
      <c r="AC52" s="848"/>
      <c r="AD52" s="848"/>
      <c r="AE52" s="848"/>
      <c r="AF52" s="848"/>
      <c r="AG52" s="848"/>
      <c r="AH52" s="848" t="s">
        <v>2</v>
      </c>
      <c r="AI52" s="81"/>
      <c r="AJ52" s="81"/>
      <c r="AK52" s="81"/>
      <c r="AL52" s="81"/>
      <c r="AM52" s="81"/>
      <c r="AN52" s="848"/>
      <c r="AO52" s="848"/>
      <c r="AP52" s="848"/>
      <c r="AQ52" s="848"/>
      <c r="AR52" s="848"/>
      <c r="AS52" s="853"/>
      <c r="AT52" s="853"/>
      <c r="AU52" s="853"/>
      <c r="AV52" s="853"/>
      <c r="AW52" s="853"/>
      <c r="AX52" s="853"/>
      <c r="AY52" s="848"/>
      <c r="AZ52" s="848"/>
      <c r="BA52" s="848"/>
      <c r="BB52" s="848"/>
      <c r="BC52" s="848"/>
      <c r="BD52" s="848"/>
      <c r="BE52" s="848"/>
      <c r="BF52" s="848"/>
      <c r="BG52" s="853"/>
      <c r="BH52" s="853"/>
      <c r="BI52" s="853"/>
      <c r="BJ52" s="853"/>
      <c r="BK52" s="853"/>
    </row>
    <row r="53" spans="1:70" s="845" customFormat="1">
      <c r="B53" s="854"/>
      <c r="C53" s="854"/>
      <c r="D53" s="850"/>
      <c r="E53" s="850" t="s">
        <v>2774</v>
      </c>
      <c r="F53" s="850"/>
      <c r="G53" s="850" t="s">
        <v>149</v>
      </c>
      <c r="H53" s="855"/>
      <c r="I53" s="855"/>
      <c r="J53" s="855"/>
      <c r="K53" s="855"/>
      <c r="L53" s="855"/>
      <c r="M53" s="855"/>
      <c r="N53" s="855"/>
      <c r="O53" s="855"/>
      <c r="P53" s="848"/>
      <c r="Q53" s="850" t="s">
        <v>1093</v>
      </c>
      <c r="R53" s="848"/>
      <c r="S53" s="81"/>
      <c r="T53" s="81"/>
      <c r="U53" s="81"/>
      <c r="V53" s="854" t="s">
        <v>12</v>
      </c>
      <c r="W53" s="854"/>
      <c r="X53" s="854"/>
      <c r="Y53" s="854"/>
      <c r="Z53" s="854" t="s">
        <v>2775</v>
      </c>
      <c r="AA53" s="854"/>
      <c r="AB53" s="854" t="s">
        <v>0</v>
      </c>
      <c r="AC53" s="854"/>
      <c r="AD53" s="854"/>
      <c r="AE53" s="855"/>
      <c r="AF53" s="855"/>
      <c r="AG53" s="855"/>
      <c r="AH53" s="855" t="s">
        <v>2</v>
      </c>
      <c r="AI53" s="81"/>
      <c r="AJ53" s="81"/>
      <c r="AK53" s="81"/>
      <c r="AL53" s="81"/>
      <c r="AM53" s="81"/>
      <c r="AN53" s="855"/>
      <c r="AO53" s="855"/>
      <c r="AP53" s="855"/>
      <c r="AQ53" s="855"/>
      <c r="AR53" s="855"/>
      <c r="AS53" s="855"/>
      <c r="AT53" s="855"/>
      <c r="AU53" s="856"/>
      <c r="AV53" s="856"/>
      <c r="AW53" s="856"/>
      <c r="AY53" s="854"/>
      <c r="AZ53" s="856"/>
      <c r="BA53" s="855"/>
      <c r="BB53" s="855"/>
      <c r="BC53" s="855"/>
      <c r="BD53" s="855"/>
      <c r="BE53" s="855"/>
      <c r="BF53" s="855"/>
      <c r="BG53" s="855"/>
      <c r="BH53" s="855"/>
      <c r="BI53" s="856"/>
      <c r="BJ53" s="856"/>
      <c r="BK53" s="856"/>
      <c r="BL53" s="856"/>
      <c r="BM53" s="856"/>
      <c r="BN53" s="856"/>
      <c r="BO53" s="856"/>
      <c r="BP53" s="856"/>
      <c r="BQ53" s="856"/>
      <c r="BR53" s="855"/>
    </row>
    <row r="54" spans="1:70" s="845" customFormat="1">
      <c r="D54" s="850"/>
      <c r="E54" s="850" t="s">
        <v>2774</v>
      </c>
      <c r="F54" s="850"/>
      <c r="G54" s="850" t="s">
        <v>149</v>
      </c>
      <c r="H54" s="855"/>
      <c r="I54" s="855"/>
      <c r="J54" s="855"/>
      <c r="K54" s="855"/>
      <c r="L54" s="855"/>
      <c r="M54" s="855"/>
      <c r="N54" s="855"/>
      <c r="O54" s="855"/>
      <c r="P54" s="848"/>
      <c r="Q54" s="850" t="s">
        <v>1093</v>
      </c>
      <c r="R54" s="848"/>
      <c r="S54" s="81"/>
      <c r="T54" s="81"/>
      <c r="U54" s="81"/>
      <c r="V54" s="857" t="s">
        <v>12</v>
      </c>
      <c r="W54" s="857"/>
      <c r="X54" s="857"/>
      <c r="Y54" s="857"/>
      <c r="Z54" s="857" t="s">
        <v>2775</v>
      </c>
      <c r="AA54" s="854"/>
      <c r="AB54" s="856" t="s">
        <v>0</v>
      </c>
      <c r="AC54" s="856"/>
      <c r="AD54" s="856"/>
      <c r="AE54" s="855"/>
      <c r="AF54" s="855"/>
      <c r="AG54" s="855"/>
      <c r="AH54" s="855" t="s">
        <v>2</v>
      </c>
      <c r="AI54" s="81"/>
      <c r="AJ54" s="81"/>
      <c r="AK54" s="81"/>
      <c r="AL54" s="81"/>
      <c r="AM54" s="81"/>
      <c r="AN54" s="855"/>
      <c r="AO54" s="855"/>
      <c r="AP54" s="855"/>
      <c r="AQ54" s="855"/>
      <c r="AR54" s="855"/>
      <c r="AS54" s="855"/>
      <c r="AT54" s="855"/>
      <c r="AU54" s="856"/>
      <c r="AV54" s="856"/>
      <c r="AW54" s="856"/>
      <c r="AY54" s="854"/>
      <c r="AZ54" s="856"/>
      <c r="BA54" s="855"/>
      <c r="BB54" s="855"/>
      <c r="BC54" s="855"/>
      <c r="BD54" s="855"/>
      <c r="BE54" s="855"/>
      <c r="BF54" s="855"/>
      <c r="BG54" s="855"/>
      <c r="BH54" s="855"/>
      <c r="BI54" s="856"/>
      <c r="BJ54" s="856"/>
      <c r="BK54" s="856"/>
      <c r="BL54" s="856"/>
      <c r="BM54" s="856"/>
      <c r="BN54" s="856"/>
      <c r="BO54" s="856"/>
      <c r="BP54" s="856"/>
      <c r="BQ54" s="856"/>
      <c r="BR54" s="855"/>
    </row>
    <row r="55" spans="1:70" s="845" customFormat="1">
      <c r="D55" s="850"/>
      <c r="E55" s="850" t="s">
        <v>2774</v>
      </c>
      <c r="F55" s="850"/>
      <c r="G55" s="850" t="s">
        <v>149</v>
      </c>
      <c r="H55" s="855"/>
      <c r="I55" s="855"/>
      <c r="J55" s="855"/>
      <c r="K55" s="855"/>
      <c r="L55" s="855"/>
      <c r="M55" s="855"/>
      <c r="N55" s="855"/>
      <c r="O55" s="855"/>
      <c r="P55" s="848"/>
      <c r="Q55" s="850" t="s">
        <v>1093</v>
      </c>
      <c r="R55" s="848"/>
      <c r="S55" s="81"/>
      <c r="T55" s="81"/>
      <c r="U55" s="81"/>
      <c r="V55" s="857" t="s">
        <v>12</v>
      </c>
      <c r="W55" s="857"/>
      <c r="X55" s="857"/>
      <c r="Y55" s="857"/>
      <c r="Z55" s="857" t="s">
        <v>2775</v>
      </c>
      <c r="AA55" s="854"/>
      <c r="AB55" s="856" t="s">
        <v>0</v>
      </c>
      <c r="AC55" s="856"/>
      <c r="AD55" s="856"/>
      <c r="AE55" s="855"/>
      <c r="AF55" s="855"/>
      <c r="AG55" s="855"/>
      <c r="AH55" s="855" t="s">
        <v>2</v>
      </c>
      <c r="AI55" s="81"/>
      <c r="AJ55" s="81"/>
      <c r="AK55" s="81"/>
      <c r="AL55" s="81"/>
      <c r="AM55" s="81"/>
      <c r="AN55" s="855"/>
      <c r="AO55" s="855"/>
      <c r="AP55" s="855"/>
      <c r="AQ55" s="855"/>
      <c r="AR55" s="855"/>
      <c r="AS55" s="855"/>
      <c r="AT55" s="855"/>
      <c r="AU55" s="856"/>
      <c r="AV55" s="856"/>
      <c r="AW55" s="856"/>
      <c r="AY55" s="854"/>
      <c r="AZ55" s="856"/>
      <c r="BA55" s="855"/>
      <c r="BB55" s="855"/>
      <c r="BC55" s="855"/>
      <c r="BD55" s="855"/>
      <c r="BE55" s="855"/>
      <c r="BF55" s="855"/>
      <c r="BG55" s="855"/>
      <c r="BH55" s="855"/>
      <c r="BI55" s="856"/>
      <c r="BJ55" s="856"/>
      <c r="BK55" s="856"/>
      <c r="BL55" s="856"/>
      <c r="BM55" s="856"/>
      <c r="BN55" s="856"/>
      <c r="BO55" s="856"/>
      <c r="BP55" s="856"/>
      <c r="BQ55" s="856"/>
      <c r="BR55" s="855"/>
    </row>
    <row r="56" spans="1:70" s="845" customFormat="1">
      <c r="D56" s="850"/>
      <c r="E56" s="850" t="s">
        <v>2774</v>
      </c>
      <c r="F56" s="850"/>
      <c r="G56" s="850" t="s">
        <v>149</v>
      </c>
      <c r="H56" s="855"/>
      <c r="I56" s="855"/>
      <c r="J56" s="855"/>
      <c r="K56" s="855"/>
      <c r="L56" s="855"/>
      <c r="M56" s="855"/>
      <c r="N56" s="855"/>
      <c r="O56" s="855"/>
      <c r="P56" s="848"/>
      <c r="Q56" s="850" t="s">
        <v>1093</v>
      </c>
      <c r="R56" s="848"/>
      <c r="S56" s="81"/>
      <c r="T56" s="81"/>
      <c r="U56" s="81"/>
      <c r="V56" s="857" t="s">
        <v>12</v>
      </c>
      <c r="W56" s="857"/>
      <c r="X56" s="857"/>
      <c r="Y56" s="857"/>
      <c r="Z56" s="857" t="s">
        <v>2775</v>
      </c>
      <c r="AA56" s="854"/>
      <c r="AB56" s="856"/>
      <c r="AC56" s="856"/>
      <c r="AD56" s="856"/>
      <c r="AE56" s="855"/>
      <c r="AF56" s="855"/>
      <c r="AG56" s="855"/>
      <c r="AH56" s="855" t="s">
        <v>2</v>
      </c>
      <c r="AI56" s="81"/>
      <c r="AJ56" s="81"/>
      <c r="AK56" s="81"/>
      <c r="AL56" s="81"/>
      <c r="AM56" s="81"/>
      <c r="AN56" s="855"/>
      <c r="AO56" s="855"/>
      <c r="AP56" s="855"/>
      <c r="AQ56" s="855"/>
      <c r="AR56" s="855"/>
      <c r="AS56" s="855"/>
      <c r="AT56" s="855"/>
      <c r="AU56" s="856"/>
      <c r="AV56" s="856"/>
      <c r="AW56" s="856"/>
      <c r="AY56" s="854"/>
      <c r="AZ56" s="856"/>
      <c r="BA56" s="855"/>
      <c r="BB56" s="855"/>
      <c r="BC56" s="855"/>
      <c r="BD56" s="855"/>
      <c r="BE56" s="855"/>
      <c r="BF56" s="855"/>
      <c r="BG56" s="855"/>
      <c r="BH56" s="855"/>
      <c r="BI56" s="856"/>
      <c r="BJ56" s="856"/>
      <c r="BK56" s="856"/>
      <c r="BL56" s="856"/>
      <c r="BM56" s="856"/>
      <c r="BN56" s="856"/>
      <c r="BO56" s="856"/>
      <c r="BP56" s="856"/>
      <c r="BQ56" s="856"/>
      <c r="BR56" s="855"/>
    </row>
    <row r="57" spans="1:70" s="845" customFormat="1">
      <c r="D57" s="850"/>
      <c r="E57" s="850" t="s">
        <v>2774</v>
      </c>
      <c r="F57" s="850"/>
      <c r="G57" s="850" t="s">
        <v>149</v>
      </c>
      <c r="H57" s="855"/>
      <c r="I57" s="855"/>
      <c r="J57" s="855"/>
      <c r="K57" s="855"/>
      <c r="L57" s="855"/>
      <c r="M57" s="855"/>
      <c r="N57" s="855"/>
      <c r="O57" s="855"/>
      <c r="P57" s="848"/>
      <c r="Q57" s="850" t="s">
        <v>1093</v>
      </c>
      <c r="R57" s="848"/>
      <c r="S57" s="81"/>
      <c r="T57" s="81"/>
      <c r="U57" s="81"/>
      <c r="V57" s="857" t="s">
        <v>12</v>
      </c>
      <c r="W57" s="857"/>
      <c r="X57" s="857"/>
      <c r="Y57" s="857"/>
      <c r="Z57" s="857" t="s">
        <v>2775</v>
      </c>
      <c r="AA57" s="854"/>
      <c r="AB57" s="856"/>
      <c r="AC57" s="856"/>
      <c r="AD57" s="856"/>
      <c r="AE57" s="855"/>
      <c r="AF57" s="855"/>
      <c r="AG57" s="855"/>
      <c r="AH57" s="855" t="s">
        <v>2</v>
      </c>
      <c r="AI57" s="81"/>
      <c r="AJ57" s="81"/>
      <c r="AK57" s="81"/>
      <c r="AL57" s="81"/>
      <c r="AM57" s="81"/>
      <c r="AN57" s="855"/>
      <c r="AO57" s="855"/>
      <c r="AP57" s="855"/>
      <c r="AQ57" s="855"/>
      <c r="AR57" s="855"/>
      <c r="AS57" s="855"/>
      <c r="AT57" s="855"/>
      <c r="AU57" s="856"/>
      <c r="AV57" s="856"/>
      <c r="AW57" s="856"/>
      <c r="AY57" s="854"/>
      <c r="AZ57" s="856"/>
      <c r="BA57" s="855"/>
      <c r="BB57" s="855"/>
      <c r="BC57" s="855"/>
      <c r="BD57" s="855"/>
      <c r="BE57" s="855"/>
      <c r="BF57" s="855"/>
      <c r="BG57" s="855"/>
      <c r="BH57" s="855"/>
      <c r="BI57" s="856"/>
      <c r="BJ57" s="856"/>
      <c r="BK57" s="856"/>
      <c r="BL57" s="856"/>
      <c r="BM57" s="856"/>
      <c r="BN57" s="856"/>
      <c r="BO57" s="856"/>
      <c r="BP57" s="856"/>
      <c r="BQ57" s="856"/>
      <c r="BR57" s="855"/>
    </row>
    <row r="58" spans="1:70" s="845" customFormat="1">
      <c r="D58" s="850"/>
      <c r="E58" s="850" t="s">
        <v>2774</v>
      </c>
      <c r="F58" s="850"/>
      <c r="G58" s="850" t="s">
        <v>149</v>
      </c>
      <c r="H58" s="855"/>
      <c r="I58" s="855"/>
      <c r="J58" s="855"/>
      <c r="K58" s="855"/>
      <c r="L58" s="855"/>
      <c r="M58" s="855"/>
      <c r="N58" s="855"/>
      <c r="O58" s="855"/>
      <c r="P58" s="848"/>
      <c r="Q58" s="850" t="s">
        <v>1093</v>
      </c>
      <c r="R58" s="848"/>
      <c r="S58" s="81"/>
      <c r="T58" s="81"/>
      <c r="U58" s="81"/>
      <c r="V58" s="857" t="s">
        <v>12</v>
      </c>
      <c r="W58" s="857"/>
      <c r="X58" s="857"/>
      <c r="Y58" s="857"/>
      <c r="Z58" s="857" t="s">
        <v>2775</v>
      </c>
      <c r="AA58" s="854"/>
      <c r="AB58" s="856"/>
      <c r="AC58" s="856"/>
      <c r="AD58" s="856"/>
      <c r="AE58" s="855"/>
      <c r="AF58" s="855"/>
      <c r="AG58" s="855"/>
      <c r="AH58" s="855" t="s">
        <v>2</v>
      </c>
      <c r="AI58" s="81"/>
      <c r="AJ58" s="81"/>
      <c r="AK58" s="81"/>
      <c r="AL58" s="81"/>
      <c r="AM58" s="81"/>
      <c r="AN58" s="855"/>
      <c r="AO58" s="855"/>
      <c r="AP58" s="855"/>
      <c r="AQ58" s="855"/>
      <c r="AR58" s="855"/>
      <c r="AS58" s="855"/>
      <c r="AT58" s="855"/>
      <c r="AU58" s="856"/>
      <c r="AV58" s="856"/>
      <c r="AW58" s="856"/>
      <c r="AY58" s="854"/>
      <c r="AZ58" s="856"/>
      <c r="BA58" s="855"/>
      <c r="BB58" s="855"/>
      <c r="BC58" s="855"/>
      <c r="BD58" s="855"/>
      <c r="BE58" s="855"/>
      <c r="BF58" s="855"/>
      <c r="BG58" s="855"/>
      <c r="BH58" s="855"/>
      <c r="BI58" s="856"/>
      <c r="BJ58" s="856"/>
      <c r="BK58" s="856"/>
      <c r="BL58" s="856"/>
      <c r="BM58" s="856"/>
      <c r="BN58" s="856"/>
      <c r="BO58" s="856"/>
      <c r="BP58" s="856"/>
      <c r="BQ58" s="856"/>
      <c r="BR58" s="855"/>
    </row>
    <row r="60" spans="1:70" s="1" customFormat="1" ht="13.9">
      <c r="B60" s="866" t="s">
        <v>2808</v>
      </c>
    </row>
    <row r="62" spans="1:70" ht="15">
      <c r="A62" s="848"/>
      <c r="B62" s="849"/>
      <c r="C62" s="849"/>
      <c r="D62" s="850"/>
      <c r="E62" s="850" t="s">
        <v>2774</v>
      </c>
      <c r="F62" s="850"/>
      <c r="G62" s="850" t="s">
        <v>149</v>
      </c>
      <c r="H62" s="850"/>
      <c r="I62" s="850"/>
      <c r="J62" s="850"/>
      <c r="K62" s="850"/>
      <c r="L62" s="850"/>
      <c r="M62" s="850"/>
      <c r="N62" s="850"/>
      <c r="O62" s="850"/>
      <c r="P62" s="848"/>
      <c r="Q62" s="850" t="s">
        <v>1093</v>
      </c>
      <c r="R62" s="848"/>
      <c r="S62" s="81"/>
      <c r="T62" s="81"/>
      <c r="U62" s="81"/>
      <c r="V62" s="836" t="s">
        <v>12</v>
      </c>
      <c r="W62" s="836"/>
      <c r="X62" s="836"/>
      <c r="Y62" s="836"/>
      <c r="Z62" s="836" t="s">
        <v>2775</v>
      </c>
      <c r="AA62" s="852"/>
      <c r="AB62" s="848" t="s">
        <v>0</v>
      </c>
      <c r="AC62" s="848"/>
      <c r="AD62" s="848"/>
      <c r="AE62" s="848"/>
      <c r="AF62" s="848"/>
      <c r="AG62" s="848"/>
      <c r="AH62" s="848" t="s">
        <v>2</v>
      </c>
      <c r="AI62" s="81"/>
      <c r="AJ62" s="81"/>
      <c r="AK62" s="81"/>
      <c r="AL62" s="81"/>
      <c r="AM62" s="81"/>
      <c r="AN62" s="848"/>
      <c r="AO62" s="848"/>
      <c r="AP62" s="848"/>
      <c r="AQ62" s="848"/>
      <c r="AR62" s="848"/>
      <c r="AS62" s="853"/>
      <c r="AT62" s="853"/>
      <c r="AU62" s="853"/>
      <c r="AV62" s="853"/>
      <c r="AW62" s="853"/>
      <c r="AX62" s="853"/>
      <c r="AY62" s="848"/>
      <c r="AZ62" s="848"/>
      <c r="BA62" s="848"/>
      <c r="BB62" s="848"/>
      <c r="BC62" s="848"/>
      <c r="BD62" s="848"/>
      <c r="BE62" s="848"/>
      <c r="BF62" s="848"/>
      <c r="BG62" s="853"/>
      <c r="BH62" s="853"/>
      <c r="BI62" s="853"/>
      <c r="BJ62" s="853"/>
      <c r="BK62" s="853"/>
    </row>
    <row r="63" spans="1:70" ht="15">
      <c r="A63" s="848"/>
      <c r="B63" s="849"/>
      <c r="C63" s="849"/>
      <c r="D63" s="850"/>
      <c r="E63" s="850" t="s">
        <v>2774</v>
      </c>
      <c r="F63" s="850"/>
      <c r="G63" s="850" t="s">
        <v>149</v>
      </c>
      <c r="H63" s="850"/>
      <c r="I63" s="850"/>
      <c r="J63" s="850"/>
      <c r="K63" s="850"/>
      <c r="L63" s="850"/>
      <c r="M63" s="850"/>
      <c r="N63" s="850"/>
      <c r="O63" s="850"/>
      <c r="P63" s="848"/>
      <c r="Q63" s="850" t="s">
        <v>1093</v>
      </c>
      <c r="R63" s="848"/>
      <c r="S63" s="81"/>
      <c r="T63" s="81"/>
      <c r="U63" s="81"/>
      <c r="V63" s="836" t="s">
        <v>12</v>
      </c>
      <c r="W63" s="836"/>
      <c r="X63" s="836"/>
      <c r="Y63" s="836"/>
      <c r="Z63" s="836" t="s">
        <v>2775</v>
      </c>
      <c r="AA63" s="852"/>
      <c r="AB63" s="848" t="s">
        <v>0</v>
      </c>
      <c r="AC63" s="848"/>
      <c r="AD63" s="848"/>
      <c r="AE63" s="848"/>
      <c r="AF63" s="848"/>
      <c r="AG63" s="848"/>
      <c r="AH63" s="848" t="s">
        <v>2</v>
      </c>
      <c r="AI63" s="81"/>
      <c r="AJ63" s="81"/>
      <c r="AK63" s="81"/>
      <c r="AL63" s="81"/>
      <c r="AM63" s="81"/>
      <c r="AN63" s="848"/>
      <c r="AO63" s="848"/>
      <c r="AP63" s="848"/>
      <c r="AQ63" s="848"/>
      <c r="AR63" s="848"/>
      <c r="AS63" s="853"/>
      <c r="AT63" s="853"/>
      <c r="AU63" s="853"/>
      <c r="AV63" s="853"/>
      <c r="AW63" s="853"/>
      <c r="AX63" s="853"/>
      <c r="AY63" s="848"/>
      <c r="AZ63" s="848"/>
      <c r="BA63" s="848"/>
      <c r="BB63" s="848"/>
      <c r="BC63" s="848"/>
      <c r="BD63" s="848"/>
      <c r="BE63" s="848"/>
      <c r="BF63" s="848"/>
      <c r="BG63" s="853"/>
      <c r="BH63" s="853"/>
      <c r="BI63" s="853"/>
      <c r="BJ63" s="853"/>
      <c r="BK63" s="853"/>
    </row>
    <row r="64" spans="1:70" ht="15">
      <c r="A64" s="848"/>
      <c r="B64" s="849"/>
      <c r="C64" s="849"/>
      <c r="D64" s="850"/>
      <c r="E64" s="850" t="s">
        <v>2774</v>
      </c>
      <c r="F64" s="850"/>
      <c r="G64" s="850" t="s">
        <v>149</v>
      </c>
      <c r="H64" s="850"/>
      <c r="I64" s="850"/>
      <c r="J64" s="850"/>
      <c r="K64" s="850"/>
      <c r="L64" s="850"/>
      <c r="M64" s="850"/>
      <c r="N64" s="850"/>
      <c r="O64" s="850"/>
      <c r="P64" s="848"/>
      <c r="Q64" s="850" t="s">
        <v>1093</v>
      </c>
      <c r="R64" s="848"/>
      <c r="S64" s="81"/>
      <c r="T64" s="81"/>
      <c r="U64" s="81"/>
      <c r="V64" s="836" t="s">
        <v>12</v>
      </c>
      <c r="W64" s="836"/>
      <c r="X64" s="836"/>
      <c r="Y64" s="836"/>
      <c r="Z64" s="836" t="s">
        <v>2775</v>
      </c>
      <c r="AA64" s="852"/>
      <c r="AB64" s="848" t="s">
        <v>0</v>
      </c>
      <c r="AC64" s="848"/>
      <c r="AD64" s="848"/>
      <c r="AE64" s="848"/>
      <c r="AF64" s="848"/>
      <c r="AG64" s="848"/>
      <c r="AH64" s="848" t="s">
        <v>2</v>
      </c>
      <c r="AI64" s="81"/>
      <c r="AJ64" s="81"/>
      <c r="AK64" s="81"/>
      <c r="AL64" s="81"/>
      <c r="AM64" s="81"/>
      <c r="AN64" s="848"/>
      <c r="AO64" s="848"/>
      <c r="AP64" s="848"/>
      <c r="AQ64" s="848"/>
      <c r="AR64" s="848"/>
      <c r="AS64" s="853"/>
      <c r="AT64" s="853"/>
      <c r="AU64" s="853"/>
      <c r="AV64" s="853"/>
      <c r="AW64" s="853"/>
      <c r="AX64" s="853"/>
      <c r="AY64" s="848"/>
      <c r="AZ64" s="848"/>
      <c r="BA64" s="848"/>
      <c r="BB64" s="848"/>
      <c r="BC64" s="848"/>
      <c r="BD64" s="848"/>
      <c r="BE64" s="848"/>
      <c r="BF64" s="848"/>
      <c r="BG64" s="853"/>
      <c r="BH64" s="853"/>
      <c r="BI64" s="853"/>
      <c r="BJ64" s="853"/>
      <c r="BK64" s="853"/>
    </row>
    <row r="65" spans="1:70" ht="15">
      <c r="A65" s="848"/>
      <c r="B65" s="849"/>
      <c r="C65" s="849"/>
      <c r="D65" s="850"/>
      <c r="E65" s="850" t="s">
        <v>2774</v>
      </c>
      <c r="F65" s="850"/>
      <c r="G65" s="850" t="s">
        <v>149</v>
      </c>
      <c r="H65" s="850"/>
      <c r="I65" s="850"/>
      <c r="J65" s="850"/>
      <c r="K65" s="850"/>
      <c r="L65" s="850"/>
      <c r="M65" s="850"/>
      <c r="N65" s="850"/>
      <c r="O65" s="850"/>
      <c r="P65" s="848"/>
      <c r="Q65" s="850" t="s">
        <v>1093</v>
      </c>
      <c r="R65" s="848"/>
      <c r="S65" s="81"/>
      <c r="T65" s="81"/>
      <c r="U65" s="81"/>
      <c r="V65" s="836" t="s">
        <v>12</v>
      </c>
      <c r="W65" s="836"/>
      <c r="X65" s="836"/>
      <c r="Y65" s="836"/>
      <c r="Z65" s="836" t="s">
        <v>2775</v>
      </c>
      <c r="AA65" s="852"/>
      <c r="AB65" s="848" t="s">
        <v>0</v>
      </c>
      <c r="AC65" s="848"/>
      <c r="AD65" s="848"/>
      <c r="AE65" s="848"/>
      <c r="AF65" s="848"/>
      <c r="AG65" s="848"/>
      <c r="AH65" s="848" t="s">
        <v>2</v>
      </c>
      <c r="AI65" s="81"/>
      <c r="AJ65" s="81"/>
      <c r="AK65" s="81"/>
      <c r="AL65" s="81"/>
      <c r="AM65" s="81"/>
      <c r="AN65" s="848"/>
      <c r="AO65" s="848"/>
      <c r="AP65" s="848"/>
      <c r="AQ65" s="848"/>
      <c r="AR65" s="848"/>
      <c r="AS65" s="853"/>
      <c r="AT65" s="853"/>
      <c r="AU65" s="853"/>
      <c r="AV65" s="853"/>
      <c r="AW65" s="853"/>
      <c r="AX65" s="853"/>
      <c r="AY65" s="848"/>
      <c r="AZ65" s="848"/>
      <c r="BA65" s="848"/>
      <c r="BB65" s="848"/>
      <c r="BC65" s="848"/>
      <c r="BD65" s="848"/>
      <c r="BE65" s="848"/>
      <c r="BF65" s="848"/>
      <c r="BG65" s="853"/>
      <c r="BH65" s="853"/>
      <c r="BI65" s="853"/>
      <c r="BJ65" s="853"/>
      <c r="BK65" s="853"/>
    </row>
    <row r="66" spans="1:70" s="845" customFormat="1">
      <c r="B66" s="854"/>
      <c r="C66" s="854"/>
      <c r="D66" s="850"/>
      <c r="E66" s="850" t="s">
        <v>2774</v>
      </c>
      <c r="F66" s="855"/>
      <c r="G66" s="850" t="s">
        <v>149</v>
      </c>
      <c r="H66" s="855"/>
      <c r="I66" s="855"/>
      <c r="J66" s="855"/>
      <c r="K66" s="855"/>
      <c r="L66" s="855"/>
      <c r="M66" s="855"/>
      <c r="N66" s="855"/>
      <c r="O66" s="855"/>
      <c r="P66" s="848"/>
      <c r="Q66" s="850" t="s">
        <v>1093</v>
      </c>
      <c r="R66" s="848"/>
      <c r="S66" s="81"/>
      <c r="T66" s="81"/>
      <c r="U66" s="81"/>
      <c r="V66" s="854" t="s">
        <v>12</v>
      </c>
      <c r="W66" s="854"/>
      <c r="X66" s="854"/>
      <c r="Y66" s="854"/>
      <c r="Z66" s="854" t="s">
        <v>2775</v>
      </c>
      <c r="AA66" s="854"/>
      <c r="AB66" s="854" t="s">
        <v>0</v>
      </c>
      <c r="AC66" s="854"/>
      <c r="AD66" s="854"/>
      <c r="AE66" s="855"/>
      <c r="AF66" s="855"/>
      <c r="AG66" s="855"/>
      <c r="AH66" s="855" t="s">
        <v>2</v>
      </c>
      <c r="AI66" s="81"/>
      <c r="AJ66" s="81"/>
      <c r="AK66" s="81"/>
      <c r="AL66" s="81"/>
      <c r="AM66" s="81"/>
      <c r="AN66" s="855"/>
      <c r="AO66" s="855"/>
      <c r="AP66" s="855"/>
      <c r="AQ66" s="855"/>
      <c r="AR66" s="855"/>
      <c r="AS66" s="855"/>
      <c r="AT66" s="855"/>
      <c r="AU66" s="856"/>
      <c r="AV66" s="856"/>
      <c r="AW66" s="856"/>
      <c r="AY66" s="854"/>
      <c r="AZ66" s="856"/>
      <c r="BA66" s="855"/>
      <c r="BB66" s="855"/>
      <c r="BC66" s="855"/>
      <c r="BD66" s="855"/>
      <c r="BE66" s="855"/>
      <c r="BF66" s="855"/>
      <c r="BG66" s="855"/>
      <c r="BH66" s="855"/>
      <c r="BI66" s="856"/>
      <c r="BJ66" s="856"/>
      <c r="BK66" s="856"/>
      <c r="BL66" s="856"/>
      <c r="BM66" s="856"/>
      <c r="BN66" s="856"/>
      <c r="BO66" s="856"/>
      <c r="BP66" s="856"/>
      <c r="BQ66" s="856"/>
      <c r="BR66" s="855"/>
    </row>
    <row r="67" spans="1:70" s="845" customFormat="1">
      <c r="D67" s="850"/>
      <c r="E67" s="850" t="s">
        <v>2774</v>
      </c>
      <c r="F67" s="855"/>
      <c r="G67" s="850" t="s">
        <v>149</v>
      </c>
      <c r="H67" s="855"/>
      <c r="I67" s="855"/>
      <c r="J67" s="855"/>
      <c r="K67" s="855"/>
      <c r="L67" s="855"/>
      <c r="M67" s="855"/>
      <c r="N67" s="855"/>
      <c r="O67" s="855"/>
      <c r="P67" s="848"/>
      <c r="Q67" s="850" t="s">
        <v>1093</v>
      </c>
      <c r="R67" s="848"/>
      <c r="S67" s="81"/>
      <c r="T67" s="81"/>
      <c r="U67" s="81"/>
      <c r="V67" s="857" t="s">
        <v>12</v>
      </c>
      <c r="W67" s="857"/>
      <c r="X67" s="857"/>
      <c r="Y67" s="857"/>
      <c r="Z67" s="857" t="s">
        <v>2775</v>
      </c>
      <c r="AA67" s="854"/>
      <c r="AB67" s="856" t="s">
        <v>0</v>
      </c>
      <c r="AC67" s="856"/>
      <c r="AD67" s="856"/>
      <c r="AE67" s="855"/>
      <c r="AF67" s="855"/>
      <c r="AG67" s="855"/>
      <c r="AH67" s="855" t="s">
        <v>2</v>
      </c>
      <c r="AI67" s="81"/>
      <c r="AJ67" s="81"/>
      <c r="AK67" s="81"/>
      <c r="AL67" s="81"/>
      <c r="AM67" s="81"/>
      <c r="AN67" s="855"/>
      <c r="AO67" s="855"/>
      <c r="AP67" s="855"/>
      <c r="AQ67" s="855"/>
      <c r="AR67" s="855"/>
      <c r="AS67" s="855"/>
      <c r="AT67" s="855"/>
      <c r="AU67" s="856"/>
      <c r="AV67" s="856"/>
      <c r="AW67" s="856"/>
      <c r="AY67" s="854"/>
      <c r="AZ67" s="856"/>
      <c r="BA67" s="855"/>
      <c r="BB67" s="855"/>
      <c r="BC67" s="855"/>
      <c r="BD67" s="855"/>
      <c r="BE67" s="855"/>
      <c r="BF67" s="855"/>
      <c r="BG67" s="855"/>
      <c r="BH67" s="855"/>
      <c r="BI67" s="856"/>
      <c r="BJ67" s="856"/>
      <c r="BK67" s="856"/>
      <c r="BL67" s="856"/>
      <c r="BM67" s="856"/>
      <c r="BN67" s="856"/>
      <c r="BO67" s="856"/>
      <c r="BP67" s="856"/>
      <c r="BQ67" s="856"/>
      <c r="BR67" s="855"/>
    </row>
    <row r="68" spans="1:70" s="845" customFormat="1">
      <c r="D68" s="850"/>
      <c r="E68" s="850" t="s">
        <v>2774</v>
      </c>
      <c r="F68" s="855"/>
      <c r="G68" s="850" t="s">
        <v>149</v>
      </c>
      <c r="H68" s="855"/>
      <c r="I68" s="855"/>
      <c r="J68" s="855"/>
      <c r="K68" s="855"/>
      <c r="L68" s="855"/>
      <c r="M68" s="855"/>
      <c r="N68" s="855"/>
      <c r="O68" s="855"/>
      <c r="P68" s="848"/>
      <c r="Q68" s="850" t="s">
        <v>1093</v>
      </c>
      <c r="R68" s="848"/>
      <c r="S68" s="81"/>
      <c r="T68" s="81"/>
      <c r="U68" s="81"/>
      <c r="V68" s="857" t="s">
        <v>12</v>
      </c>
      <c r="W68" s="857"/>
      <c r="X68" s="857"/>
      <c r="Y68" s="857"/>
      <c r="Z68" s="857" t="s">
        <v>2775</v>
      </c>
      <c r="AA68" s="854"/>
      <c r="AB68" s="856" t="s">
        <v>0</v>
      </c>
      <c r="AC68" s="856"/>
      <c r="AD68" s="856"/>
      <c r="AE68" s="855"/>
      <c r="AF68" s="855"/>
      <c r="AG68" s="855"/>
      <c r="AH68" s="855" t="s">
        <v>2</v>
      </c>
      <c r="AI68" s="81"/>
      <c r="AJ68" s="81"/>
      <c r="AK68" s="81"/>
      <c r="AL68" s="81"/>
      <c r="AM68" s="81"/>
      <c r="AN68" s="855"/>
      <c r="AO68" s="855"/>
      <c r="AP68" s="855"/>
      <c r="AQ68" s="855"/>
      <c r="AR68" s="855"/>
      <c r="AS68" s="855"/>
      <c r="AT68" s="855"/>
      <c r="AU68" s="856"/>
      <c r="AV68" s="856"/>
      <c r="AW68" s="856"/>
      <c r="AY68" s="854"/>
      <c r="AZ68" s="856"/>
      <c r="BA68" s="855"/>
      <c r="BB68" s="855"/>
      <c r="BC68" s="855"/>
      <c r="BD68" s="855"/>
      <c r="BE68" s="855"/>
      <c r="BF68" s="855"/>
      <c r="BG68" s="855"/>
      <c r="BH68" s="855"/>
      <c r="BI68" s="856"/>
      <c r="BJ68" s="856"/>
      <c r="BK68" s="856"/>
      <c r="BL68" s="856"/>
      <c r="BM68" s="856"/>
      <c r="BN68" s="856"/>
      <c r="BO68" s="856"/>
      <c r="BP68" s="856"/>
      <c r="BQ68" s="856"/>
      <c r="BR68" s="855"/>
    </row>
    <row r="69" spans="1:70" s="845" customFormat="1">
      <c r="D69" s="850"/>
      <c r="E69" s="850" t="s">
        <v>2774</v>
      </c>
      <c r="F69" s="855"/>
      <c r="G69" s="850" t="s">
        <v>149</v>
      </c>
      <c r="H69" s="855"/>
      <c r="I69" s="855"/>
      <c r="J69" s="855"/>
      <c r="K69" s="855"/>
      <c r="L69" s="855"/>
      <c r="M69" s="855"/>
      <c r="N69" s="855"/>
      <c r="O69" s="855"/>
      <c r="P69" s="848"/>
      <c r="Q69" s="850" t="s">
        <v>1093</v>
      </c>
      <c r="R69" s="848"/>
      <c r="S69" s="81"/>
      <c r="T69" s="81"/>
      <c r="U69" s="81"/>
      <c r="V69" s="857" t="s">
        <v>12</v>
      </c>
      <c r="W69" s="857"/>
      <c r="X69" s="857"/>
      <c r="Y69" s="857"/>
      <c r="Z69" s="857" t="s">
        <v>2775</v>
      </c>
      <c r="AA69" s="854"/>
      <c r="AB69" s="856"/>
      <c r="AC69" s="856"/>
      <c r="AD69" s="856"/>
      <c r="AE69" s="855"/>
      <c r="AF69" s="855"/>
      <c r="AG69" s="855"/>
      <c r="AH69" s="855" t="s">
        <v>2</v>
      </c>
      <c r="AI69" s="81"/>
      <c r="AJ69" s="81"/>
      <c r="AK69" s="81"/>
      <c r="AL69" s="81"/>
      <c r="AM69" s="81"/>
      <c r="AN69" s="855"/>
      <c r="AO69" s="855"/>
      <c r="AP69" s="855"/>
      <c r="AQ69" s="855"/>
      <c r="AR69" s="855"/>
      <c r="AS69" s="855"/>
      <c r="AT69" s="855"/>
      <c r="AU69" s="856"/>
      <c r="AV69" s="856"/>
      <c r="AW69" s="856"/>
      <c r="AY69" s="854"/>
      <c r="AZ69" s="856"/>
      <c r="BA69" s="855"/>
      <c r="BB69" s="855"/>
      <c r="BC69" s="855"/>
      <c r="BD69" s="855"/>
      <c r="BE69" s="855"/>
      <c r="BF69" s="855"/>
      <c r="BG69" s="855"/>
      <c r="BH69" s="855"/>
      <c r="BI69" s="856"/>
      <c r="BJ69" s="856"/>
      <c r="BK69" s="856"/>
      <c r="BL69" s="856"/>
      <c r="BM69" s="856"/>
      <c r="BN69" s="856"/>
      <c r="BO69" s="856"/>
      <c r="BP69" s="856"/>
      <c r="BQ69" s="856"/>
      <c r="BR69" s="855"/>
    </row>
    <row r="70" spans="1:70" s="845" customFormat="1">
      <c r="D70" s="850"/>
      <c r="E70" s="850" t="s">
        <v>2774</v>
      </c>
      <c r="F70" s="855"/>
      <c r="G70" s="850" t="s">
        <v>149</v>
      </c>
      <c r="H70" s="855"/>
      <c r="I70" s="855"/>
      <c r="J70" s="855"/>
      <c r="K70" s="855"/>
      <c r="L70" s="855"/>
      <c r="M70" s="855"/>
      <c r="N70" s="855"/>
      <c r="O70" s="855"/>
      <c r="P70" s="848"/>
      <c r="Q70" s="850" t="s">
        <v>1093</v>
      </c>
      <c r="R70" s="848"/>
      <c r="S70" s="81"/>
      <c r="T70" s="81"/>
      <c r="U70" s="81"/>
      <c r="V70" s="857" t="s">
        <v>12</v>
      </c>
      <c r="W70" s="857"/>
      <c r="X70" s="857"/>
      <c r="Y70" s="857"/>
      <c r="Z70" s="857" t="s">
        <v>2775</v>
      </c>
      <c r="AA70" s="854"/>
      <c r="AB70" s="856"/>
      <c r="AC70" s="856"/>
      <c r="AD70" s="856"/>
      <c r="AE70" s="855"/>
      <c r="AF70" s="855"/>
      <c r="AG70" s="855"/>
      <c r="AH70" s="855" t="s">
        <v>2</v>
      </c>
      <c r="AI70" s="81"/>
      <c r="AJ70" s="81"/>
      <c r="AK70" s="81"/>
      <c r="AL70" s="81"/>
      <c r="AM70" s="81"/>
      <c r="AN70" s="855"/>
      <c r="AO70" s="855"/>
      <c r="AP70" s="855"/>
      <c r="AQ70" s="855"/>
      <c r="AR70" s="855"/>
      <c r="AS70" s="855"/>
      <c r="AT70" s="855"/>
      <c r="AU70" s="856"/>
      <c r="AV70" s="856"/>
      <c r="AW70" s="856"/>
      <c r="AY70" s="854"/>
      <c r="AZ70" s="856"/>
      <c r="BA70" s="855"/>
      <c r="BB70" s="855"/>
      <c r="BC70" s="855"/>
      <c r="BD70" s="855"/>
      <c r="BE70" s="855"/>
      <c r="BF70" s="855"/>
      <c r="BG70" s="855"/>
      <c r="BH70" s="855"/>
      <c r="BI70" s="856"/>
      <c r="BJ70" s="856"/>
      <c r="BK70" s="856"/>
      <c r="BL70" s="856"/>
      <c r="BM70" s="856"/>
      <c r="BN70" s="856"/>
      <c r="BO70" s="856"/>
      <c r="BP70" s="856"/>
      <c r="BQ70" s="856"/>
      <c r="BR70" s="855"/>
    </row>
    <row r="71" spans="1:70" s="845" customFormat="1">
      <c r="D71" s="850"/>
      <c r="E71" s="850" t="s">
        <v>2774</v>
      </c>
      <c r="F71" s="855"/>
      <c r="G71" s="850" t="s">
        <v>149</v>
      </c>
      <c r="H71" s="855"/>
      <c r="I71" s="855"/>
      <c r="J71" s="855"/>
      <c r="K71" s="855"/>
      <c r="L71" s="855"/>
      <c r="M71" s="855"/>
      <c r="N71" s="855"/>
      <c r="O71" s="855"/>
      <c r="P71" s="848"/>
      <c r="Q71" s="850" t="s">
        <v>1093</v>
      </c>
      <c r="R71" s="848"/>
      <c r="S71" s="81"/>
      <c r="T71" s="81"/>
      <c r="U71" s="81"/>
      <c r="V71" s="857" t="s">
        <v>12</v>
      </c>
      <c r="W71" s="857"/>
      <c r="X71" s="857"/>
      <c r="Y71" s="857"/>
      <c r="Z71" s="857" t="s">
        <v>2775</v>
      </c>
      <c r="AA71" s="854"/>
      <c r="AB71" s="856"/>
      <c r="AC71" s="856"/>
      <c r="AD71" s="856"/>
      <c r="AE71" s="855"/>
      <c r="AF71" s="855"/>
      <c r="AG71" s="855"/>
      <c r="AH71" s="855" t="s">
        <v>2</v>
      </c>
      <c r="AI71" s="81"/>
      <c r="AJ71" s="81"/>
      <c r="AK71" s="81"/>
      <c r="AL71" s="81"/>
      <c r="AM71" s="81"/>
      <c r="AN71" s="855"/>
      <c r="AO71" s="855"/>
      <c r="AP71" s="855"/>
      <c r="AQ71" s="855"/>
      <c r="AR71" s="855"/>
      <c r="AS71" s="855"/>
      <c r="AT71" s="855"/>
      <c r="AU71" s="856"/>
      <c r="AV71" s="856"/>
      <c r="AW71" s="856"/>
      <c r="AY71" s="854"/>
      <c r="AZ71" s="856"/>
      <c r="BA71" s="855"/>
      <c r="BB71" s="855"/>
      <c r="BC71" s="855"/>
      <c r="BD71" s="855"/>
      <c r="BE71" s="855"/>
      <c r="BF71" s="855"/>
      <c r="BG71" s="855"/>
      <c r="BH71" s="855"/>
      <c r="BI71" s="856"/>
      <c r="BJ71" s="856"/>
      <c r="BK71" s="856"/>
      <c r="BL71" s="856"/>
      <c r="BM71" s="856"/>
      <c r="BN71" s="856"/>
      <c r="BO71" s="856"/>
      <c r="BP71" s="856"/>
      <c r="BQ71" s="856"/>
      <c r="BR71" s="855"/>
    </row>
    <row r="73" spans="1:70" s="1" customFormat="1" ht="13.9">
      <c r="B73" s="866" t="s">
        <v>2809</v>
      </c>
    </row>
    <row r="75" spans="1:70" ht="15">
      <c r="A75" s="848"/>
      <c r="B75" s="849"/>
      <c r="C75" s="849"/>
      <c r="D75" s="850"/>
      <c r="E75" s="850" t="s">
        <v>2774</v>
      </c>
      <c r="F75" s="850"/>
      <c r="G75" s="850" t="s">
        <v>149</v>
      </c>
      <c r="H75" s="850"/>
      <c r="I75" s="850"/>
      <c r="J75" s="850"/>
      <c r="K75" s="850"/>
      <c r="L75" s="850"/>
      <c r="M75" s="850"/>
      <c r="N75" s="850"/>
      <c r="O75" s="850"/>
      <c r="P75" s="848"/>
      <c r="Q75" s="850" t="s">
        <v>1093</v>
      </c>
      <c r="R75" s="848"/>
      <c r="S75" s="81"/>
      <c r="T75" s="81"/>
      <c r="U75" s="81"/>
      <c r="V75" s="836" t="s">
        <v>12</v>
      </c>
      <c r="W75" s="836"/>
      <c r="X75" s="836"/>
      <c r="Y75" s="836"/>
      <c r="Z75" s="836" t="s">
        <v>2775</v>
      </c>
      <c r="AA75" s="852"/>
      <c r="AB75" s="848" t="s">
        <v>0</v>
      </c>
      <c r="AC75" s="848"/>
      <c r="AD75" s="848"/>
      <c r="AE75" s="848"/>
      <c r="AF75" s="848"/>
      <c r="AG75" s="848"/>
      <c r="AH75" s="848" t="s">
        <v>2</v>
      </c>
      <c r="AI75" s="851"/>
      <c r="AJ75" s="851"/>
      <c r="AK75" s="851"/>
      <c r="AL75" s="851"/>
      <c r="AM75" s="851"/>
      <c r="AN75" s="848"/>
      <c r="AO75" s="848"/>
      <c r="AP75" s="848"/>
      <c r="AQ75" s="848"/>
      <c r="AR75" s="848"/>
      <c r="AS75" s="853"/>
      <c r="AT75" s="853"/>
      <c r="AU75" s="853"/>
      <c r="AV75" s="853"/>
      <c r="AW75" s="853"/>
      <c r="AX75" s="853"/>
      <c r="AY75" s="848"/>
      <c r="AZ75" s="848"/>
      <c r="BA75" s="848"/>
      <c r="BB75" s="848"/>
      <c r="BC75" s="848"/>
      <c r="BD75" s="848"/>
      <c r="BE75" s="848"/>
      <c r="BF75" s="848"/>
      <c r="BG75" s="853"/>
      <c r="BH75" s="853"/>
      <c r="BI75" s="853"/>
      <c r="BJ75" s="853"/>
      <c r="BK75" s="853"/>
    </row>
    <row r="76" spans="1:70" ht="15">
      <c r="A76" s="848"/>
      <c r="B76" s="849"/>
      <c r="C76" s="849"/>
      <c r="D76" s="850"/>
      <c r="E76" s="850" t="s">
        <v>2774</v>
      </c>
      <c r="F76" s="850"/>
      <c r="G76" s="850" t="s">
        <v>149</v>
      </c>
      <c r="H76" s="850"/>
      <c r="I76" s="850"/>
      <c r="J76" s="850"/>
      <c r="K76" s="850"/>
      <c r="L76" s="850"/>
      <c r="M76" s="850"/>
      <c r="N76" s="850"/>
      <c r="O76" s="850"/>
      <c r="P76" s="848"/>
      <c r="Q76" s="850" t="s">
        <v>1093</v>
      </c>
      <c r="R76" s="848"/>
      <c r="S76" s="81"/>
      <c r="T76" s="81"/>
      <c r="U76" s="81"/>
      <c r="V76" s="836" t="s">
        <v>12</v>
      </c>
      <c r="W76" s="836"/>
      <c r="X76" s="836"/>
      <c r="Y76" s="836"/>
      <c r="Z76" s="836" t="s">
        <v>2775</v>
      </c>
      <c r="AA76" s="852"/>
      <c r="AB76" s="848" t="s">
        <v>0</v>
      </c>
      <c r="AC76" s="848"/>
      <c r="AD76" s="848"/>
      <c r="AE76" s="848"/>
      <c r="AF76" s="848"/>
      <c r="AG76" s="848"/>
      <c r="AH76" s="848" t="s">
        <v>2</v>
      </c>
      <c r="AI76" s="851"/>
      <c r="AJ76" s="851"/>
      <c r="AK76" s="851"/>
      <c r="AL76" s="851"/>
      <c r="AM76" s="851"/>
      <c r="AN76" s="848"/>
      <c r="AO76" s="848"/>
      <c r="AP76" s="848"/>
      <c r="AQ76" s="848"/>
      <c r="AR76" s="848"/>
      <c r="AS76" s="853"/>
      <c r="AT76" s="853"/>
      <c r="AU76" s="853"/>
      <c r="AV76" s="853"/>
      <c r="AW76" s="853"/>
      <c r="AX76" s="853"/>
      <c r="AY76" s="848"/>
      <c r="AZ76" s="848"/>
      <c r="BA76" s="848"/>
      <c r="BB76" s="848"/>
      <c r="BC76" s="848"/>
      <c r="BD76" s="848"/>
      <c r="BE76" s="848"/>
      <c r="BF76" s="848"/>
      <c r="BG76" s="853"/>
      <c r="BH76" s="853"/>
      <c r="BI76" s="853"/>
      <c r="BJ76" s="853"/>
      <c r="BK76" s="853"/>
    </row>
    <row r="77" spans="1:70" ht="15">
      <c r="A77" s="848"/>
      <c r="B77" s="849"/>
      <c r="C77" s="849"/>
      <c r="D77" s="850"/>
      <c r="E77" s="850" t="s">
        <v>2774</v>
      </c>
      <c r="F77" s="850"/>
      <c r="G77" s="850" t="s">
        <v>149</v>
      </c>
      <c r="H77" s="850"/>
      <c r="I77" s="850"/>
      <c r="J77" s="850"/>
      <c r="K77" s="850"/>
      <c r="L77" s="850"/>
      <c r="M77" s="850"/>
      <c r="N77" s="850"/>
      <c r="O77" s="850"/>
      <c r="P77" s="848"/>
      <c r="Q77" s="850" t="s">
        <v>1093</v>
      </c>
      <c r="R77" s="848"/>
      <c r="S77" s="81"/>
      <c r="T77" s="81"/>
      <c r="U77" s="81"/>
      <c r="V77" s="836" t="s">
        <v>12</v>
      </c>
      <c r="W77" s="836"/>
      <c r="X77" s="836"/>
      <c r="Y77" s="836"/>
      <c r="Z77" s="836" t="s">
        <v>2775</v>
      </c>
      <c r="AA77" s="852"/>
      <c r="AB77" s="848" t="s">
        <v>0</v>
      </c>
      <c r="AC77" s="848"/>
      <c r="AD77" s="848"/>
      <c r="AE77" s="848"/>
      <c r="AF77" s="848"/>
      <c r="AG77" s="848"/>
      <c r="AH77" s="848" t="s">
        <v>2</v>
      </c>
      <c r="AI77" s="851"/>
      <c r="AJ77" s="851"/>
      <c r="AK77" s="851"/>
      <c r="AL77" s="851"/>
      <c r="AM77" s="851"/>
      <c r="AN77" s="848"/>
      <c r="AO77" s="848"/>
      <c r="AP77" s="848"/>
      <c r="AQ77" s="848"/>
      <c r="AR77" s="848"/>
      <c r="AS77" s="853"/>
      <c r="AT77" s="853"/>
      <c r="AU77" s="853"/>
      <c r="AV77" s="853"/>
      <c r="AW77" s="853"/>
      <c r="AX77" s="853"/>
      <c r="AY77" s="848"/>
      <c r="AZ77" s="848"/>
      <c r="BA77" s="848"/>
      <c r="BB77" s="848"/>
      <c r="BC77" s="848"/>
      <c r="BD77" s="848"/>
      <c r="BE77" s="848"/>
      <c r="BF77" s="848"/>
      <c r="BG77" s="853"/>
      <c r="BH77" s="853"/>
      <c r="BI77" s="853"/>
      <c r="BJ77" s="853"/>
      <c r="BK77" s="853"/>
    </row>
    <row r="78" spans="1:70" ht="15">
      <c r="A78" s="848"/>
      <c r="B78" s="849"/>
      <c r="C78" s="849"/>
      <c r="D78" s="850"/>
      <c r="E78" s="850" t="s">
        <v>2774</v>
      </c>
      <c r="F78" s="850"/>
      <c r="G78" s="850" t="s">
        <v>149</v>
      </c>
      <c r="H78" s="850"/>
      <c r="I78" s="850"/>
      <c r="J78" s="850"/>
      <c r="K78" s="850"/>
      <c r="L78" s="850"/>
      <c r="M78" s="850"/>
      <c r="N78" s="850"/>
      <c r="O78" s="850"/>
      <c r="P78" s="848"/>
      <c r="Q78" s="850" t="s">
        <v>1093</v>
      </c>
      <c r="R78" s="848"/>
      <c r="S78" s="81"/>
      <c r="T78" s="81"/>
      <c r="U78" s="81"/>
      <c r="V78" s="836" t="s">
        <v>12</v>
      </c>
      <c r="W78" s="836"/>
      <c r="X78" s="836"/>
      <c r="Y78" s="836"/>
      <c r="Z78" s="836" t="s">
        <v>2775</v>
      </c>
      <c r="AA78" s="852"/>
      <c r="AB78" s="848" t="s">
        <v>0</v>
      </c>
      <c r="AC78" s="848"/>
      <c r="AD78" s="848"/>
      <c r="AE78" s="848"/>
      <c r="AF78" s="848"/>
      <c r="AG78" s="848"/>
      <c r="AH78" s="848" t="s">
        <v>2</v>
      </c>
      <c r="AI78" s="851"/>
      <c r="AJ78" s="851"/>
      <c r="AK78" s="851"/>
      <c r="AL78" s="851"/>
      <c r="AM78" s="851"/>
      <c r="AN78" s="848"/>
      <c r="AO78" s="848"/>
      <c r="AP78" s="848"/>
      <c r="AQ78" s="848"/>
      <c r="AR78" s="848"/>
      <c r="AS78" s="853"/>
      <c r="AT78" s="853"/>
      <c r="AU78" s="853"/>
      <c r="AV78" s="853"/>
      <c r="AW78" s="853"/>
      <c r="AX78" s="853"/>
      <c r="AY78" s="848"/>
      <c r="AZ78" s="848"/>
      <c r="BA78" s="848"/>
      <c r="BB78" s="848"/>
      <c r="BC78" s="848"/>
      <c r="BD78" s="848"/>
      <c r="BE78" s="848"/>
      <c r="BF78" s="848"/>
      <c r="BG78" s="853"/>
      <c r="BH78" s="853"/>
      <c r="BI78" s="853"/>
      <c r="BJ78" s="853"/>
      <c r="BK78" s="853"/>
    </row>
    <row r="79" spans="1:70" s="845" customFormat="1">
      <c r="B79" s="854"/>
      <c r="C79" s="854"/>
      <c r="D79" s="850"/>
      <c r="E79" s="850" t="s">
        <v>2774</v>
      </c>
      <c r="F79" s="855"/>
      <c r="G79" s="850" t="s">
        <v>149</v>
      </c>
      <c r="H79" s="855"/>
      <c r="I79" s="855"/>
      <c r="J79" s="855"/>
      <c r="K79" s="855"/>
      <c r="L79" s="855"/>
      <c r="M79" s="855"/>
      <c r="N79" s="855"/>
      <c r="O79" s="855"/>
      <c r="P79" s="848"/>
      <c r="Q79" s="850" t="s">
        <v>1093</v>
      </c>
      <c r="R79" s="848"/>
      <c r="S79" s="81"/>
      <c r="T79" s="81"/>
      <c r="U79" s="81"/>
      <c r="V79" s="854" t="s">
        <v>12</v>
      </c>
      <c r="W79" s="854"/>
      <c r="X79" s="854"/>
      <c r="Y79" s="854"/>
      <c r="Z79" s="854" t="s">
        <v>2775</v>
      </c>
      <c r="AA79" s="854"/>
      <c r="AB79" s="854" t="s">
        <v>0</v>
      </c>
      <c r="AC79" s="854"/>
      <c r="AD79" s="854"/>
      <c r="AE79" s="855"/>
      <c r="AF79" s="855"/>
      <c r="AG79" s="855"/>
      <c r="AH79" s="855" t="s">
        <v>2</v>
      </c>
      <c r="AI79" s="851"/>
      <c r="AJ79" s="851"/>
      <c r="AK79" s="851"/>
      <c r="AL79" s="851"/>
      <c r="AM79" s="851"/>
      <c r="AN79" s="855"/>
      <c r="AO79" s="855"/>
      <c r="AP79" s="855"/>
      <c r="AQ79" s="855"/>
      <c r="AR79" s="855"/>
      <c r="AS79" s="855"/>
      <c r="AT79" s="855"/>
      <c r="AU79" s="856"/>
      <c r="AV79" s="856"/>
      <c r="AW79" s="856"/>
      <c r="AY79" s="854"/>
      <c r="AZ79" s="856"/>
      <c r="BA79" s="855"/>
      <c r="BB79" s="855"/>
      <c r="BC79" s="855"/>
      <c r="BD79" s="855"/>
      <c r="BE79" s="855"/>
      <c r="BF79" s="855"/>
      <c r="BG79" s="855"/>
      <c r="BH79" s="855"/>
      <c r="BI79" s="856"/>
      <c r="BJ79" s="856"/>
      <c r="BK79" s="856"/>
      <c r="BL79" s="856"/>
      <c r="BM79" s="856"/>
      <c r="BN79" s="856"/>
      <c r="BO79" s="856"/>
      <c r="BP79" s="856"/>
      <c r="BQ79" s="856"/>
      <c r="BR79" s="855"/>
    </row>
    <row r="80" spans="1:70" s="845" customFormat="1">
      <c r="D80" s="850"/>
      <c r="E80" s="850" t="s">
        <v>2774</v>
      </c>
      <c r="F80" s="855"/>
      <c r="G80" s="850" t="s">
        <v>149</v>
      </c>
      <c r="H80" s="855"/>
      <c r="I80" s="855"/>
      <c r="J80" s="855"/>
      <c r="K80" s="855"/>
      <c r="L80" s="855"/>
      <c r="M80" s="855"/>
      <c r="N80" s="855"/>
      <c r="O80" s="855"/>
      <c r="P80" s="848"/>
      <c r="Q80" s="850" t="s">
        <v>1093</v>
      </c>
      <c r="R80" s="848"/>
      <c r="S80" s="81"/>
      <c r="T80" s="81"/>
      <c r="U80" s="81"/>
      <c r="V80" s="857" t="s">
        <v>12</v>
      </c>
      <c r="W80" s="857"/>
      <c r="X80" s="857"/>
      <c r="Y80" s="857"/>
      <c r="Z80" s="857" t="s">
        <v>2775</v>
      </c>
      <c r="AA80" s="854"/>
      <c r="AB80" s="856" t="s">
        <v>0</v>
      </c>
      <c r="AC80" s="856"/>
      <c r="AD80" s="856"/>
      <c r="AE80" s="855"/>
      <c r="AF80" s="855"/>
      <c r="AG80" s="855"/>
      <c r="AH80" s="855" t="s">
        <v>2</v>
      </c>
      <c r="AI80" s="851"/>
      <c r="AJ80" s="851"/>
      <c r="AK80" s="851"/>
      <c r="AL80" s="851"/>
      <c r="AM80" s="851"/>
      <c r="AN80" s="855"/>
      <c r="AO80" s="855"/>
      <c r="AP80" s="855"/>
      <c r="AQ80" s="855"/>
      <c r="AR80" s="855"/>
      <c r="AS80" s="855"/>
      <c r="AT80" s="855"/>
      <c r="AU80" s="856"/>
      <c r="AV80" s="856"/>
      <c r="AW80" s="856"/>
      <c r="AY80" s="854"/>
      <c r="AZ80" s="856"/>
      <c r="BA80" s="855"/>
      <c r="BB80" s="855"/>
      <c r="BC80" s="855"/>
      <c r="BD80" s="855"/>
      <c r="BE80" s="855"/>
      <c r="BF80" s="855"/>
      <c r="BG80" s="855"/>
      <c r="BH80" s="855"/>
      <c r="BI80" s="856"/>
      <c r="BJ80" s="856"/>
      <c r="BK80" s="856"/>
      <c r="BL80" s="856"/>
      <c r="BM80" s="856"/>
      <c r="BN80" s="856"/>
      <c r="BO80" s="856"/>
      <c r="BP80" s="856"/>
      <c r="BQ80" s="856"/>
      <c r="BR80" s="855"/>
    </row>
    <row r="81" spans="1:70" s="845" customFormat="1">
      <c r="D81" s="850"/>
      <c r="E81" s="850" t="s">
        <v>2774</v>
      </c>
      <c r="F81" s="855"/>
      <c r="G81" s="850" t="s">
        <v>149</v>
      </c>
      <c r="H81" s="855"/>
      <c r="I81" s="855"/>
      <c r="J81" s="855"/>
      <c r="K81" s="855"/>
      <c r="L81" s="855"/>
      <c r="M81" s="855"/>
      <c r="N81" s="855"/>
      <c r="O81" s="855"/>
      <c r="P81" s="848"/>
      <c r="Q81" s="850" t="s">
        <v>1093</v>
      </c>
      <c r="R81" s="848"/>
      <c r="S81" s="81"/>
      <c r="T81" s="81"/>
      <c r="U81" s="81"/>
      <c r="V81" s="857" t="s">
        <v>12</v>
      </c>
      <c r="W81" s="857"/>
      <c r="X81" s="857"/>
      <c r="Y81" s="857"/>
      <c r="Z81" s="857" t="s">
        <v>2775</v>
      </c>
      <c r="AA81" s="854"/>
      <c r="AB81" s="856" t="s">
        <v>0</v>
      </c>
      <c r="AC81" s="856"/>
      <c r="AD81" s="856"/>
      <c r="AE81" s="855"/>
      <c r="AF81" s="855"/>
      <c r="AG81" s="855"/>
      <c r="AH81" s="855" t="s">
        <v>2</v>
      </c>
      <c r="AI81" s="851"/>
      <c r="AJ81" s="851"/>
      <c r="AK81" s="851"/>
      <c r="AL81" s="851"/>
      <c r="AM81" s="851"/>
      <c r="AN81" s="855"/>
      <c r="AO81" s="855"/>
      <c r="AP81" s="855"/>
      <c r="AQ81" s="855"/>
      <c r="AR81" s="855"/>
      <c r="AS81" s="855"/>
      <c r="AT81" s="855"/>
      <c r="AU81" s="856"/>
      <c r="AV81" s="856"/>
      <c r="AW81" s="856"/>
      <c r="AY81" s="854"/>
      <c r="AZ81" s="856"/>
      <c r="BA81" s="855"/>
      <c r="BB81" s="855"/>
      <c r="BC81" s="855"/>
      <c r="BD81" s="855"/>
      <c r="BE81" s="855"/>
      <c r="BF81" s="855"/>
      <c r="BG81" s="855"/>
      <c r="BH81" s="855"/>
      <c r="BI81" s="856"/>
      <c r="BJ81" s="856"/>
      <c r="BK81" s="856"/>
      <c r="BL81" s="856"/>
      <c r="BM81" s="856"/>
      <c r="BN81" s="856"/>
      <c r="BO81" s="856"/>
      <c r="BP81" s="856"/>
      <c r="BQ81" s="856"/>
      <c r="BR81" s="855"/>
    </row>
    <row r="82" spans="1:70" s="845" customFormat="1">
      <c r="D82" s="850"/>
      <c r="E82" s="850" t="s">
        <v>2774</v>
      </c>
      <c r="F82" s="855"/>
      <c r="G82" s="850" t="s">
        <v>149</v>
      </c>
      <c r="H82" s="855"/>
      <c r="I82" s="855"/>
      <c r="J82" s="855"/>
      <c r="K82" s="855"/>
      <c r="L82" s="855"/>
      <c r="M82" s="855"/>
      <c r="N82" s="855"/>
      <c r="O82" s="855"/>
      <c r="P82" s="848"/>
      <c r="Q82" s="850" t="s">
        <v>1093</v>
      </c>
      <c r="R82" s="848"/>
      <c r="S82" s="81"/>
      <c r="T82" s="81"/>
      <c r="U82" s="81"/>
      <c r="V82" s="857" t="s">
        <v>12</v>
      </c>
      <c r="W82" s="857"/>
      <c r="X82" s="857"/>
      <c r="Y82" s="857"/>
      <c r="Z82" s="857" t="s">
        <v>2775</v>
      </c>
      <c r="AA82" s="854"/>
      <c r="AB82" s="856"/>
      <c r="AC82" s="856"/>
      <c r="AD82" s="856"/>
      <c r="AE82" s="855"/>
      <c r="AF82" s="855"/>
      <c r="AG82" s="855"/>
      <c r="AH82" s="855" t="s">
        <v>2</v>
      </c>
      <c r="AI82" s="851"/>
      <c r="AJ82" s="851"/>
      <c r="AK82" s="851"/>
      <c r="AL82" s="851"/>
      <c r="AM82" s="851"/>
      <c r="AN82" s="855"/>
      <c r="AO82" s="855"/>
      <c r="AP82" s="855"/>
      <c r="AQ82" s="855"/>
      <c r="AR82" s="855"/>
      <c r="AS82" s="855"/>
      <c r="AT82" s="855"/>
      <c r="AU82" s="856"/>
      <c r="AV82" s="856"/>
      <c r="AW82" s="856"/>
      <c r="AY82" s="854"/>
      <c r="AZ82" s="856"/>
      <c r="BA82" s="855"/>
      <c r="BB82" s="855"/>
      <c r="BC82" s="855"/>
      <c r="BD82" s="855"/>
      <c r="BE82" s="855"/>
      <c r="BF82" s="855"/>
      <c r="BG82" s="855"/>
      <c r="BH82" s="855"/>
      <c r="BI82" s="856"/>
      <c r="BJ82" s="856"/>
      <c r="BK82" s="856"/>
      <c r="BL82" s="856"/>
      <c r="BM82" s="856"/>
      <c r="BN82" s="856"/>
      <c r="BO82" s="856"/>
      <c r="BP82" s="856"/>
      <c r="BQ82" s="856"/>
      <c r="BR82" s="855"/>
    </row>
    <row r="83" spans="1:70" s="845" customFormat="1">
      <c r="D83" s="850"/>
      <c r="E83" s="850" t="s">
        <v>2774</v>
      </c>
      <c r="F83" s="855"/>
      <c r="G83" s="850" t="s">
        <v>149</v>
      </c>
      <c r="H83" s="855"/>
      <c r="I83" s="855"/>
      <c r="J83" s="855"/>
      <c r="K83" s="855"/>
      <c r="L83" s="855"/>
      <c r="M83" s="855"/>
      <c r="N83" s="855"/>
      <c r="O83" s="855"/>
      <c r="P83" s="848"/>
      <c r="Q83" s="850" t="s">
        <v>1093</v>
      </c>
      <c r="R83" s="848"/>
      <c r="S83" s="81"/>
      <c r="T83" s="81"/>
      <c r="U83" s="81"/>
      <c r="V83" s="857" t="s">
        <v>12</v>
      </c>
      <c r="W83" s="857"/>
      <c r="X83" s="857"/>
      <c r="Y83" s="857"/>
      <c r="Z83" s="857" t="s">
        <v>2775</v>
      </c>
      <c r="AA83" s="854"/>
      <c r="AB83" s="856"/>
      <c r="AC83" s="856"/>
      <c r="AD83" s="856"/>
      <c r="AE83" s="855"/>
      <c r="AF83" s="855"/>
      <c r="AG83" s="855"/>
      <c r="AH83" s="855" t="s">
        <v>2</v>
      </c>
      <c r="AI83" s="851"/>
      <c r="AJ83" s="851"/>
      <c r="AK83" s="851"/>
      <c r="AL83" s="851"/>
      <c r="AM83" s="851"/>
      <c r="AN83" s="855"/>
      <c r="AO83" s="855"/>
      <c r="AP83" s="855"/>
      <c r="AQ83" s="855"/>
      <c r="AR83" s="855"/>
      <c r="AS83" s="855"/>
      <c r="AT83" s="855"/>
      <c r="AU83" s="856"/>
      <c r="AV83" s="856"/>
      <c r="AW83" s="856"/>
      <c r="AY83" s="854"/>
      <c r="AZ83" s="856"/>
      <c r="BA83" s="855"/>
      <c r="BB83" s="855"/>
      <c r="BC83" s="855"/>
      <c r="BD83" s="855"/>
      <c r="BE83" s="855"/>
      <c r="BF83" s="855"/>
      <c r="BG83" s="855"/>
      <c r="BH83" s="855"/>
      <c r="BI83" s="856"/>
      <c r="BJ83" s="856"/>
      <c r="BK83" s="856"/>
      <c r="BL83" s="856"/>
      <c r="BM83" s="856"/>
      <c r="BN83" s="856"/>
      <c r="BO83" s="856"/>
      <c r="BP83" s="856"/>
      <c r="BQ83" s="856"/>
      <c r="BR83" s="855"/>
    </row>
    <row r="84" spans="1:70" s="845" customFormat="1">
      <c r="D84" s="850"/>
      <c r="E84" s="850" t="s">
        <v>2774</v>
      </c>
      <c r="F84" s="855"/>
      <c r="G84" s="850" t="s">
        <v>149</v>
      </c>
      <c r="H84" s="855"/>
      <c r="I84" s="855"/>
      <c r="J84" s="855"/>
      <c r="K84" s="855"/>
      <c r="L84" s="855"/>
      <c r="M84" s="855"/>
      <c r="N84" s="855"/>
      <c r="O84" s="855"/>
      <c r="P84" s="848"/>
      <c r="Q84" s="850" t="s">
        <v>1093</v>
      </c>
      <c r="R84" s="848"/>
      <c r="S84" s="81"/>
      <c r="T84" s="81"/>
      <c r="U84" s="81"/>
      <c r="V84" s="857" t="s">
        <v>12</v>
      </c>
      <c r="W84" s="857"/>
      <c r="X84" s="857"/>
      <c r="Y84" s="857"/>
      <c r="Z84" s="857" t="s">
        <v>2775</v>
      </c>
      <c r="AA84" s="854"/>
      <c r="AB84" s="856"/>
      <c r="AC84" s="856"/>
      <c r="AD84" s="856"/>
      <c r="AE84" s="855"/>
      <c r="AF84" s="855"/>
      <c r="AG84" s="855"/>
      <c r="AH84" s="855" t="s">
        <v>2</v>
      </c>
      <c r="AI84" s="851"/>
      <c r="AJ84" s="851"/>
      <c r="AK84" s="851"/>
      <c r="AL84" s="851"/>
      <c r="AM84" s="851"/>
      <c r="AN84" s="855"/>
      <c r="AO84" s="855"/>
      <c r="AP84" s="855"/>
      <c r="AQ84" s="855"/>
      <c r="AR84" s="855"/>
      <c r="AS84" s="855"/>
      <c r="AT84" s="855"/>
      <c r="AU84" s="856"/>
      <c r="AV84" s="856"/>
      <c r="AW84" s="856"/>
      <c r="AY84" s="854"/>
      <c r="AZ84" s="856"/>
      <c r="BA84" s="855"/>
      <c r="BB84" s="855"/>
      <c r="BC84" s="855"/>
      <c r="BD84" s="855"/>
      <c r="BE84" s="855"/>
      <c r="BF84" s="855"/>
      <c r="BG84" s="855"/>
      <c r="BH84" s="855"/>
      <c r="BI84" s="856"/>
      <c r="BJ84" s="856"/>
      <c r="BK84" s="856"/>
      <c r="BL84" s="856"/>
      <c r="BM84" s="856"/>
      <c r="BN84" s="856"/>
      <c r="BO84" s="856"/>
      <c r="BP84" s="856"/>
      <c r="BQ84" s="856"/>
      <c r="BR84" s="855"/>
    </row>
    <row r="86" spans="1:70" s="1" customFormat="1" ht="13.9">
      <c r="B86" s="866" t="s">
        <v>2810</v>
      </c>
    </row>
    <row r="88" spans="1:70" ht="15">
      <c r="A88" s="848"/>
      <c r="B88" s="849"/>
      <c r="C88" s="849"/>
      <c r="D88" s="850"/>
      <c r="E88" s="850" t="s">
        <v>2774</v>
      </c>
      <c r="F88" s="850"/>
      <c r="G88" s="850" t="s">
        <v>149</v>
      </c>
      <c r="H88" s="850"/>
      <c r="I88" s="850"/>
      <c r="J88" s="850"/>
      <c r="K88" s="850"/>
      <c r="L88" s="850"/>
      <c r="M88" s="850"/>
      <c r="N88" s="850"/>
      <c r="O88" s="850"/>
      <c r="P88" s="848"/>
      <c r="Q88" s="850" t="s">
        <v>1093</v>
      </c>
      <c r="R88" s="848"/>
      <c r="S88" s="81"/>
      <c r="T88" s="81"/>
      <c r="U88" s="81"/>
      <c r="V88" s="836" t="s">
        <v>12</v>
      </c>
      <c r="W88" s="836"/>
      <c r="X88" s="836"/>
      <c r="Y88" s="836"/>
      <c r="Z88" s="836" t="s">
        <v>2775</v>
      </c>
      <c r="AA88" s="852"/>
      <c r="AB88" s="848" t="s">
        <v>0</v>
      </c>
      <c r="AC88" s="848"/>
      <c r="AD88" s="848"/>
      <c r="AE88" s="848"/>
      <c r="AF88" s="848"/>
      <c r="AG88" s="848"/>
      <c r="AH88" s="848" t="s">
        <v>2</v>
      </c>
      <c r="AI88" s="81"/>
      <c r="AJ88" s="81"/>
      <c r="AK88" s="81"/>
      <c r="AL88" s="81"/>
      <c r="AM88" s="81"/>
      <c r="AN88" s="848"/>
      <c r="AO88" s="848"/>
      <c r="AP88" s="848"/>
      <c r="AQ88" s="848"/>
      <c r="AR88" s="848"/>
      <c r="AS88" s="853"/>
      <c r="AT88" s="853"/>
      <c r="AU88" s="853"/>
      <c r="AV88" s="853"/>
      <c r="AW88" s="853"/>
      <c r="AX88" s="853"/>
      <c r="AY88" s="848"/>
      <c r="AZ88" s="848"/>
      <c r="BA88" s="848"/>
      <c r="BB88" s="848"/>
      <c r="BC88" s="848"/>
      <c r="BD88" s="848"/>
      <c r="BE88" s="848"/>
      <c r="BF88" s="848"/>
      <c r="BG88" s="853"/>
      <c r="BH88" s="853"/>
      <c r="BI88" s="853"/>
      <c r="BJ88" s="853"/>
      <c r="BK88" s="853"/>
    </row>
    <row r="89" spans="1:70" ht="15">
      <c r="A89" s="848"/>
      <c r="B89" s="849"/>
      <c r="C89" s="849"/>
      <c r="D89" s="850"/>
      <c r="E89" s="850" t="s">
        <v>2774</v>
      </c>
      <c r="F89" s="850"/>
      <c r="G89" s="850" t="s">
        <v>149</v>
      </c>
      <c r="H89" s="850"/>
      <c r="I89" s="850"/>
      <c r="J89" s="850"/>
      <c r="K89" s="850"/>
      <c r="L89" s="850"/>
      <c r="M89" s="850"/>
      <c r="N89" s="850"/>
      <c r="O89" s="850"/>
      <c r="P89" s="848"/>
      <c r="Q89" s="850" t="s">
        <v>1093</v>
      </c>
      <c r="R89" s="848"/>
      <c r="S89" s="81"/>
      <c r="T89" s="81"/>
      <c r="U89" s="81"/>
      <c r="V89" s="836" t="s">
        <v>12</v>
      </c>
      <c r="W89" s="836"/>
      <c r="X89" s="836"/>
      <c r="Y89" s="836"/>
      <c r="Z89" s="836" t="s">
        <v>2775</v>
      </c>
      <c r="AA89" s="852"/>
      <c r="AB89" s="848" t="s">
        <v>0</v>
      </c>
      <c r="AC89" s="848"/>
      <c r="AD89" s="848"/>
      <c r="AE89" s="848"/>
      <c r="AF89" s="848"/>
      <c r="AG89" s="848"/>
      <c r="AH89" s="848" t="s">
        <v>2</v>
      </c>
      <c r="AI89" s="81"/>
      <c r="AJ89" s="81"/>
      <c r="AK89" s="81"/>
      <c r="AL89" s="81"/>
      <c r="AM89" s="81"/>
      <c r="AN89" s="848"/>
      <c r="AO89" s="848"/>
      <c r="AP89" s="848"/>
      <c r="AQ89" s="848"/>
      <c r="AR89" s="848"/>
      <c r="AS89" s="853"/>
      <c r="AT89" s="853"/>
      <c r="AU89" s="853"/>
      <c r="AV89" s="853"/>
      <c r="AW89" s="853"/>
      <c r="AX89" s="853"/>
      <c r="AY89" s="848"/>
      <c r="AZ89" s="848"/>
      <c r="BA89" s="848"/>
      <c r="BB89" s="848"/>
      <c r="BC89" s="848"/>
      <c r="BD89" s="848"/>
      <c r="BE89" s="848"/>
      <c r="BF89" s="848"/>
      <c r="BG89" s="853"/>
      <c r="BH89" s="853"/>
      <c r="BI89" s="853"/>
      <c r="BJ89" s="853"/>
      <c r="BK89" s="853"/>
    </row>
    <row r="90" spans="1:70" ht="15">
      <c r="A90" s="848"/>
      <c r="B90" s="849"/>
      <c r="C90" s="849"/>
      <c r="D90" s="850"/>
      <c r="E90" s="850" t="s">
        <v>2774</v>
      </c>
      <c r="F90" s="850"/>
      <c r="G90" s="850" t="s">
        <v>149</v>
      </c>
      <c r="H90" s="850"/>
      <c r="I90" s="850"/>
      <c r="J90" s="850"/>
      <c r="K90" s="850"/>
      <c r="L90" s="850"/>
      <c r="M90" s="850"/>
      <c r="N90" s="850"/>
      <c r="O90" s="850"/>
      <c r="P90" s="848"/>
      <c r="Q90" s="850" t="s">
        <v>1093</v>
      </c>
      <c r="R90" s="848"/>
      <c r="S90" s="81"/>
      <c r="T90" s="81"/>
      <c r="U90" s="81"/>
      <c r="V90" s="836" t="s">
        <v>12</v>
      </c>
      <c r="W90" s="836"/>
      <c r="X90" s="836"/>
      <c r="Y90" s="836"/>
      <c r="Z90" s="836" t="s">
        <v>2775</v>
      </c>
      <c r="AA90" s="852"/>
      <c r="AB90" s="848" t="s">
        <v>0</v>
      </c>
      <c r="AC90" s="848"/>
      <c r="AD90" s="848"/>
      <c r="AE90" s="848"/>
      <c r="AF90" s="848"/>
      <c r="AG90" s="848"/>
      <c r="AH90" s="848" t="s">
        <v>2</v>
      </c>
      <c r="AI90" s="81"/>
      <c r="AJ90" s="81"/>
      <c r="AK90" s="81"/>
      <c r="AL90" s="81"/>
      <c r="AM90" s="81"/>
      <c r="AN90" s="848"/>
      <c r="AO90" s="848"/>
      <c r="AP90" s="848"/>
      <c r="AQ90" s="848"/>
      <c r="AR90" s="848"/>
      <c r="AS90" s="853"/>
      <c r="AT90" s="853"/>
      <c r="AU90" s="853"/>
      <c r="AV90" s="853"/>
      <c r="AW90" s="853"/>
      <c r="AX90" s="853"/>
      <c r="AY90" s="848"/>
      <c r="AZ90" s="848"/>
      <c r="BA90" s="848"/>
      <c r="BB90" s="848"/>
      <c r="BC90" s="848"/>
      <c r="BD90" s="848"/>
      <c r="BE90" s="848"/>
      <c r="BF90" s="848"/>
      <c r="BG90" s="853"/>
      <c r="BH90" s="853"/>
      <c r="BI90" s="853"/>
      <c r="BJ90" s="853"/>
      <c r="BK90" s="853"/>
    </row>
    <row r="91" spans="1:70" ht="15">
      <c r="A91" s="848"/>
      <c r="B91" s="849"/>
      <c r="C91" s="849"/>
      <c r="D91" s="850"/>
      <c r="E91" s="850" t="s">
        <v>2774</v>
      </c>
      <c r="F91" s="850"/>
      <c r="G91" s="850" t="s">
        <v>149</v>
      </c>
      <c r="H91" s="850"/>
      <c r="I91" s="850"/>
      <c r="J91" s="850"/>
      <c r="K91" s="850"/>
      <c r="L91" s="850"/>
      <c r="M91" s="850"/>
      <c r="N91" s="850"/>
      <c r="O91" s="850"/>
      <c r="P91" s="848"/>
      <c r="Q91" s="850" t="s">
        <v>1093</v>
      </c>
      <c r="R91" s="848"/>
      <c r="S91" s="81"/>
      <c r="T91" s="81"/>
      <c r="U91" s="81"/>
      <c r="V91" s="836" t="s">
        <v>12</v>
      </c>
      <c r="W91" s="836"/>
      <c r="X91" s="836"/>
      <c r="Y91" s="836"/>
      <c r="Z91" s="836" t="s">
        <v>2775</v>
      </c>
      <c r="AA91" s="852"/>
      <c r="AB91" s="848" t="s">
        <v>0</v>
      </c>
      <c r="AC91" s="848"/>
      <c r="AD91" s="848"/>
      <c r="AE91" s="848"/>
      <c r="AF91" s="848"/>
      <c r="AG91" s="848"/>
      <c r="AH91" s="848" t="s">
        <v>2</v>
      </c>
      <c r="AI91" s="81"/>
      <c r="AJ91" s="81"/>
      <c r="AK91" s="81"/>
      <c r="AL91" s="81"/>
      <c r="AM91" s="81"/>
      <c r="AN91" s="848"/>
      <c r="AO91" s="848"/>
      <c r="AP91" s="848"/>
      <c r="AQ91" s="848"/>
      <c r="AR91" s="848"/>
      <c r="AS91" s="853"/>
      <c r="AT91" s="853"/>
      <c r="AU91" s="853"/>
      <c r="AV91" s="853"/>
      <c r="AW91" s="853"/>
      <c r="AX91" s="853"/>
      <c r="AY91" s="848"/>
      <c r="AZ91" s="848"/>
      <c r="BA91" s="848"/>
      <c r="BB91" s="848"/>
      <c r="BC91" s="848"/>
      <c r="BD91" s="848"/>
      <c r="BE91" s="848"/>
      <c r="BF91" s="848"/>
      <c r="BG91" s="853"/>
      <c r="BH91" s="853"/>
      <c r="BI91" s="853"/>
      <c r="BJ91" s="853"/>
      <c r="BK91" s="853"/>
    </row>
    <row r="92" spans="1:70" s="845" customFormat="1">
      <c r="B92" s="854"/>
      <c r="C92" s="854"/>
      <c r="D92" s="850"/>
      <c r="E92" s="850" t="s">
        <v>2774</v>
      </c>
      <c r="F92" s="855"/>
      <c r="G92" s="850" t="s">
        <v>149</v>
      </c>
      <c r="H92" s="855"/>
      <c r="I92" s="855"/>
      <c r="J92" s="855"/>
      <c r="K92" s="855"/>
      <c r="L92" s="855"/>
      <c r="M92" s="855"/>
      <c r="N92" s="855"/>
      <c r="O92" s="855"/>
      <c r="P92" s="848"/>
      <c r="Q92" s="850" t="s">
        <v>1093</v>
      </c>
      <c r="R92" s="848"/>
      <c r="S92" s="81"/>
      <c r="T92" s="81"/>
      <c r="U92" s="81"/>
      <c r="V92" s="854" t="s">
        <v>12</v>
      </c>
      <c r="W92" s="854"/>
      <c r="X92" s="854"/>
      <c r="Y92" s="854"/>
      <c r="Z92" s="854" t="s">
        <v>2775</v>
      </c>
      <c r="AA92" s="854"/>
      <c r="AB92" s="854" t="s">
        <v>0</v>
      </c>
      <c r="AC92" s="854"/>
      <c r="AD92" s="854"/>
      <c r="AE92" s="855"/>
      <c r="AF92" s="855"/>
      <c r="AG92" s="855"/>
      <c r="AH92" s="855" t="s">
        <v>2</v>
      </c>
      <c r="AI92" s="81"/>
      <c r="AJ92" s="81"/>
      <c r="AK92" s="81"/>
      <c r="AL92" s="81"/>
      <c r="AM92" s="81"/>
      <c r="AN92" s="855"/>
      <c r="AO92" s="855"/>
      <c r="AP92" s="855"/>
      <c r="AQ92" s="855"/>
      <c r="AR92" s="855"/>
      <c r="AS92" s="855"/>
      <c r="AT92" s="855"/>
      <c r="AU92" s="856"/>
      <c r="AV92" s="856"/>
      <c r="AW92" s="856"/>
      <c r="AY92" s="854"/>
      <c r="AZ92" s="856"/>
      <c r="BA92" s="855"/>
      <c r="BB92" s="855"/>
      <c r="BC92" s="855"/>
      <c r="BD92" s="855"/>
      <c r="BE92" s="855"/>
      <c r="BF92" s="855"/>
      <c r="BG92" s="855"/>
      <c r="BH92" s="855"/>
      <c r="BI92" s="856"/>
      <c r="BJ92" s="856"/>
      <c r="BK92" s="856"/>
      <c r="BL92" s="856"/>
      <c r="BM92" s="856"/>
      <c r="BN92" s="856"/>
      <c r="BO92" s="856"/>
      <c r="BP92" s="856"/>
      <c r="BQ92" s="856"/>
      <c r="BR92" s="855"/>
    </row>
    <row r="93" spans="1:70" s="845" customFormat="1">
      <c r="D93" s="850"/>
      <c r="E93" s="850" t="s">
        <v>2774</v>
      </c>
      <c r="F93" s="855"/>
      <c r="G93" s="850" t="s">
        <v>149</v>
      </c>
      <c r="H93" s="855"/>
      <c r="I93" s="855"/>
      <c r="J93" s="855"/>
      <c r="K93" s="855"/>
      <c r="L93" s="855"/>
      <c r="M93" s="855"/>
      <c r="N93" s="855"/>
      <c r="O93" s="855"/>
      <c r="P93" s="848"/>
      <c r="Q93" s="850" t="s">
        <v>1093</v>
      </c>
      <c r="R93" s="848"/>
      <c r="S93" s="81"/>
      <c r="T93" s="81"/>
      <c r="U93" s="81"/>
      <c r="V93" s="857" t="s">
        <v>12</v>
      </c>
      <c r="W93" s="857"/>
      <c r="X93" s="857"/>
      <c r="Y93" s="857"/>
      <c r="Z93" s="857" t="s">
        <v>2775</v>
      </c>
      <c r="AA93" s="854"/>
      <c r="AB93" s="856" t="s">
        <v>0</v>
      </c>
      <c r="AC93" s="856"/>
      <c r="AD93" s="856"/>
      <c r="AE93" s="855"/>
      <c r="AF93" s="855"/>
      <c r="AG93" s="855"/>
      <c r="AH93" s="855" t="s">
        <v>2</v>
      </c>
      <c r="AI93" s="81"/>
      <c r="AJ93" s="81"/>
      <c r="AK93" s="81"/>
      <c r="AL93" s="81"/>
      <c r="AM93" s="81"/>
      <c r="AN93" s="855"/>
      <c r="AO93" s="855"/>
      <c r="AP93" s="855"/>
      <c r="AQ93" s="855"/>
      <c r="AR93" s="855"/>
      <c r="AS93" s="855"/>
      <c r="AT93" s="855"/>
      <c r="AU93" s="856"/>
      <c r="AV93" s="856"/>
      <c r="AW93" s="856"/>
      <c r="AY93" s="854"/>
      <c r="AZ93" s="856"/>
      <c r="BA93" s="855"/>
      <c r="BB93" s="855"/>
      <c r="BC93" s="855"/>
      <c r="BD93" s="855"/>
      <c r="BE93" s="855"/>
      <c r="BF93" s="855"/>
      <c r="BG93" s="855"/>
      <c r="BH93" s="855"/>
      <c r="BI93" s="856"/>
      <c r="BJ93" s="856"/>
      <c r="BK93" s="856"/>
      <c r="BL93" s="856"/>
      <c r="BM93" s="856"/>
      <c r="BN93" s="856"/>
      <c r="BO93" s="856"/>
      <c r="BP93" s="856"/>
      <c r="BQ93" s="856"/>
      <c r="BR93" s="855"/>
    </row>
    <row r="94" spans="1:70" s="845" customFormat="1">
      <c r="D94" s="850"/>
      <c r="E94" s="850" t="s">
        <v>2774</v>
      </c>
      <c r="F94" s="855"/>
      <c r="G94" s="850" t="s">
        <v>149</v>
      </c>
      <c r="H94" s="855"/>
      <c r="I94" s="855"/>
      <c r="J94" s="855"/>
      <c r="K94" s="855"/>
      <c r="L94" s="855"/>
      <c r="M94" s="855"/>
      <c r="N94" s="855"/>
      <c r="O94" s="855"/>
      <c r="P94" s="848"/>
      <c r="Q94" s="850" t="s">
        <v>1093</v>
      </c>
      <c r="R94" s="848"/>
      <c r="S94" s="81"/>
      <c r="T94" s="81"/>
      <c r="U94" s="81"/>
      <c r="V94" s="857" t="s">
        <v>12</v>
      </c>
      <c r="W94" s="857"/>
      <c r="X94" s="857"/>
      <c r="Y94" s="857"/>
      <c r="Z94" s="857" t="s">
        <v>2775</v>
      </c>
      <c r="AA94" s="854"/>
      <c r="AB94" s="856" t="s">
        <v>0</v>
      </c>
      <c r="AC94" s="856"/>
      <c r="AD94" s="856"/>
      <c r="AE94" s="855"/>
      <c r="AF94" s="855"/>
      <c r="AG94" s="855"/>
      <c r="AH94" s="855" t="s">
        <v>2</v>
      </c>
      <c r="AI94" s="81"/>
      <c r="AJ94" s="81"/>
      <c r="AK94" s="81"/>
      <c r="AL94" s="81"/>
      <c r="AM94" s="81"/>
      <c r="AN94" s="855"/>
      <c r="AO94" s="855"/>
      <c r="AP94" s="855"/>
      <c r="AQ94" s="855"/>
      <c r="AR94" s="855"/>
      <c r="AS94" s="855"/>
      <c r="AT94" s="855"/>
      <c r="AU94" s="856"/>
      <c r="AV94" s="856"/>
      <c r="AW94" s="856"/>
      <c r="AY94" s="854"/>
      <c r="AZ94" s="856"/>
      <c r="BA94" s="855"/>
      <c r="BB94" s="855"/>
      <c r="BC94" s="855"/>
      <c r="BD94" s="855"/>
      <c r="BE94" s="855"/>
      <c r="BF94" s="855"/>
      <c r="BG94" s="855"/>
      <c r="BH94" s="855"/>
      <c r="BI94" s="856"/>
      <c r="BJ94" s="856"/>
      <c r="BK94" s="856"/>
      <c r="BL94" s="856"/>
      <c r="BM94" s="856"/>
      <c r="BN94" s="856"/>
      <c r="BO94" s="856"/>
      <c r="BP94" s="856"/>
      <c r="BQ94" s="856"/>
      <c r="BR94" s="855"/>
    </row>
    <row r="95" spans="1:70" s="845" customFormat="1">
      <c r="D95" s="850"/>
      <c r="E95" s="850" t="s">
        <v>2774</v>
      </c>
      <c r="F95" s="855"/>
      <c r="G95" s="850" t="s">
        <v>149</v>
      </c>
      <c r="H95" s="855"/>
      <c r="I95" s="855"/>
      <c r="J95" s="855"/>
      <c r="K95" s="855"/>
      <c r="L95" s="855"/>
      <c r="M95" s="855"/>
      <c r="N95" s="855"/>
      <c r="O95" s="855"/>
      <c r="P95" s="848"/>
      <c r="Q95" s="850" t="s">
        <v>1093</v>
      </c>
      <c r="R95" s="848"/>
      <c r="S95" s="81"/>
      <c r="T95" s="81"/>
      <c r="U95" s="81"/>
      <c r="V95" s="857" t="s">
        <v>12</v>
      </c>
      <c r="W95" s="857"/>
      <c r="X95" s="857"/>
      <c r="Y95" s="857"/>
      <c r="Z95" s="857" t="s">
        <v>2775</v>
      </c>
      <c r="AA95" s="854"/>
      <c r="AB95" s="856"/>
      <c r="AC95" s="856"/>
      <c r="AD95" s="856"/>
      <c r="AE95" s="855"/>
      <c r="AF95" s="855"/>
      <c r="AG95" s="855"/>
      <c r="AH95" s="855" t="s">
        <v>2</v>
      </c>
      <c r="AI95" s="81"/>
      <c r="AJ95" s="81"/>
      <c r="AK95" s="81"/>
      <c r="AL95" s="81"/>
      <c r="AM95" s="81"/>
      <c r="AN95" s="855"/>
      <c r="AO95" s="855"/>
      <c r="AP95" s="855"/>
      <c r="AQ95" s="855"/>
      <c r="AR95" s="855"/>
      <c r="AS95" s="855"/>
      <c r="AT95" s="855"/>
      <c r="AU95" s="856"/>
      <c r="AV95" s="856"/>
      <c r="AW95" s="856"/>
      <c r="AY95" s="854"/>
      <c r="AZ95" s="856"/>
      <c r="BA95" s="855"/>
      <c r="BB95" s="855"/>
      <c r="BC95" s="855"/>
      <c r="BD95" s="855"/>
      <c r="BE95" s="855"/>
      <c r="BF95" s="855"/>
      <c r="BG95" s="855"/>
      <c r="BH95" s="855"/>
      <c r="BI95" s="856"/>
      <c r="BJ95" s="856"/>
      <c r="BK95" s="856"/>
      <c r="BL95" s="856"/>
      <c r="BM95" s="856"/>
      <c r="BN95" s="856"/>
      <c r="BO95" s="856"/>
      <c r="BP95" s="856"/>
      <c r="BQ95" s="856"/>
      <c r="BR95" s="855"/>
    </row>
    <row r="96" spans="1:70" s="845" customFormat="1">
      <c r="D96" s="850"/>
      <c r="E96" s="850" t="s">
        <v>2774</v>
      </c>
      <c r="F96" s="855"/>
      <c r="G96" s="850" t="s">
        <v>149</v>
      </c>
      <c r="H96" s="855"/>
      <c r="I96" s="855"/>
      <c r="J96" s="855"/>
      <c r="K96" s="855"/>
      <c r="L96" s="855"/>
      <c r="M96" s="855"/>
      <c r="N96" s="855"/>
      <c r="O96" s="855"/>
      <c r="P96" s="848"/>
      <c r="Q96" s="850" t="s">
        <v>1093</v>
      </c>
      <c r="R96" s="848"/>
      <c r="S96" s="81"/>
      <c r="T96" s="81"/>
      <c r="U96" s="81"/>
      <c r="V96" s="857" t="s">
        <v>12</v>
      </c>
      <c r="W96" s="857"/>
      <c r="X96" s="857"/>
      <c r="Y96" s="857"/>
      <c r="Z96" s="857" t="s">
        <v>2775</v>
      </c>
      <c r="AA96" s="854"/>
      <c r="AB96" s="856"/>
      <c r="AC96" s="856"/>
      <c r="AD96" s="856"/>
      <c r="AE96" s="855"/>
      <c r="AF96" s="855"/>
      <c r="AG96" s="855"/>
      <c r="AH96" s="855" t="s">
        <v>2</v>
      </c>
      <c r="AI96" s="81"/>
      <c r="AJ96" s="81"/>
      <c r="AK96" s="81"/>
      <c r="AL96" s="81"/>
      <c r="AM96" s="81"/>
      <c r="AN96" s="855"/>
      <c r="AO96" s="855"/>
      <c r="AP96" s="855"/>
      <c r="AQ96" s="855"/>
      <c r="AR96" s="855"/>
      <c r="AS96" s="855"/>
      <c r="AT96" s="855"/>
      <c r="AU96" s="856"/>
      <c r="AV96" s="856"/>
      <c r="AW96" s="856"/>
      <c r="AY96" s="854"/>
      <c r="AZ96" s="856"/>
      <c r="BA96" s="855"/>
      <c r="BB96" s="855"/>
      <c r="BC96" s="855"/>
      <c r="BD96" s="855"/>
      <c r="BE96" s="855"/>
      <c r="BF96" s="855"/>
      <c r="BG96" s="855"/>
      <c r="BH96" s="855"/>
      <c r="BI96" s="856"/>
      <c r="BJ96" s="856"/>
      <c r="BK96" s="856"/>
      <c r="BL96" s="856"/>
      <c r="BM96" s="856"/>
      <c r="BN96" s="856"/>
      <c r="BO96" s="856"/>
      <c r="BP96" s="856"/>
      <c r="BQ96" s="856"/>
      <c r="BR96" s="855"/>
    </row>
    <row r="97" spans="1:70" s="845" customFormat="1">
      <c r="D97" s="850"/>
      <c r="E97" s="850" t="s">
        <v>2774</v>
      </c>
      <c r="F97" s="855"/>
      <c r="G97" s="850" t="s">
        <v>149</v>
      </c>
      <c r="H97" s="855"/>
      <c r="I97" s="855"/>
      <c r="J97" s="855"/>
      <c r="K97" s="855"/>
      <c r="L97" s="855"/>
      <c r="M97" s="855"/>
      <c r="N97" s="855"/>
      <c r="O97" s="855"/>
      <c r="P97" s="848"/>
      <c r="Q97" s="850" t="s">
        <v>1093</v>
      </c>
      <c r="R97" s="848"/>
      <c r="S97" s="81"/>
      <c r="T97" s="81"/>
      <c r="U97" s="81"/>
      <c r="V97" s="857" t="s">
        <v>12</v>
      </c>
      <c r="W97" s="857"/>
      <c r="X97" s="857"/>
      <c r="Y97" s="857"/>
      <c r="Z97" s="857" t="s">
        <v>2775</v>
      </c>
      <c r="AA97" s="854"/>
      <c r="AB97" s="856"/>
      <c r="AC97" s="856"/>
      <c r="AD97" s="856"/>
      <c r="AE97" s="855"/>
      <c r="AF97" s="855"/>
      <c r="AG97" s="855"/>
      <c r="AH97" s="855" t="s">
        <v>2</v>
      </c>
      <c r="AI97" s="81"/>
      <c r="AJ97" s="81"/>
      <c r="AK97" s="81"/>
      <c r="AL97" s="81"/>
      <c r="AM97" s="81"/>
      <c r="AN97" s="855"/>
      <c r="AO97" s="855"/>
      <c r="AP97" s="855"/>
      <c r="AQ97" s="855"/>
      <c r="AR97" s="855"/>
      <c r="AS97" s="855"/>
      <c r="AT97" s="855"/>
      <c r="AU97" s="856"/>
      <c r="AV97" s="856"/>
      <c r="AW97" s="856"/>
      <c r="AY97" s="854"/>
      <c r="AZ97" s="856"/>
      <c r="BA97" s="855"/>
      <c r="BB97" s="855"/>
      <c r="BC97" s="855"/>
      <c r="BD97" s="855"/>
      <c r="BE97" s="855"/>
      <c r="BF97" s="855"/>
      <c r="BG97" s="855"/>
      <c r="BH97" s="855"/>
      <c r="BI97" s="856"/>
      <c r="BJ97" s="856"/>
      <c r="BK97" s="856"/>
      <c r="BL97" s="856"/>
      <c r="BM97" s="856"/>
      <c r="BN97" s="856"/>
      <c r="BO97" s="856"/>
      <c r="BP97" s="856"/>
      <c r="BQ97" s="856"/>
      <c r="BR97" s="855"/>
    </row>
    <row r="99" spans="1:70" s="73" customFormat="1" ht="18">
      <c r="A99" s="74" t="s">
        <v>76</v>
      </c>
    </row>
    <row r="101" spans="1:70">
      <c r="AI101" s="86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95"/>
  <sheetViews>
    <sheetView zoomScale="80" zoomScaleNormal="80" workbookViewId="0"/>
  </sheetViews>
  <sheetFormatPr defaultColWidth="9.265625" defaultRowHeight="13.5"/>
  <cols>
    <col min="1" max="1" width="62" style="512" customWidth="1"/>
    <col min="2" max="2" width="12.86328125" style="513" customWidth="1"/>
    <col min="3" max="4" width="12.3984375" style="512" customWidth="1"/>
    <col min="5" max="5" width="25.86328125" style="512" customWidth="1"/>
    <col min="6" max="6" width="33" style="512" customWidth="1"/>
    <col min="7" max="8" width="12.3984375" style="512" customWidth="1"/>
    <col min="9" max="9" width="19.265625" style="512" customWidth="1"/>
    <col min="10" max="18" width="9.73046875" style="512" customWidth="1"/>
    <col min="19" max="23" width="29.73046875" style="512" customWidth="1"/>
    <col min="24" max="25" width="12.3984375" style="512" customWidth="1"/>
    <col min="26" max="26" width="23.59765625" style="512" customWidth="1"/>
    <col min="27" max="27" width="4.73046875" style="513" customWidth="1"/>
    <col min="28" max="16384" width="9.265625" style="513"/>
  </cols>
  <sheetData>
    <row r="1" spans="1:40" s="73" customFormat="1" ht="23.25">
      <c r="A1" s="89" t="str">
        <f>'1.1 Cover'!A2</f>
        <v>Regulatory Reporting Pack</v>
      </c>
    </row>
    <row r="2" spans="1:40" s="73" customFormat="1" ht="23.25">
      <c r="A2" s="89" t="str">
        <f>'1.1 Cover'!A3</f>
        <v>Price base - 2018/19</v>
      </c>
    </row>
    <row r="3" spans="1:40" s="73" customFormat="1" ht="23.25">
      <c r="A3" s="89" t="str">
        <f>'1.1 Cover'!A4</f>
        <v>Regulatory Year: April 2021 - March 2022</v>
      </c>
    </row>
    <row r="4" spans="1:40" s="593" customFormat="1" ht="23.25">
      <c r="A4" s="592" t="s">
        <v>1097</v>
      </c>
    </row>
    <row r="5" spans="1:40" s="591" customFormat="1" ht="15.95" customHeight="1">
      <c r="A5" s="556"/>
      <c r="B5" s="588"/>
      <c r="C5" s="589"/>
      <c r="D5" s="589"/>
      <c r="E5" s="589"/>
      <c r="F5" s="589"/>
      <c r="G5" s="544"/>
      <c r="H5" s="544"/>
      <c r="I5" s="544"/>
      <c r="J5" s="589"/>
      <c r="K5" s="589"/>
      <c r="L5" s="589"/>
      <c r="M5" s="589"/>
      <c r="N5" s="589"/>
      <c r="O5" s="589"/>
      <c r="P5" s="589"/>
      <c r="Q5" s="589"/>
      <c r="R5" s="589"/>
      <c r="S5" s="589"/>
      <c r="T5" s="589"/>
      <c r="U5" s="589"/>
      <c r="V5" s="589"/>
      <c r="W5" s="589"/>
      <c r="X5" s="546"/>
      <c r="Y5" s="590"/>
      <c r="Z5" s="590"/>
      <c r="AA5" s="590"/>
    </row>
    <row r="6" spans="1:40" ht="15.95" hidden="1" customHeight="1">
      <c r="A6" s="556"/>
      <c r="B6" s="557"/>
      <c r="C6" s="544"/>
      <c r="D6" s="544"/>
      <c r="E6" s="544"/>
      <c r="F6" s="544"/>
      <c r="G6" s="544"/>
      <c r="H6" s="544"/>
      <c r="I6" s="544"/>
      <c r="J6" s="544"/>
      <c r="K6" s="544"/>
      <c r="L6" s="544"/>
      <c r="M6" s="544"/>
      <c r="N6" s="544"/>
      <c r="O6" s="544"/>
      <c r="P6" s="544"/>
      <c r="Q6" s="544"/>
      <c r="R6" s="544"/>
      <c r="S6" s="544"/>
      <c r="T6" s="544"/>
      <c r="U6" s="544"/>
      <c r="V6" s="544"/>
      <c r="W6" s="544"/>
      <c r="X6" s="546"/>
      <c r="AA6" s="512"/>
    </row>
    <row r="7" spans="1:40" ht="15.95" hidden="1" customHeight="1">
      <c r="A7" s="556"/>
      <c r="B7" s="557"/>
      <c r="C7" s="544"/>
      <c r="D7" s="544"/>
      <c r="E7" s="544"/>
      <c r="F7" s="544"/>
      <c r="G7" s="547" t="s">
        <v>36</v>
      </c>
      <c r="H7" s="547"/>
      <c r="I7" s="545" t="s">
        <v>1806</v>
      </c>
      <c r="J7" s="544"/>
      <c r="K7" s="544"/>
      <c r="L7" s="544"/>
      <c r="M7" s="544"/>
      <c r="N7" s="544"/>
      <c r="O7" s="544"/>
      <c r="P7" s="544"/>
      <c r="Q7" s="544"/>
      <c r="R7" s="544"/>
      <c r="S7" s="544"/>
      <c r="T7" s="544"/>
      <c r="U7" s="544"/>
      <c r="V7" s="544"/>
      <c r="W7" s="544"/>
      <c r="X7" s="546"/>
      <c r="AA7" s="512"/>
    </row>
    <row r="8" spans="1:40" ht="15.95" hidden="1" customHeight="1">
      <c r="A8" s="558"/>
      <c r="B8" s="557"/>
      <c r="C8" s="544"/>
      <c r="D8" s="544"/>
      <c r="E8" s="544"/>
      <c r="F8" s="544"/>
      <c r="G8" s="548"/>
      <c r="H8" s="548" t="s">
        <v>1807</v>
      </c>
      <c r="I8" s="546" t="s">
        <v>1808</v>
      </c>
      <c r="J8" s="544"/>
      <c r="K8" s="544"/>
      <c r="L8" s="544"/>
      <c r="M8" s="544"/>
      <c r="N8" s="544"/>
      <c r="O8" s="544"/>
      <c r="P8" s="544"/>
      <c r="Q8" s="544"/>
      <c r="R8" s="544"/>
      <c r="S8" s="544"/>
      <c r="T8" s="544"/>
      <c r="U8" s="544"/>
      <c r="V8" s="544"/>
      <c r="W8" s="544"/>
      <c r="X8" s="546"/>
      <c r="AA8" s="512"/>
    </row>
    <row r="9" spans="1:40" ht="15.95" hidden="1" customHeight="1">
      <c r="A9" s="556"/>
      <c r="B9" s="557"/>
      <c r="C9" s="544"/>
      <c r="D9" s="544"/>
      <c r="E9" s="544"/>
      <c r="F9" s="544"/>
      <c r="G9" s="549"/>
      <c r="H9" s="549" t="s">
        <v>965</v>
      </c>
      <c r="I9" s="550" t="s">
        <v>1809</v>
      </c>
      <c r="J9" s="544"/>
      <c r="K9" s="544"/>
      <c r="L9" s="544"/>
      <c r="M9" s="544"/>
      <c r="N9" s="544"/>
      <c r="O9" s="544"/>
      <c r="P9" s="544"/>
      <c r="Q9" s="544"/>
      <c r="R9" s="544"/>
      <c r="S9" s="544"/>
      <c r="T9" s="544"/>
      <c r="U9" s="544"/>
      <c r="V9" s="544"/>
      <c r="W9" s="544"/>
      <c r="X9" s="546"/>
      <c r="AA9" s="512"/>
    </row>
    <row r="10" spans="1:40" s="514" customFormat="1" ht="15.95" customHeight="1">
      <c r="A10" s="559"/>
      <c r="B10" s="560"/>
      <c r="C10" s="551"/>
      <c r="D10" s="551"/>
      <c r="E10" s="551"/>
      <c r="F10" s="551"/>
      <c r="G10" s="551"/>
      <c r="H10" s="551"/>
      <c r="I10" s="551"/>
      <c r="J10" s="551"/>
      <c r="K10" s="551"/>
      <c r="L10" s="551"/>
      <c r="M10" s="551"/>
      <c r="N10" s="551"/>
      <c r="O10" s="551"/>
      <c r="P10" s="551"/>
      <c r="Q10" s="551"/>
      <c r="R10" s="551"/>
      <c r="S10" s="551"/>
      <c r="T10" s="551"/>
      <c r="U10" s="551"/>
      <c r="V10" s="551"/>
      <c r="W10" s="551"/>
      <c r="X10" s="546"/>
      <c r="Y10" s="512"/>
      <c r="Z10" s="512"/>
      <c r="AA10" s="512"/>
      <c r="AB10" s="513"/>
      <c r="AC10" s="513"/>
      <c r="AD10" s="513"/>
      <c r="AE10" s="513"/>
      <c r="AF10" s="513"/>
      <c r="AG10" s="513"/>
      <c r="AH10" s="513"/>
      <c r="AI10" s="513"/>
      <c r="AJ10" s="513"/>
      <c r="AK10" s="513"/>
      <c r="AL10" s="513"/>
      <c r="AM10" s="513"/>
      <c r="AN10" s="513"/>
    </row>
    <row r="11" spans="1:40" ht="15.95" customHeight="1">
      <c r="A11" s="562"/>
      <c r="B11" s="556"/>
      <c r="C11" s="544"/>
      <c r="D11" s="544"/>
      <c r="E11" s="544" t="s">
        <v>1810</v>
      </c>
      <c r="F11" s="555"/>
      <c r="G11" s="545" t="s">
        <v>1811</v>
      </c>
      <c r="H11" s="556" t="s">
        <v>1812</v>
      </c>
      <c r="I11" s="544" t="s">
        <v>1813</v>
      </c>
      <c r="J11" s="576" t="s">
        <v>1814</v>
      </c>
      <c r="K11" s="577"/>
      <c r="L11" s="577"/>
      <c r="M11" s="577"/>
      <c r="N11" s="577"/>
      <c r="O11" s="577"/>
      <c r="P11" s="577"/>
      <c r="Q11" s="577"/>
      <c r="R11" s="578"/>
      <c r="S11" s="579" t="s">
        <v>1815</v>
      </c>
      <c r="T11" s="580"/>
      <c r="U11" s="580"/>
      <c r="V11" s="580"/>
      <c r="W11" s="581"/>
      <c r="X11" s="546"/>
      <c r="AA11" s="512"/>
    </row>
    <row r="12" spans="1:40">
      <c r="A12" s="562"/>
      <c r="B12" s="556" t="s">
        <v>1816</v>
      </c>
      <c r="C12" s="544" t="s">
        <v>103</v>
      </c>
      <c r="D12" s="544" t="s">
        <v>1</v>
      </c>
      <c r="E12" s="544" t="s">
        <v>1817</v>
      </c>
      <c r="F12" s="556" t="s">
        <v>1818</v>
      </c>
      <c r="G12" s="546" t="s">
        <v>1819</v>
      </c>
      <c r="H12" s="556" t="s">
        <v>1820</v>
      </c>
      <c r="I12" s="544" t="s">
        <v>1819</v>
      </c>
      <c r="J12" s="582" t="s">
        <v>1776</v>
      </c>
      <c r="K12" s="583"/>
      <c r="L12" s="583"/>
      <c r="M12" s="583"/>
      <c r="N12" s="584"/>
      <c r="O12" s="582" t="s">
        <v>1821</v>
      </c>
      <c r="P12" s="583"/>
      <c r="Q12" s="584"/>
      <c r="R12" s="547"/>
      <c r="S12" s="547" t="s">
        <v>3075</v>
      </c>
      <c r="T12" s="544" t="s">
        <v>3078</v>
      </c>
      <c r="U12" s="547" t="s">
        <v>3077</v>
      </c>
      <c r="V12" s="545" t="s">
        <v>3082</v>
      </c>
      <c r="W12" s="545" t="s">
        <v>3080</v>
      </c>
      <c r="X12" s="546"/>
      <c r="AA12" s="512"/>
    </row>
    <row r="13" spans="1:40">
      <c r="A13" s="549" t="s">
        <v>1822</v>
      </c>
      <c r="B13" s="556" t="s">
        <v>1823</v>
      </c>
      <c r="C13" s="589" t="s">
        <v>1824</v>
      </c>
      <c r="D13" s="589" t="s">
        <v>1825</v>
      </c>
      <c r="E13" s="589" t="s">
        <v>1826</v>
      </c>
      <c r="F13" s="556" t="s">
        <v>3084</v>
      </c>
      <c r="G13" s="546" t="s">
        <v>1286</v>
      </c>
      <c r="H13" s="556" t="s">
        <v>1827</v>
      </c>
      <c r="I13" s="589" t="s">
        <v>1828</v>
      </c>
      <c r="J13" s="556" t="s">
        <v>1829</v>
      </c>
      <c r="K13" s="589" t="s">
        <v>1830</v>
      </c>
      <c r="L13" s="589" t="s">
        <v>1831</v>
      </c>
      <c r="M13" s="589" t="s">
        <v>1832</v>
      </c>
      <c r="N13" s="546" t="s">
        <v>1833</v>
      </c>
      <c r="O13" s="556" t="s">
        <v>1834</v>
      </c>
      <c r="P13" s="589" t="s">
        <v>1835</v>
      </c>
      <c r="Q13" s="546" t="s">
        <v>1690</v>
      </c>
      <c r="R13" s="548" t="s">
        <v>1055</v>
      </c>
      <c r="S13" s="548" t="s">
        <v>3076</v>
      </c>
      <c r="T13" s="544" t="s">
        <v>3079</v>
      </c>
      <c r="U13" s="548" t="s">
        <v>1836</v>
      </c>
      <c r="V13" s="546" t="s">
        <v>3083</v>
      </c>
      <c r="W13" s="546" t="s">
        <v>3081</v>
      </c>
      <c r="X13" s="546"/>
      <c r="AA13" s="512"/>
    </row>
    <row r="14" spans="1:40">
      <c r="A14" s="548" t="s">
        <v>1458</v>
      </c>
      <c r="B14" s="1296"/>
      <c r="C14" s="1297"/>
      <c r="D14" s="1297"/>
      <c r="E14" s="1297"/>
      <c r="F14" s="1296"/>
      <c r="G14" s="1298"/>
      <c r="H14" s="1297"/>
      <c r="I14" s="1297"/>
      <c r="J14" s="1296"/>
      <c r="K14" s="1297"/>
      <c r="L14" s="1297"/>
      <c r="M14" s="1297"/>
      <c r="N14" s="1297"/>
      <c r="O14" s="1296"/>
      <c r="P14" s="1297"/>
      <c r="Q14" s="1298"/>
      <c r="R14" s="1298"/>
      <c r="S14" s="1299"/>
      <c r="T14" s="1297"/>
      <c r="U14" s="1299"/>
      <c r="V14" s="1298"/>
      <c r="W14" s="1298"/>
      <c r="X14" s="546"/>
      <c r="AA14" s="512"/>
    </row>
    <row r="15" spans="1:40" ht="15.6" customHeight="1">
      <c r="A15" s="563" t="s">
        <v>1837</v>
      </c>
      <c r="B15" s="564">
        <v>3.1</v>
      </c>
      <c r="C15" s="543" t="s">
        <v>3065</v>
      </c>
      <c r="D15" s="543" t="s">
        <v>1807</v>
      </c>
      <c r="E15" s="543" t="s">
        <v>1838</v>
      </c>
      <c r="F15" s="575" t="s">
        <v>1839</v>
      </c>
      <c r="G15" s="572">
        <v>44593</v>
      </c>
      <c r="H15" s="515"/>
      <c r="I15" s="515"/>
      <c r="J15" s="599"/>
      <c r="K15" s="600"/>
      <c r="L15" s="600"/>
      <c r="M15" s="600"/>
      <c r="N15" s="600"/>
      <c r="O15" s="599"/>
      <c r="P15" s="600"/>
      <c r="Q15" s="594"/>
      <c r="R15" s="594"/>
      <c r="S15" s="516"/>
      <c r="T15" s="515"/>
      <c r="U15" s="516"/>
      <c r="V15" s="585"/>
      <c r="W15" s="585"/>
      <c r="X15" s="546"/>
      <c r="AA15" s="512"/>
    </row>
    <row r="16" spans="1:40" ht="15.6" customHeight="1">
      <c r="A16" s="565" t="s">
        <v>1840</v>
      </c>
      <c r="B16" s="566">
        <v>3.11</v>
      </c>
      <c r="C16" s="544" t="s">
        <v>2907</v>
      </c>
      <c r="D16" s="544" t="s">
        <v>1807</v>
      </c>
      <c r="E16" s="544" t="s">
        <v>1838</v>
      </c>
      <c r="F16" s="561" t="s">
        <v>1841</v>
      </c>
      <c r="G16" s="573">
        <v>44682</v>
      </c>
      <c r="H16" s="517"/>
      <c r="I16" s="517"/>
      <c r="J16" s="601"/>
      <c r="K16" s="598"/>
      <c r="L16" s="598"/>
      <c r="M16" s="598"/>
      <c r="N16" s="598"/>
      <c r="O16" s="601"/>
      <c r="P16" s="598"/>
      <c r="Q16" s="595"/>
      <c r="R16" s="595"/>
      <c r="S16" s="518"/>
      <c r="T16" s="517"/>
      <c r="U16" s="518"/>
      <c r="V16" s="586"/>
      <c r="W16" s="586"/>
      <c r="X16" s="546"/>
      <c r="AA16" s="512"/>
    </row>
    <row r="17" spans="1:27" ht="15.6" customHeight="1">
      <c r="A17" s="565" t="s">
        <v>1840</v>
      </c>
      <c r="B17" s="566">
        <v>3.11</v>
      </c>
      <c r="C17" s="544" t="s">
        <v>2907</v>
      </c>
      <c r="D17" s="544" t="s">
        <v>1807</v>
      </c>
      <c r="E17" s="544" t="s">
        <v>1838</v>
      </c>
      <c r="F17" s="561" t="s">
        <v>1842</v>
      </c>
      <c r="G17" s="573">
        <v>44835</v>
      </c>
      <c r="H17" s="517"/>
      <c r="I17" s="517"/>
      <c r="J17" s="601"/>
      <c r="K17" s="598"/>
      <c r="L17" s="598"/>
      <c r="M17" s="598"/>
      <c r="N17" s="598"/>
      <c r="O17" s="601"/>
      <c r="P17" s="598"/>
      <c r="Q17" s="595"/>
      <c r="R17" s="595"/>
      <c r="S17" s="518"/>
      <c r="T17" s="517"/>
      <c r="U17" s="518"/>
      <c r="V17" s="586"/>
      <c r="W17" s="586"/>
      <c r="X17" s="546"/>
      <c r="AA17" s="512"/>
    </row>
    <row r="18" spans="1:27" ht="18" customHeight="1">
      <c r="A18" s="565" t="s">
        <v>1840</v>
      </c>
      <c r="B18" s="566">
        <v>3.11</v>
      </c>
      <c r="C18" s="544" t="s">
        <v>2907</v>
      </c>
      <c r="D18" s="544" t="s">
        <v>1807</v>
      </c>
      <c r="E18" s="544" t="s">
        <v>1838</v>
      </c>
      <c r="F18" s="561" t="s">
        <v>1843</v>
      </c>
      <c r="G18" s="573">
        <v>44896</v>
      </c>
      <c r="H18" s="517"/>
      <c r="I18" s="517"/>
      <c r="J18" s="601"/>
      <c r="K18" s="598"/>
      <c r="L18" s="598"/>
      <c r="M18" s="598"/>
      <c r="N18" s="598"/>
      <c r="O18" s="601"/>
      <c r="P18" s="598"/>
      <c r="Q18" s="595"/>
      <c r="R18" s="595"/>
      <c r="S18" s="518"/>
      <c r="T18" s="517"/>
      <c r="U18" s="518"/>
      <c r="V18" s="586"/>
      <c r="W18" s="586"/>
      <c r="X18" s="546"/>
      <c r="AA18" s="512"/>
    </row>
    <row r="19" spans="1:27" ht="15.6" customHeight="1">
      <c r="A19" s="567" t="s">
        <v>1840</v>
      </c>
      <c r="B19" s="566">
        <v>3.11</v>
      </c>
      <c r="C19" s="544" t="s">
        <v>2907</v>
      </c>
      <c r="D19" s="544" t="s">
        <v>1807</v>
      </c>
      <c r="E19" s="544" t="s">
        <v>1838</v>
      </c>
      <c r="F19" s="569" t="s">
        <v>1844</v>
      </c>
      <c r="G19" s="573">
        <v>44896</v>
      </c>
      <c r="H19" s="517"/>
      <c r="I19" s="517"/>
      <c r="J19" s="602"/>
      <c r="K19" s="603"/>
      <c r="L19" s="603"/>
      <c r="M19" s="603"/>
      <c r="N19" s="603"/>
      <c r="O19" s="602"/>
      <c r="P19" s="603"/>
      <c r="Q19" s="596"/>
      <c r="R19" s="596"/>
      <c r="S19" s="518"/>
      <c r="T19" s="517"/>
      <c r="U19" s="518"/>
      <c r="V19" s="587"/>
      <c r="W19" s="587"/>
      <c r="X19" s="546"/>
      <c r="AA19" s="512"/>
    </row>
    <row r="20" spans="1:27" ht="15.6" customHeight="1">
      <c r="A20" s="563" t="s">
        <v>1837</v>
      </c>
      <c r="B20" s="564">
        <v>3.1</v>
      </c>
      <c r="C20" s="543" t="s">
        <v>3066</v>
      </c>
      <c r="D20" s="543" t="s">
        <v>1807</v>
      </c>
      <c r="E20" s="543" t="s">
        <v>1838</v>
      </c>
      <c r="F20" s="575" t="s">
        <v>1845</v>
      </c>
      <c r="G20" s="572">
        <v>45170</v>
      </c>
      <c r="H20" s="515"/>
      <c r="I20" s="515"/>
      <c r="J20" s="524"/>
      <c r="K20" s="597"/>
      <c r="L20" s="597"/>
      <c r="M20" s="597"/>
      <c r="N20" s="526"/>
      <c r="O20" s="597"/>
      <c r="P20" s="597"/>
      <c r="Q20" s="526"/>
      <c r="R20" s="522">
        <f t="shared" ref="R20:R24" si="0">SUM(J20:Q20)</f>
        <v>0</v>
      </c>
      <c r="S20" s="585"/>
      <c r="T20" s="585"/>
      <c r="U20" s="585"/>
      <c r="V20" s="523"/>
      <c r="W20" s="523"/>
      <c r="X20" s="546"/>
      <c r="AA20" s="512"/>
    </row>
    <row r="21" spans="1:27">
      <c r="A21" s="565" t="s">
        <v>1840</v>
      </c>
      <c r="B21" s="566">
        <v>3.11</v>
      </c>
      <c r="C21" s="544" t="s">
        <v>2907</v>
      </c>
      <c r="D21" s="544" t="s">
        <v>1807</v>
      </c>
      <c r="E21" s="544" t="s">
        <v>1838</v>
      </c>
      <c r="F21" s="561" t="s">
        <v>1846</v>
      </c>
      <c r="G21" s="573">
        <v>45597</v>
      </c>
      <c r="H21" s="517"/>
      <c r="I21" s="517"/>
      <c r="J21" s="524"/>
      <c r="K21" s="525"/>
      <c r="L21" s="525"/>
      <c r="M21" s="525"/>
      <c r="N21" s="526"/>
      <c r="O21" s="525"/>
      <c r="P21" s="525"/>
      <c r="Q21" s="526"/>
      <c r="R21" s="527">
        <f t="shared" si="0"/>
        <v>0</v>
      </c>
      <c r="S21" s="586"/>
      <c r="T21" s="586"/>
      <c r="U21" s="586"/>
      <c r="V21" s="528"/>
      <c r="W21" s="528"/>
      <c r="X21" s="546"/>
    </row>
    <row r="22" spans="1:27">
      <c r="A22" s="565" t="s">
        <v>1840</v>
      </c>
      <c r="B22" s="566">
        <v>3.11</v>
      </c>
      <c r="C22" s="544" t="s">
        <v>2907</v>
      </c>
      <c r="D22" s="544" t="s">
        <v>1807</v>
      </c>
      <c r="E22" s="544" t="s">
        <v>1838</v>
      </c>
      <c r="F22" s="561" t="s">
        <v>1847</v>
      </c>
      <c r="G22" s="573">
        <v>45748</v>
      </c>
      <c r="H22" s="517"/>
      <c r="I22" s="517"/>
      <c r="J22" s="524"/>
      <c r="K22" s="525"/>
      <c r="L22" s="525"/>
      <c r="M22" s="525"/>
      <c r="N22" s="526"/>
      <c r="O22" s="525"/>
      <c r="P22" s="525"/>
      <c r="Q22" s="526"/>
      <c r="R22" s="527">
        <f t="shared" si="0"/>
        <v>0</v>
      </c>
      <c r="S22" s="586"/>
      <c r="T22" s="586"/>
      <c r="U22" s="586"/>
      <c r="V22" s="528"/>
      <c r="W22" s="528"/>
      <c r="X22" s="546"/>
    </row>
    <row r="23" spans="1:27">
      <c r="A23" s="565" t="s">
        <v>1840</v>
      </c>
      <c r="B23" s="566">
        <v>3.11</v>
      </c>
      <c r="C23" s="544" t="s">
        <v>2907</v>
      </c>
      <c r="D23" s="544" t="s">
        <v>1807</v>
      </c>
      <c r="E23" s="544" t="s">
        <v>1838</v>
      </c>
      <c r="F23" s="561" t="s">
        <v>971</v>
      </c>
      <c r="G23" s="573">
        <v>45809</v>
      </c>
      <c r="H23" s="517"/>
      <c r="I23" s="517"/>
      <c r="J23" s="524"/>
      <c r="K23" s="525"/>
      <c r="L23" s="525"/>
      <c r="M23" s="525"/>
      <c r="N23" s="526"/>
      <c r="O23" s="525"/>
      <c r="P23" s="525"/>
      <c r="Q23" s="526"/>
      <c r="R23" s="527">
        <f t="shared" si="0"/>
        <v>0</v>
      </c>
      <c r="S23" s="586"/>
      <c r="T23" s="586"/>
      <c r="U23" s="586"/>
      <c r="V23" s="528"/>
      <c r="W23" s="528"/>
      <c r="X23" s="546"/>
    </row>
    <row r="24" spans="1:27">
      <c r="A24" s="567" t="s">
        <v>1840</v>
      </c>
      <c r="B24" s="568">
        <v>3.11</v>
      </c>
      <c r="C24" s="551" t="s">
        <v>2907</v>
      </c>
      <c r="D24" s="551" t="s">
        <v>1807</v>
      </c>
      <c r="E24" s="551" t="s">
        <v>1838</v>
      </c>
      <c r="F24" s="569" t="s">
        <v>1848</v>
      </c>
      <c r="G24" s="574">
        <v>45809</v>
      </c>
      <c r="H24" s="529"/>
      <c r="I24" s="529"/>
      <c r="J24" s="530"/>
      <c r="K24" s="531"/>
      <c r="L24" s="531"/>
      <c r="M24" s="531"/>
      <c r="N24" s="532"/>
      <c r="O24" s="531"/>
      <c r="P24" s="531"/>
      <c r="Q24" s="532"/>
      <c r="R24" s="533">
        <f t="shared" si="0"/>
        <v>0</v>
      </c>
      <c r="S24" s="587"/>
      <c r="T24" s="587"/>
      <c r="U24" s="587"/>
      <c r="V24" s="534"/>
      <c r="W24" s="534"/>
      <c r="X24" s="546"/>
    </row>
    <row r="25" spans="1:27">
      <c r="A25" s="561"/>
      <c r="B25" s="544"/>
      <c r="C25" s="544"/>
      <c r="D25" s="544"/>
      <c r="E25" s="544"/>
      <c r="F25" s="544"/>
      <c r="G25" s="544"/>
      <c r="H25" s="544"/>
      <c r="I25" s="544"/>
      <c r="J25" s="553"/>
      <c r="K25" s="553"/>
      <c r="L25" s="553"/>
      <c r="M25" s="553"/>
      <c r="N25" s="553"/>
      <c r="O25" s="553"/>
      <c r="P25" s="553"/>
      <c r="Q25" s="553"/>
      <c r="R25" s="554"/>
      <c r="S25" s="544"/>
      <c r="T25" s="544"/>
      <c r="U25" s="544"/>
      <c r="V25" s="544"/>
      <c r="W25" s="544"/>
      <c r="X25" s="546"/>
      <c r="AA25" s="512"/>
    </row>
    <row r="26" spans="1:27">
      <c r="A26" s="561"/>
      <c r="B26" s="544"/>
      <c r="C26" s="544"/>
      <c r="D26" s="544"/>
      <c r="E26" s="544"/>
      <c r="F26" s="544"/>
      <c r="G26" s="544"/>
      <c r="H26" s="544"/>
      <c r="I26" s="544"/>
      <c r="J26" s="553"/>
      <c r="K26" s="553"/>
      <c r="L26" s="553"/>
      <c r="M26" s="553"/>
      <c r="N26" s="553"/>
      <c r="O26" s="553"/>
      <c r="P26" s="553"/>
      <c r="Q26" s="553"/>
      <c r="R26" s="554"/>
      <c r="S26" s="544"/>
      <c r="T26" s="544"/>
      <c r="U26" s="544"/>
      <c r="V26" s="544"/>
      <c r="W26" s="544"/>
      <c r="X26" s="546"/>
      <c r="AA26" s="512"/>
    </row>
    <row r="27" spans="1:27" ht="15.6" customHeight="1">
      <c r="A27" s="1311" t="s">
        <v>1849</v>
      </c>
      <c r="B27" s="543">
        <v>3.12</v>
      </c>
      <c r="C27" s="543" t="s">
        <v>2909</v>
      </c>
      <c r="D27" s="543" t="s">
        <v>1807</v>
      </c>
      <c r="E27" s="543" t="s">
        <v>1838</v>
      </c>
      <c r="F27" s="570" t="s">
        <v>1869</v>
      </c>
      <c r="G27" s="572">
        <v>44621</v>
      </c>
      <c r="H27" s="515"/>
      <c r="I27" s="515"/>
      <c r="J27" s="519"/>
      <c r="K27" s="520"/>
      <c r="L27" s="520"/>
      <c r="M27" s="520"/>
      <c r="N27" s="521"/>
      <c r="O27" s="519"/>
      <c r="P27" s="520"/>
      <c r="Q27" s="520"/>
      <c r="R27" s="1308">
        <f t="shared" ref="R27:R30" si="1">SUM(J27:Q27)</f>
        <v>0</v>
      </c>
      <c r="S27" s="523"/>
      <c r="T27" s="515"/>
      <c r="U27" s="516"/>
      <c r="V27" s="523"/>
      <c r="W27" s="523"/>
      <c r="X27" s="546"/>
      <c r="AA27" s="512"/>
    </row>
    <row r="28" spans="1:27" ht="15.6" customHeight="1">
      <c r="A28" s="561" t="s">
        <v>2963</v>
      </c>
      <c r="B28" s="589">
        <v>3.14</v>
      </c>
      <c r="C28" s="589" t="s">
        <v>2961</v>
      </c>
      <c r="D28" s="589" t="s">
        <v>1807</v>
      </c>
      <c r="E28" s="589" t="s">
        <v>1838</v>
      </c>
      <c r="F28" s="1294" t="s">
        <v>1869</v>
      </c>
      <c r="G28" s="573">
        <v>44927</v>
      </c>
      <c r="H28" s="1293"/>
      <c r="I28" s="1293"/>
      <c r="J28" s="524"/>
      <c r="K28" s="597"/>
      <c r="L28" s="597"/>
      <c r="M28" s="597"/>
      <c r="N28" s="526"/>
      <c r="O28" s="524"/>
      <c r="P28" s="597"/>
      <c r="Q28" s="597"/>
      <c r="R28" s="1309">
        <f t="shared" si="1"/>
        <v>0</v>
      </c>
      <c r="S28" s="528"/>
      <c r="T28" s="1293"/>
      <c r="U28" s="518"/>
      <c r="V28" s="528"/>
      <c r="W28" s="528"/>
      <c r="X28" s="546"/>
      <c r="AA28" s="512"/>
    </row>
    <row r="29" spans="1:27" ht="15.6" customHeight="1">
      <c r="A29" s="561" t="s">
        <v>2964</v>
      </c>
      <c r="B29" s="589">
        <v>3.14</v>
      </c>
      <c r="C29" s="589" t="s">
        <v>2962</v>
      </c>
      <c r="D29" s="589" t="s">
        <v>1807</v>
      </c>
      <c r="E29" s="589" t="s">
        <v>1838</v>
      </c>
      <c r="F29" s="1294" t="s">
        <v>1869</v>
      </c>
      <c r="G29" s="573">
        <v>44927</v>
      </c>
      <c r="H29" s="1293"/>
      <c r="I29" s="1293"/>
      <c r="J29" s="524"/>
      <c r="K29" s="597"/>
      <c r="L29" s="597"/>
      <c r="M29" s="597"/>
      <c r="N29" s="526"/>
      <c r="O29" s="524"/>
      <c r="P29" s="597"/>
      <c r="Q29" s="597"/>
      <c r="R29" s="1309">
        <f t="shared" si="1"/>
        <v>0</v>
      </c>
      <c r="S29" s="528"/>
      <c r="T29" s="1293"/>
      <c r="U29" s="518"/>
      <c r="V29" s="528"/>
      <c r="W29" s="528"/>
      <c r="X29" s="546"/>
      <c r="AA29" s="512"/>
    </row>
    <row r="30" spans="1:27">
      <c r="A30" s="569" t="s">
        <v>299</v>
      </c>
      <c r="B30" s="551">
        <v>3.14</v>
      </c>
      <c r="C30" s="551" t="s">
        <v>1850</v>
      </c>
      <c r="D30" s="551" t="s">
        <v>1807</v>
      </c>
      <c r="E30" s="551" t="s">
        <v>1838</v>
      </c>
      <c r="F30" s="1295" t="s">
        <v>1869</v>
      </c>
      <c r="G30" s="574">
        <v>44927</v>
      </c>
      <c r="H30" s="529"/>
      <c r="I30" s="529"/>
      <c r="J30" s="530"/>
      <c r="K30" s="531"/>
      <c r="L30" s="531"/>
      <c r="M30" s="531"/>
      <c r="N30" s="532"/>
      <c r="O30" s="530"/>
      <c r="P30" s="531"/>
      <c r="Q30" s="531"/>
      <c r="R30" s="1310">
        <f t="shared" si="1"/>
        <v>0</v>
      </c>
      <c r="S30" s="534"/>
      <c r="T30" s="529"/>
      <c r="U30" s="535"/>
      <c r="V30" s="534"/>
      <c r="W30" s="534"/>
      <c r="X30" s="546"/>
    </row>
    <row r="31" spans="1:27">
      <c r="A31" s="561"/>
      <c r="B31" s="544"/>
      <c r="C31" s="544"/>
      <c r="D31" s="544"/>
      <c r="E31" s="544"/>
      <c r="F31" s="544"/>
      <c r="G31" s="544"/>
      <c r="H31" s="544"/>
      <c r="I31" s="544"/>
      <c r="J31" s="553"/>
      <c r="K31" s="553"/>
      <c r="L31" s="553"/>
      <c r="M31" s="553"/>
      <c r="N31" s="553"/>
      <c r="O31" s="553"/>
      <c r="P31" s="553"/>
      <c r="Q31" s="553"/>
      <c r="R31" s="554"/>
      <c r="S31" s="544"/>
      <c r="T31" s="544"/>
      <c r="U31" s="544"/>
      <c r="V31" s="544"/>
      <c r="W31" s="544"/>
      <c r="X31" s="546"/>
    </row>
    <row r="32" spans="1:27">
      <c r="A32" s="561"/>
      <c r="B32" s="544"/>
      <c r="C32" s="544"/>
      <c r="D32" s="544"/>
      <c r="E32" s="544"/>
      <c r="F32" s="544"/>
      <c r="G32" s="544"/>
      <c r="H32" s="544"/>
      <c r="I32" s="544"/>
      <c r="J32" s="544"/>
      <c r="K32" s="544"/>
      <c r="L32" s="544"/>
      <c r="M32" s="544"/>
      <c r="N32" s="544"/>
      <c r="O32" s="544"/>
      <c r="P32" s="544"/>
      <c r="Q32" s="544"/>
      <c r="R32" s="544"/>
      <c r="S32" s="544"/>
      <c r="T32" s="544"/>
      <c r="U32" s="544"/>
      <c r="V32" s="544"/>
      <c r="W32" s="544"/>
      <c r="X32" s="546"/>
    </row>
    <row r="33" spans="1:40" ht="15.75">
      <c r="A33" s="563" t="s">
        <v>1851</v>
      </c>
      <c r="B33" s="543">
        <v>3.8</v>
      </c>
      <c r="C33" s="543" t="s">
        <v>1870</v>
      </c>
      <c r="D33" s="543" t="s">
        <v>965</v>
      </c>
      <c r="E33" s="570" t="s">
        <v>1852</v>
      </c>
      <c r="F33" s="536"/>
      <c r="G33" s="572">
        <v>44317</v>
      </c>
      <c r="H33" s="515"/>
      <c r="I33" s="515"/>
      <c r="J33" s="519"/>
      <c r="K33" s="520"/>
      <c r="L33" s="520"/>
      <c r="M33" s="520"/>
      <c r="N33" s="521"/>
      <c r="O33" s="519"/>
      <c r="P33" s="520"/>
      <c r="Q33" s="521"/>
      <c r="R33" s="522">
        <f t="shared" ref="R33:R37" si="2">SUM(J33:Q33)</f>
        <v>0</v>
      </c>
      <c r="S33" s="516"/>
      <c r="T33" s="515"/>
      <c r="U33" s="516"/>
      <c r="V33" s="523"/>
      <c r="W33" s="523"/>
      <c r="X33" s="546"/>
    </row>
    <row r="34" spans="1:40" ht="15.75">
      <c r="A34" s="565" t="s">
        <v>1851</v>
      </c>
      <c r="B34" s="544">
        <v>3.8</v>
      </c>
      <c r="C34" s="544" t="s">
        <v>1870</v>
      </c>
      <c r="D34" s="544" t="s">
        <v>965</v>
      </c>
      <c r="E34" s="571" t="s">
        <v>1852</v>
      </c>
      <c r="F34" s="537"/>
      <c r="G34" s="573">
        <v>44682</v>
      </c>
      <c r="H34" s="517"/>
      <c r="I34" s="517"/>
      <c r="J34" s="524"/>
      <c r="K34" s="525"/>
      <c r="L34" s="525"/>
      <c r="M34" s="525"/>
      <c r="N34" s="526"/>
      <c r="O34" s="524"/>
      <c r="P34" s="525"/>
      <c r="Q34" s="526"/>
      <c r="R34" s="527">
        <f t="shared" si="2"/>
        <v>0</v>
      </c>
      <c r="S34" s="518"/>
      <c r="T34" s="517"/>
      <c r="U34" s="518"/>
      <c r="V34" s="528"/>
      <c r="W34" s="528"/>
      <c r="X34" s="546"/>
    </row>
    <row r="35" spans="1:40" ht="15.75">
      <c r="A35" s="565" t="s">
        <v>1851</v>
      </c>
      <c r="B35" s="544">
        <v>3.8</v>
      </c>
      <c r="C35" s="544" t="s">
        <v>1870</v>
      </c>
      <c r="D35" s="544" t="s">
        <v>965</v>
      </c>
      <c r="E35" s="544" t="s">
        <v>1852</v>
      </c>
      <c r="F35" s="538"/>
      <c r="G35" s="573">
        <v>45047</v>
      </c>
      <c r="H35" s="517"/>
      <c r="I35" s="517"/>
      <c r="J35" s="524"/>
      <c r="K35" s="525"/>
      <c r="L35" s="525"/>
      <c r="M35" s="525"/>
      <c r="N35" s="526"/>
      <c r="O35" s="524"/>
      <c r="P35" s="525"/>
      <c r="Q35" s="526"/>
      <c r="R35" s="527">
        <f t="shared" si="2"/>
        <v>0</v>
      </c>
      <c r="S35" s="518"/>
      <c r="T35" s="517"/>
      <c r="U35" s="518"/>
      <c r="V35" s="528"/>
      <c r="W35" s="528"/>
      <c r="X35" s="546"/>
    </row>
    <row r="36" spans="1:40" ht="15.75">
      <c r="A36" s="565" t="s">
        <v>1851</v>
      </c>
      <c r="B36" s="544">
        <v>3.8</v>
      </c>
      <c r="C36" s="544" t="s">
        <v>1870</v>
      </c>
      <c r="D36" s="544" t="s">
        <v>965</v>
      </c>
      <c r="E36" s="544" t="s">
        <v>1852</v>
      </c>
      <c r="F36" s="538"/>
      <c r="G36" s="573">
        <v>45413</v>
      </c>
      <c r="H36" s="517"/>
      <c r="I36" s="517"/>
      <c r="J36" s="524"/>
      <c r="K36" s="525"/>
      <c r="L36" s="525"/>
      <c r="M36" s="525"/>
      <c r="N36" s="526"/>
      <c r="O36" s="524"/>
      <c r="P36" s="525"/>
      <c r="Q36" s="526"/>
      <c r="R36" s="527">
        <f t="shared" si="2"/>
        <v>0</v>
      </c>
      <c r="S36" s="518"/>
      <c r="T36" s="517"/>
      <c r="U36" s="518"/>
      <c r="V36" s="528"/>
      <c r="W36" s="528"/>
      <c r="X36" s="546"/>
    </row>
    <row r="37" spans="1:40" ht="15.75">
      <c r="A37" s="567" t="s">
        <v>1851</v>
      </c>
      <c r="B37" s="551">
        <v>3.8</v>
      </c>
      <c r="C37" s="551" t="s">
        <v>1870</v>
      </c>
      <c r="D37" s="551" t="s">
        <v>965</v>
      </c>
      <c r="E37" s="551" t="s">
        <v>1852</v>
      </c>
      <c r="F37" s="539"/>
      <c r="G37" s="574">
        <v>45778</v>
      </c>
      <c r="H37" s="529"/>
      <c r="I37" s="529"/>
      <c r="J37" s="530"/>
      <c r="K37" s="531"/>
      <c r="L37" s="531"/>
      <c r="M37" s="531"/>
      <c r="N37" s="532"/>
      <c r="O37" s="530"/>
      <c r="P37" s="531"/>
      <c r="Q37" s="532"/>
      <c r="R37" s="533">
        <f t="shared" si="2"/>
        <v>0</v>
      </c>
      <c r="S37" s="535"/>
      <c r="T37" s="529"/>
      <c r="U37" s="535"/>
      <c r="V37" s="534"/>
      <c r="W37" s="534"/>
      <c r="X37" s="546"/>
    </row>
    <row r="38" spans="1:40">
      <c r="A38" s="561"/>
      <c r="B38" s="544"/>
      <c r="C38" s="544"/>
      <c r="D38" s="544"/>
      <c r="E38" s="544"/>
      <c r="F38" s="544"/>
      <c r="G38" s="544"/>
      <c r="H38" s="544"/>
      <c r="I38" s="544"/>
      <c r="J38" s="544"/>
      <c r="K38" s="544"/>
      <c r="L38" s="544"/>
      <c r="M38" s="544"/>
      <c r="N38" s="544"/>
      <c r="O38" s="544"/>
      <c r="P38" s="544"/>
      <c r="Q38" s="544"/>
      <c r="R38" s="544"/>
      <c r="S38" s="544"/>
      <c r="T38" s="544"/>
      <c r="U38" s="544"/>
      <c r="V38" s="544"/>
      <c r="W38" s="544"/>
      <c r="X38" s="546"/>
    </row>
    <row r="39" spans="1:40">
      <c r="A39" s="561"/>
      <c r="B39" s="544"/>
      <c r="C39" s="544"/>
      <c r="D39" s="544"/>
      <c r="E39" s="544"/>
      <c r="F39" s="544"/>
      <c r="G39" s="544"/>
      <c r="H39" s="544"/>
      <c r="I39" s="544"/>
      <c r="J39" s="544"/>
      <c r="K39" s="544"/>
      <c r="L39" s="544"/>
      <c r="M39" s="544"/>
      <c r="N39" s="544"/>
      <c r="O39" s="544"/>
      <c r="P39" s="544"/>
      <c r="Q39" s="544"/>
      <c r="R39" s="544"/>
      <c r="S39" s="544"/>
      <c r="T39" s="544"/>
      <c r="U39" s="544"/>
      <c r="V39" s="544"/>
      <c r="W39" s="544"/>
      <c r="X39" s="546"/>
    </row>
    <row r="40" spans="1:40" s="512" customFormat="1">
      <c r="A40" s="563" t="s">
        <v>1871</v>
      </c>
      <c r="B40" s="543">
        <v>3.13</v>
      </c>
      <c r="C40" s="543" t="s">
        <v>2911</v>
      </c>
      <c r="D40" s="543" t="s">
        <v>1807</v>
      </c>
      <c r="E40" s="570" t="s">
        <v>1838</v>
      </c>
      <c r="F40" s="536"/>
      <c r="G40" s="521"/>
      <c r="H40" s="515"/>
      <c r="I40" s="515"/>
      <c r="J40" s="519"/>
      <c r="K40" s="520"/>
      <c r="L40" s="520"/>
      <c r="M40" s="520"/>
      <c r="N40" s="521"/>
      <c r="O40" s="519"/>
      <c r="P40" s="520"/>
      <c r="Q40" s="521"/>
      <c r="R40" s="522">
        <f t="shared" ref="R40:R44" si="3">SUM(J40:Q40)</f>
        <v>0</v>
      </c>
      <c r="S40" s="516"/>
      <c r="T40" s="515"/>
      <c r="U40" s="516"/>
      <c r="V40" s="523"/>
      <c r="W40" s="523"/>
      <c r="X40" s="546"/>
      <c r="AA40" s="513"/>
      <c r="AB40" s="513"/>
      <c r="AC40" s="513"/>
      <c r="AD40" s="513"/>
      <c r="AE40" s="513"/>
      <c r="AF40" s="513"/>
      <c r="AG40" s="513"/>
      <c r="AH40" s="513"/>
      <c r="AI40" s="513"/>
      <c r="AJ40" s="513"/>
      <c r="AK40" s="513"/>
      <c r="AL40" s="513"/>
      <c r="AM40" s="513"/>
      <c r="AN40" s="513"/>
    </row>
    <row r="41" spans="1:40" s="512" customFormat="1">
      <c r="A41" s="565" t="s">
        <v>1871</v>
      </c>
      <c r="B41" s="544">
        <v>3.13</v>
      </c>
      <c r="C41" s="544" t="s">
        <v>2911</v>
      </c>
      <c r="D41" s="544" t="s">
        <v>1807</v>
      </c>
      <c r="E41" s="571" t="s">
        <v>1838</v>
      </c>
      <c r="F41" s="537"/>
      <c r="G41" s="526"/>
      <c r="H41" s="517"/>
      <c r="I41" s="517"/>
      <c r="J41" s="524"/>
      <c r="K41" s="525"/>
      <c r="L41" s="525"/>
      <c r="M41" s="525"/>
      <c r="N41" s="526"/>
      <c r="O41" s="524"/>
      <c r="P41" s="525"/>
      <c r="Q41" s="526"/>
      <c r="R41" s="527">
        <f t="shared" si="3"/>
        <v>0</v>
      </c>
      <c r="S41" s="518"/>
      <c r="T41" s="517"/>
      <c r="U41" s="518"/>
      <c r="V41" s="528"/>
      <c r="W41" s="528"/>
      <c r="X41" s="546"/>
      <c r="AA41" s="513"/>
      <c r="AB41" s="513"/>
      <c r="AC41" s="513"/>
      <c r="AD41" s="513"/>
      <c r="AE41" s="513"/>
      <c r="AF41" s="513"/>
      <c r="AG41" s="513"/>
      <c r="AH41" s="513"/>
      <c r="AI41" s="513"/>
      <c r="AJ41" s="513"/>
      <c r="AK41" s="513"/>
      <c r="AL41" s="513"/>
      <c r="AM41" s="513"/>
      <c r="AN41" s="513"/>
    </row>
    <row r="42" spans="1:40" s="512" customFormat="1">
      <c r="A42" s="565" t="s">
        <v>1871</v>
      </c>
      <c r="B42" s="544">
        <v>3.13</v>
      </c>
      <c r="C42" s="544" t="s">
        <v>2911</v>
      </c>
      <c r="D42" s="544" t="s">
        <v>1807</v>
      </c>
      <c r="E42" s="544" t="s">
        <v>1838</v>
      </c>
      <c r="F42" s="538"/>
      <c r="G42" s="526"/>
      <c r="H42" s="517"/>
      <c r="I42" s="517"/>
      <c r="J42" s="524"/>
      <c r="K42" s="525"/>
      <c r="L42" s="525"/>
      <c r="M42" s="525"/>
      <c r="N42" s="526"/>
      <c r="O42" s="524"/>
      <c r="P42" s="525"/>
      <c r="Q42" s="526"/>
      <c r="R42" s="527">
        <f t="shared" si="3"/>
        <v>0</v>
      </c>
      <c r="S42" s="518"/>
      <c r="T42" s="517"/>
      <c r="U42" s="518"/>
      <c r="V42" s="528"/>
      <c r="W42" s="528"/>
      <c r="X42" s="546"/>
      <c r="AA42" s="513"/>
      <c r="AB42" s="513"/>
      <c r="AC42" s="513"/>
      <c r="AD42" s="513"/>
      <c r="AE42" s="513"/>
      <c r="AF42" s="513"/>
      <c r="AG42" s="513"/>
      <c r="AH42" s="513"/>
      <c r="AI42" s="513"/>
      <c r="AJ42" s="513"/>
      <c r="AK42" s="513"/>
      <c r="AL42" s="513"/>
      <c r="AM42" s="513"/>
      <c r="AN42" s="513"/>
    </row>
    <row r="43" spans="1:40" s="512" customFormat="1">
      <c r="A43" s="565" t="s">
        <v>1871</v>
      </c>
      <c r="B43" s="544">
        <v>3.13</v>
      </c>
      <c r="C43" s="544" t="s">
        <v>2911</v>
      </c>
      <c r="D43" s="544" t="s">
        <v>1807</v>
      </c>
      <c r="E43" s="544" t="s">
        <v>1838</v>
      </c>
      <c r="F43" s="538"/>
      <c r="G43" s="526"/>
      <c r="H43" s="517"/>
      <c r="I43" s="517"/>
      <c r="J43" s="524"/>
      <c r="K43" s="525"/>
      <c r="L43" s="525"/>
      <c r="M43" s="525"/>
      <c r="N43" s="526"/>
      <c r="O43" s="524"/>
      <c r="P43" s="525"/>
      <c r="Q43" s="526"/>
      <c r="R43" s="527">
        <f t="shared" si="3"/>
        <v>0</v>
      </c>
      <c r="S43" s="518"/>
      <c r="T43" s="517"/>
      <c r="U43" s="518"/>
      <c r="V43" s="528"/>
      <c r="W43" s="528"/>
      <c r="X43" s="546"/>
      <c r="AA43" s="513"/>
      <c r="AB43" s="513"/>
      <c r="AC43" s="513"/>
      <c r="AD43" s="513"/>
      <c r="AE43" s="513"/>
      <c r="AF43" s="513"/>
      <c r="AG43" s="513"/>
      <c r="AH43" s="513"/>
      <c r="AI43" s="513"/>
      <c r="AJ43" s="513"/>
      <c r="AK43" s="513"/>
      <c r="AL43" s="513"/>
      <c r="AM43" s="513"/>
      <c r="AN43" s="513"/>
    </row>
    <row r="44" spans="1:40" s="512" customFormat="1">
      <c r="A44" s="567" t="s">
        <v>1871</v>
      </c>
      <c r="B44" s="551">
        <v>3.13</v>
      </c>
      <c r="C44" s="551" t="s">
        <v>2911</v>
      </c>
      <c r="D44" s="551" t="s">
        <v>1807</v>
      </c>
      <c r="E44" s="551" t="s">
        <v>1838</v>
      </c>
      <c r="F44" s="539"/>
      <c r="G44" s="532"/>
      <c r="H44" s="529"/>
      <c r="I44" s="529"/>
      <c r="J44" s="530"/>
      <c r="K44" s="531"/>
      <c r="L44" s="531"/>
      <c r="M44" s="531"/>
      <c r="N44" s="532"/>
      <c r="O44" s="530"/>
      <c r="P44" s="531"/>
      <c r="Q44" s="532"/>
      <c r="R44" s="533">
        <f t="shared" si="3"/>
        <v>0</v>
      </c>
      <c r="S44" s="535"/>
      <c r="T44" s="529"/>
      <c r="U44" s="535"/>
      <c r="V44" s="534"/>
      <c r="W44" s="534"/>
      <c r="X44" s="546"/>
      <c r="AA44" s="513"/>
      <c r="AB44" s="513"/>
      <c r="AC44" s="513"/>
      <c r="AD44" s="513"/>
      <c r="AE44" s="513"/>
      <c r="AF44" s="513"/>
      <c r="AG44" s="513"/>
      <c r="AH44" s="513"/>
      <c r="AI44" s="513"/>
      <c r="AJ44" s="513"/>
      <c r="AK44" s="513"/>
      <c r="AL44" s="513"/>
      <c r="AM44" s="513"/>
      <c r="AN44" s="513"/>
    </row>
    <row r="45" spans="1:40" s="512" customFormat="1">
      <c r="A45" s="561"/>
      <c r="B45" s="544"/>
      <c r="C45" s="544"/>
      <c r="D45" s="544"/>
      <c r="E45" s="544"/>
      <c r="F45" s="544"/>
      <c r="G45" s="544"/>
      <c r="H45" s="544"/>
      <c r="I45" s="544"/>
      <c r="J45" s="544"/>
      <c r="K45" s="544"/>
      <c r="L45" s="544"/>
      <c r="M45" s="544"/>
      <c r="N45" s="544"/>
      <c r="O45" s="544"/>
      <c r="P45" s="544"/>
      <c r="Q45" s="544"/>
      <c r="R45" s="544"/>
      <c r="S45" s="544"/>
      <c r="T45" s="544"/>
      <c r="U45" s="544"/>
      <c r="V45" s="544"/>
      <c r="W45" s="544"/>
      <c r="X45" s="546"/>
      <c r="AA45" s="513"/>
      <c r="AB45" s="513"/>
      <c r="AC45" s="513"/>
      <c r="AD45" s="513"/>
      <c r="AE45" s="513"/>
      <c r="AF45" s="513"/>
      <c r="AG45" s="513"/>
      <c r="AH45" s="513"/>
      <c r="AI45" s="513"/>
      <c r="AJ45" s="513"/>
      <c r="AK45" s="513"/>
      <c r="AL45" s="513"/>
      <c r="AM45" s="513"/>
      <c r="AN45" s="513"/>
    </row>
    <row r="46" spans="1:40" s="512" customFormat="1">
      <c r="A46" s="561"/>
      <c r="B46" s="544"/>
      <c r="C46" s="544"/>
      <c r="D46" s="544"/>
      <c r="E46" s="544"/>
      <c r="F46" s="544"/>
      <c r="G46" s="544"/>
      <c r="H46" s="544"/>
      <c r="I46" s="544"/>
      <c r="J46" s="544"/>
      <c r="K46" s="544"/>
      <c r="L46" s="544"/>
      <c r="M46" s="544"/>
      <c r="N46" s="544"/>
      <c r="O46" s="544"/>
      <c r="P46" s="544"/>
      <c r="Q46" s="544"/>
      <c r="R46" s="544"/>
      <c r="S46" s="544"/>
      <c r="T46" s="544"/>
      <c r="U46" s="544"/>
      <c r="V46" s="544"/>
      <c r="W46" s="544"/>
      <c r="X46" s="546"/>
      <c r="AA46" s="513"/>
      <c r="AB46" s="513"/>
      <c r="AC46" s="513"/>
      <c r="AD46" s="513"/>
      <c r="AE46" s="513"/>
      <c r="AF46" s="513"/>
      <c r="AG46" s="513"/>
      <c r="AH46" s="513"/>
      <c r="AI46" s="513"/>
      <c r="AJ46" s="513"/>
      <c r="AK46" s="513"/>
      <c r="AL46" s="513"/>
      <c r="AM46" s="513"/>
      <c r="AN46" s="513"/>
    </row>
    <row r="47" spans="1:40" s="512" customFormat="1" ht="15.75">
      <c r="A47" s="1311" t="s">
        <v>1853</v>
      </c>
      <c r="B47" s="555">
        <v>3.17</v>
      </c>
      <c r="C47" s="543" t="s">
        <v>1872</v>
      </c>
      <c r="D47" s="543" t="s">
        <v>965</v>
      </c>
      <c r="E47" s="570" t="s">
        <v>1852</v>
      </c>
      <c r="F47" s="564" t="s">
        <v>1869</v>
      </c>
      <c r="G47" s="572">
        <v>44562</v>
      </c>
      <c r="H47" s="515"/>
      <c r="I47" s="515"/>
      <c r="J47" s="519"/>
      <c r="K47" s="520"/>
      <c r="L47" s="520"/>
      <c r="M47" s="520"/>
      <c r="N47" s="521"/>
      <c r="O47" s="519"/>
      <c r="P47" s="520"/>
      <c r="Q47" s="521"/>
      <c r="R47" s="522">
        <f t="shared" ref="R47:R51" si="4">SUM(J47:Q47)</f>
        <v>0</v>
      </c>
      <c r="S47" s="516"/>
      <c r="T47" s="515"/>
      <c r="U47" s="516"/>
      <c r="V47" s="523"/>
      <c r="W47" s="523"/>
      <c r="X47" s="546"/>
      <c r="AA47" s="513"/>
      <c r="AB47" s="513"/>
      <c r="AC47" s="513"/>
      <c r="AD47" s="513"/>
      <c r="AE47" s="513"/>
      <c r="AF47" s="513"/>
      <c r="AG47" s="513"/>
      <c r="AH47" s="513"/>
      <c r="AI47" s="513"/>
      <c r="AJ47" s="513"/>
      <c r="AK47" s="513"/>
      <c r="AL47" s="513"/>
      <c r="AM47" s="513"/>
      <c r="AN47" s="513"/>
    </row>
    <row r="48" spans="1:40" s="512" customFormat="1" ht="15.75">
      <c r="A48" s="561" t="s">
        <v>1853</v>
      </c>
      <c r="B48" s="556">
        <v>3.17</v>
      </c>
      <c r="C48" s="544" t="s">
        <v>1872</v>
      </c>
      <c r="D48" s="544" t="s">
        <v>965</v>
      </c>
      <c r="E48" s="544" t="s">
        <v>1852</v>
      </c>
      <c r="F48" s="566" t="s">
        <v>1869</v>
      </c>
      <c r="G48" s="573">
        <v>44927</v>
      </c>
      <c r="H48" s="517"/>
      <c r="I48" s="517"/>
      <c r="J48" s="524"/>
      <c r="K48" s="525"/>
      <c r="L48" s="525"/>
      <c r="M48" s="525"/>
      <c r="N48" s="526"/>
      <c r="O48" s="524"/>
      <c r="P48" s="525"/>
      <c r="Q48" s="526"/>
      <c r="R48" s="527">
        <f t="shared" si="4"/>
        <v>0</v>
      </c>
      <c r="S48" s="518"/>
      <c r="T48" s="517"/>
      <c r="U48" s="518"/>
      <c r="V48" s="528"/>
      <c r="W48" s="528"/>
      <c r="X48" s="546"/>
      <c r="AA48" s="513"/>
      <c r="AB48" s="513"/>
      <c r="AC48" s="513"/>
      <c r="AD48" s="513"/>
      <c r="AE48" s="513"/>
      <c r="AF48" s="513"/>
      <c r="AG48" s="513"/>
      <c r="AH48" s="513"/>
      <c r="AI48" s="513"/>
      <c r="AJ48" s="513"/>
      <c r="AK48" s="513"/>
      <c r="AL48" s="513"/>
      <c r="AM48" s="513"/>
      <c r="AN48" s="513"/>
    </row>
    <row r="49" spans="1:40" s="512" customFormat="1" ht="15.75">
      <c r="A49" s="561" t="s">
        <v>1854</v>
      </c>
      <c r="B49" s="556">
        <v>3.17</v>
      </c>
      <c r="C49" s="544" t="s">
        <v>1873</v>
      </c>
      <c r="D49" s="544" t="s">
        <v>965</v>
      </c>
      <c r="E49" s="544" t="s">
        <v>1852</v>
      </c>
      <c r="F49" s="566" t="s">
        <v>1869</v>
      </c>
      <c r="G49" s="573">
        <v>44927</v>
      </c>
      <c r="H49" s="517"/>
      <c r="I49" s="517"/>
      <c r="J49" s="524"/>
      <c r="K49" s="525"/>
      <c r="L49" s="525"/>
      <c r="M49" s="525"/>
      <c r="N49" s="526"/>
      <c r="O49" s="524"/>
      <c r="P49" s="525"/>
      <c r="Q49" s="526"/>
      <c r="R49" s="527">
        <f t="shared" si="4"/>
        <v>0</v>
      </c>
      <c r="S49" s="518"/>
      <c r="T49" s="517"/>
      <c r="U49" s="518"/>
      <c r="V49" s="528"/>
      <c r="W49" s="528"/>
      <c r="X49" s="546"/>
      <c r="AA49" s="513"/>
      <c r="AB49" s="513"/>
      <c r="AC49" s="513"/>
      <c r="AD49" s="513"/>
      <c r="AE49" s="513"/>
      <c r="AF49" s="513"/>
      <c r="AG49" s="513"/>
      <c r="AH49" s="513"/>
      <c r="AI49" s="513"/>
      <c r="AJ49" s="513"/>
      <c r="AK49" s="513"/>
      <c r="AL49" s="513"/>
      <c r="AM49" s="513"/>
      <c r="AN49" s="513"/>
    </row>
    <row r="50" spans="1:40" s="512" customFormat="1" ht="15.75">
      <c r="A50" s="561" t="s">
        <v>1853</v>
      </c>
      <c r="B50" s="556">
        <v>3.17</v>
      </c>
      <c r="C50" s="544" t="s">
        <v>1872</v>
      </c>
      <c r="D50" s="544" t="s">
        <v>965</v>
      </c>
      <c r="E50" s="544" t="s">
        <v>1852</v>
      </c>
      <c r="F50" s="566" t="s">
        <v>1869</v>
      </c>
      <c r="G50" s="573">
        <v>45292</v>
      </c>
      <c r="H50" s="517"/>
      <c r="I50" s="517"/>
      <c r="J50" s="524"/>
      <c r="K50" s="525"/>
      <c r="L50" s="525"/>
      <c r="M50" s="525"/>
      <c r="N50" s="526"/>
      <c r="O50" s="524"/>
      <c r="P50" s="525"/>
      <c r="Q50" s="526"/>
      <c r="R50" s="527">
        <f t="shared" si="4"/>
        <v>0</v>
      </c>
      <c r="S50" s="518"/>
      <c r="T50" s="517"/>
      <c r="U50" s="518"/>
      <c r="V50" s="528"/>
      <c r="W50" s="528"/>
      <c r="X50" s="546"/>
      <c r="AA50" s="513"/>
      <c r="AB50" s="513"/>
      <c r="AC50" s="513"/>
      <c r="AD50" s="513"/>
      <c r="AE50" s="513"/>
      <c r="AF50" s="513"/>
      <c r="AG50" s="513"/>
      <c r="AH50" s="513"/>
      <c r="AI50" s="513"/>
      <c r="AJ50" s="513"/>
      <c r="AK50" s="513"/>
      <c r="AL50" s="513"/>
      <c r="AM50" s="513"/>
      <c r="AN50" s="513"/>
    </row>
    <row r="51" spans="1:40" s="512" customFormat="1" ht="15.75">
      <c r="A51" s="569" t="s">
        <v>1853</v>
      </c>
      <c r="B51" s="559">
        <v>3.17</v>
      </c>
      <c r="C51" s="551" t="s">
        <v>1872</v>
      </c>
      <c r="D51" s="551" t="s">
        <v>965</v>
      </c>
      <c r="E51" s="551" t="s">
        <v>1852</v>
      </c>
      <c r="F51" s="559" t="s">
        <v>1869</v>
      </c>
      <c r="G51" s="574">
        <v>45658</v>
      </c>
      <c r="H51" s="529"/>
      <c r="I51" s="529"/>
      <c r="J51" s="530"/>
      <c r="K51" s="531"/>
      <c r="L51" s="531"/>
      <c r="M51" s="531"/>
      <c r="N51" s="532"/>
      <c r="O51" s="530"/>
      <c r="P51" s="531"/>
      <c r="Q51" s="532"/>
      <c r="R51" s="533">
        <f t="shared" si="4"/>
        <v>0</v>
      </c>
      <c r="S51" s="535"/>
      <c r="T51" s="529"/>
      <c r="U51" s="535"/>
      <c r="V51" s="534"/>
      <c r="W51" s="534"/>
      <c r="X51" s="546"/>
      <c r="AA51" s="513"/>
      <c r="AB51" s="513"/>
      <c r="AC51" s="513"/>
      <c r="AD51" s="513"/>
      <c r="AE51" s="513"/>
      <c r="AF51" s="513"/>
      <c r="AG51" s="513"/>
      <c r="AH51" s="513"/>
      <c r="AI51" s="513"/>
      <c r="AJ51" s="513"/>
      <c r="AK51" s="513"/>
      <c r="AL51" s="513"/>
      <c r="AM51" s="513"/>
      <c r="AN51" s="513"/>
    </row>
    <row r="52" spans="1:40" s="512" customFormat="1">
      <c r="A52" s="561"/>
      <c r="B52" s="544"/>
      <c r="C52" s="544"/>
      <c r="D52" s="544"/>
      <c r="E52" s="544"/>
      <c r="F52" s="544"/>
      <c r="G52" s="544"/>
      <c r="H52" s="544"/>
      <c r="I52" s="544"/>
      <c r="J52" s="544"/>
      <c r="K52" s="544"/>
      <c r="L52" s="544"/>
      <c r="M52" s="544"/>
      <c r="N52" s="544"/>
      <c r="O52" s="544"/>
      <c r="P52" s="544"/>
      <c r="Q52" s="544"/>
      <c r="R52" s="544"/>
      <c r="S52" s="544"/>
      <c r="T52" s="544"/>
      <c r="U52" s="544"/>
      <c r="V52" s="544"/>
      <c r="W52" s="544"/>
      <c r="X52" s="546"/>
      <c r="AA52" s="513"/>
      <c r="AB52" s="513"/>
      <c r="AC52" s="513"/>
      <c r="AD52" s="513"/>
      <c r="AE52" s="513"/>
      <c r="AF52" s="513"/>
      <c r="AG52" s="513"/>
      <c r="AH52" s="513"/>
      <c r="AI52" s="513"/>
      <c r="AJ52" s="513"/>
      <c r="AK52" s="513"/>
      <c r="AL52" s="513"/>
      <c r="AM52" s="513"/>
      <c r="AN52" s="513"/>
    </row>
    <row r="53" spans="1:40" s="512" customFormat="1">
      <c r="A53" s="556"/>
      <c r="B53" s="544"/>
      <c r="C53" s="544"/>
      <c r="D53" s="544"/>
      <c r="E53" s="544"/>
      <c r="F53" s="544"/>
      <c r="G53" s="544"/>
      <c r="H53" s="544"/>
      <c r="I53" s="544"/>
      <c r="J53" s="544"/>
      <c r="K53" s="544"/>
      <c r="L53" s="544"/>
      <c r="M53" s="544"/>
      <c r="N53" s="544"/>
      <c r="O53" s="544"/>
      <c r="P53" s="544"/>
      <c r="Q53" s="544"/>
      <c r="R53" s="544"/>
      <c r="S53" s="544"/>
      <c r="T53" s="544"/>
      <c r="U53" s="544"/>
      <c r="V53" s="544"/>
      <c r="W53" s="544"/>
      <c r="X53" s="546"/>
      <c r="AA53" s="513"/>
      <c r="AB53" s="513"/>
      <c r="AC53" s="513"/>
      <c r="AD53" s="513"/>
      <c r="AE53" s="513"/>
      <c r="AF53" s="513"/>
      <c r="AG53" s="513"/>
      <c r="AH53" s="513"/>
      <c r="AI53" s="513"/>
      <c r="AJ53" s="513"/>
      <c r="AK53" s="513"/>
      <c r="AL53" s="513"/>
      <c r="AM53" s="513"/>
      <c r="AN53" s="513"/>
    </row>
    <row r="54" spans="1:40" s="512" customFormat="1" ht="15.75">
      <c r="A54" s="1311" t="s">
        <v>2965</v>
      </c>
      <c r="B54" s="555">
        <v>3.7</v>
      </c>
      <c r="C54" s="543" t="s">
        <v>1874</v>
      </c>
      <c r="D54" s="543" t="s">
        <v>1807</v>
      </c>
      <c r="E54" s="570" t="s">
        <v>1838</v>
      </c>
      <c r="F54" s="564" t="s">
        <v>1869</v>
      </c>
      <c r="G54" s="572">
        <v>44287</v>
      </c>
      <c r="H54" s="515"/>
      <c r="I54" s="515"/>
      <c r="J54" s="519"/>
      <c r="K54" s="520"/>
      <c r="L54" s="520"/>
      <c r="M54" s="520"/>
      <c r="N54" s="521"/>
      <c r="O54" s="519"/>
      <c r="P54" s="520"/>
      <c r="Q54" s="521"/>
      <c r="R54" s="522">
        <f t="shared" ref="R54:R60" si="5">SUM(J54:Q54)</f>
        <v>0</v>
      </c>
      <c r="S54" s="516"/>
      <c r="T54" s="515"/>
      <c r="U54" s="516"/>
      <c r="V54" s="523"/>
      <c r="W54" s="523"/>
      <c r="X54" s="546"/>
      <c r="AA54" s="513"/>
      <c r="AB54" s="513"/>
      <c r="AC54" s="513"/>
      <c r="AD54" s="513"/>
      <c r="AE54" s="513"/>
      <c r="AF54" s="513"/>
      <c r="AG54" s="513"/>
      <c r="AH54" s="513"/>
      <c r="AI54" s="513"/>
      <c r="AJ54" s="513"/>
      <c r="AK54" s="513"/>
      <c r="AL54" s="513"/>
      <c r="AM54" s="513"/>
      <c r="AN54" s="513"/>
    </row>
    <row r="55" spans="1:40" s="512" customFormat="1">
      <c r="A55" s="561" t="s">
        <v>273</v>
      </c>
      <c r="B55" s="556">
        <v>3.2</v>
      </c>
      <c r="C55" s="544" t="s">
        <v>2894</v>
      </c>
      <c r="D55" s="544" t="s">
        <v>965</v>
      </c>
      <c r="E55" s="571" t="s">
        <v>1852</v>
      </c>
      <c r="F55" s="566" t="s">
        <v>1869</v>
      </c>
      <c r="G55" s="573">
        <v>44287</v>
      </c>
      <c r="H55" s="517"/>
      <c r="I55" s="517"/>
      <c r="J55" s="524"/>
      <c r="K55" s="525"/>
      <c r="L55" s="525"/>
      <c r="M55" s="525"/>
      <c r="N55" s="526"/>
      <c r="O55" s="524"/>
      <c r="P55" s="525"/>
      <c r="Q55" s="526"/>
      <c r="R55" s="527">
        <f t="shared" si="5"/>
        <v>0</v>
      </c>
      <c r="S55" s="518"/>
      <c r="T55" s="517"/>
      <c r="U55" s="518"/>
      <c r="V55" s="528"/>
      <c r="W55" s="528"/>
      <c r="X55" s="546"/>
      <c r="AA55" s="513"/>
      <c r="AB55" s="513"/>
      <c r="AC55" s="513"/>
      <c r="AD55" s="513"/>
      <c r="AE55" s="513"/>
      <c r="AF55" s="513"/>
      <c r="AG55" s="513"/>
      <c r="AH55" s="513"/>
      <c r="AI55" s="513"/>
      <c r="AJ55" s="513"/>
      <c r="AK55" s="513"/>
      <c r="AL55" s="513"/>
      <c r="AM55" s="513"/>
      <c r="AN55" s="513"/>
    </row>
    <row r="56" spans="1:40" s="512" customFormat="1">
      <c r="A56" s="561" t="s">
        <v>272</v>
      </c>
      <c r="B56" s="556">
        <v>3.3</v>
      </c>
      <c r="C56" s="544" t="s">
        <v>2896</v>
      </c>
      <c r="D56" s="544" t="s">
        <v>965</v>
      </c>
      <c r="E56" s="571" t="s">
        <v>1852</v>
      </c>
      <c r="F56" s="566" t="s">
        <v>1869</v>
      </c>
      <c r="G56" s="573">
        <v>44287</v>
      </c>
      <c r="H56" s="517"/>
      <c r="I56" s="517"/>
      <c r="J56" s="524"/>
      <c r="K56" s="525"/>
      <c r="L56" s="525"/>
      <c r="M56" s="525"/>
      <c r="N56" s="526"/>
      <c r="O56" s="524"/>
      <c r="P56" s="525"/>
      <c r="Q56" s="526"/>
      <c r="R56" s="527">
        <f t="shared" si="5"/>
        <v>0</v>
      </c>
      <c r="S56" s="518"/>
      <c r="T56" s="517"/>
      <c r="U56" s="518"/>
      <c r="V56" s="528"/>
      <c r="W56" s="528"/>
      <c r="X56" s="546"/>
      <c r="AA56" s="513"/>
      <c r="AB56" s="513"/>
      <c r="AC56" s="513"/>
      <c r="AD56" s="513"/>
      <c r="AE56" s="513"/>
      <c r="AF56" s="513"/>
      <c r="AG56" s="513"/>
      <c r="AH56" s="513"/>
      <c r="AI56" s="513"/>
      <c r="AJ56" s="513"/>
      <c r="AK56" s="513"/>
      <c r="AL56" s="513"/>
      <c r="AM56" s="513"/>
      <c r="AN56" s="513"/>
    </row>
    <row r="57" spans="1:40" s="512" customFormat="1" ht="15.75">
      <c r="A57" s="1311" t="s">
        <v>2965</v>
      </c>
      <c r="B57" s="556">
        <v>3.7</v>
      </c>
      <c r="C57" s="544" t="s">
        <v>1874</v>
      </c>
      <c r="D57" s="544" t="s">
        <v>1807</v>
      </c>
      <c r="E57" s="571" t="s">
        <v>1838</v>
      </c>
      <c r="F57" s="566" t="s">
        <v>1869</v>
      </c>
      <c r="G57" s="573">
        <v>44927</v>
      </c>
      <c r="H57" s="517"/>
      <c r="I57" s="517"/>
      <c r="J57" s="524"/>
      <c r="K57" s="525"/>
      <c r="L57" s="525"/>
      <c r="M57" s="525"/>
      <c r="N57" s="526"/>
      <c r="O57" s="524"/>
      <c r="P57" s="525"/>
      <c r="Q57" s="526"/>
      <c r="R57" s="527">
        <f t="shared" si="5"/>
        <v>0</v>
      </c>
      <c r="S57" s="518"/>
      <c r="T57" s="517"/>
      <c r="U57" s="518"/>
      <c r="V57" s="528"/>
      <c r="W57" s="528"/>
      <c r="X57" s="546"/>
      <c r="AA57" s="513"/>
      <c r="AB57" s="513"/>
      <c r="AC57" s="513"/>
      <c r="AD57" s="513"/>
      <c r="AE57" s="513"/>
      <c r="AF57" s="513"/>
      <c r="AG57" s="513"/>
      <c r="AH57" s="513"/>
      <c r="AI57" s="513"/>
      <c r="AJ57" s="513"/>
      <c r="AK57" s="513"/>
      <c r="AL57" s="513"/>
      <c r="AM57" s="513"/>
      <c r="AN57" s="513"/>
    </row>
    <row r="58" spans="1:40" s="512" customFormat="1">
      <c r="A58" s="561" t="s">
        <v>273</v>
      </c>
      <c r="B58" s="556">
        <v>3.2</v>
      </c>
      <c r="C58" s="544" t="s">
        <v>2894</v>
      </c>
      <c r="D58" s="544" t="s">
        <v>965</v>
      </c>
      <c r="E58" s="544" t="s">
        <v>1852</v>
      </c>
      <c r="F58" s="556" t="s">
        <v>1869</v>
      </c>
      <c r="G58" s="573">
        <v>44927</v>
      </c>
      <c r="H58" s="517"/>
      <c r="I58" s="517"/>
      <c r="J58" s="524"/>
      <c r="K58" s="525"/>
      <c r="L58" s="525"/>
      <c r="M58" s="525"/>
      <c r="N58" s="526"/>
      <c r="O58" s="524"/>
      <c r="P58" s="525"/>
      <c r="Q58" s="526"/>
      <c r="R58" s="527">
        <f t="shared" si="5"/>
        <v>0</v>
      </c>
      <c r="S58" s="518"/>
      <c r="T58" s="517"/>
      <c r="U58" s="518"/>
      <c r="V58" s="528"/>
      <c r="W58" s="528"/>
      <c r="X58" s="546"/>
      <c r="AA58" s="513"/>
      <c r="AB58" s="513"/>
      <c r="AC58" s="513"/>
      <c r="AD58" s="513"/>
      <c r="AE58" s="513"/>
      <c r="AF58" s="513"/>
      <c r="AG58" s="513"/>
      <c r="AH58" s="513"/>
      <c r="AI58" s="513"/>
      <c r="AJ58" s="513"/>
      <c r="AK58" s="513"/>
      <c r="AL58" s="513"/>
      <c r="AM58" s="513"/>
      <c r="AN58" s="513"/>
    </row>
    <row r="59" spans="1:40" s="512" customFormat="1">
      <c r="A59" s="561" t="s">
        <v>272</v>
      </c>
      <c r="B59" s="556">
        <v>3.3</v>
      </c>
      <c r="C59" s="544" t="s">
        <v>2896</v>
      </c>
      <c r="D59" s="544" t="s">
        <v>965</v>
      </c>
      <c r="E59" s="544" t="s">
        <v>1852</v>
      </c>
      <c r="F59" s="556" t="s">
        <v>1869</v>
      </c>
      <c r="G59" s="573">
        <v>44927</v>
      </c>
      <c r="H59" s="517"/>
      <c r="I59" s="517"/>
      <c r="J59" s="524"/>
      <c r="K59" s="525"/>
      <c r="L59" s="525"/>
      <c r="M59" s="525"/>
      <c r="N59" s="526"/>
      <c r="O59" s="524"/>
      <c r="P59" s="525"/>
      <c r="Q59" s="526"/>
      <c r="R59" s="527">
        <f t="shared" si="5"/>
        <v>0</v>
      </c>
      <c r="S59" s="518"/>
      <c r="T59" s="517"/>
      <c r="U59" s="518"/>
      <c r="V59" s="528"/>
      <c r="W59" s="528"/>
      <c r="X59" s="546"/>
      <c r="AA59" s="513"/>
      <c r="AB59" s="513"/>
      <c r="AC59" s="513"/>
      <c r="AD59" s="513"/>
      <c r="AE59" s="513"/>
      <c r="AF59" s="513"/>
      <c r="AG59" s="513"/>
      <c r="AH59" s="513"/>
      <c r="AI59" s="513"/>
      <c r="AJ59" s="513"/>
      <c r="AK59" s="513"/>
      <c r="AL59" s="513"/>
      <c r="AM59" s="513"/>
      <c r="AN59" s="513"/>
    </row>
    <row r="60" spans="1:40" s="512" customFormat="1">
      <c r="A60" s="569" t="s">
        <v>1855</v>
      </c>
      <c r="B60" s="559">
        <v>3.4</v>
      </c>
      <c r="C60" s="551" t="s">
        <v>2898</v>
      </c>
      <c r="D60" s="551" t="s">
        <v>1807</v>
      </c>
      <c r="E60" s="551" t="s">
        <v>1856</v>
      </c>
      <c r="F60" s="559" t="s">
        <v>1869</v>
      </c>
      <c r="G60" s="574">
        <v>45292</v>
      </c>
      <c r="H60" s="529"/>
      <c r="I60" s="529"/>
      <c r="J60" s="530"/>
      <c r="K60" s="531"/>
      <c r="L60" s="531"/>
      <c r="M60" s="531"/>
      <c r="N60" s="532"/>
      <c r="O60" s="530"/>
      <c r="P60" s="531"/>
      <c r="Q60" s="532"/>
      <c r="R60" s="533">
        <f t="shared" si="5"/>
        <v>0</v>
      </c>
      <c r="S60" s="535"/>
      <c r="T60" s="529"/>
      <c r="U60" s="535"/>
      <c r="V60" s="534"/>
      <c r="W60" s="534"/>
      <c r="X60" s="546"/>
      <c r="AA60" s="513"/>
      <c r="AB60" s="513"/>
      <c r="AC60" s="513"/>
      <c r="AD60" s="513"/>
      <c r="AE60" s="513"/>
      <c r="AF60" s="513"/>
      <c r="AG60" s="513"/>
      <c r="AH60" s="513"/>
      <c r="AI60" s="513"/>
      <c r="AJ60" s="513"/>
      <c r="AK60" s="513"/>
      <c r="AL60" s="513"/>
      <c r="AM60" s="513"/>
      <c r="AN60" s="513"/>
    </row>
    <row r="61" spans="1:40" s="512" customFormat="1">
      <c r="A61" s="561"/>
      <c r="B61" s="544"/>
      <c r="C61" s="544"/>
      <c r="D61" s="544"/>
      <c r="E61" s="544"/>
      <c r="F61" s="544"/>
      <c r="G61" s="544"/>
      <c r="H61" s="544"/>
      <c r="I61" s="544"/>
      <c r="J61" s="544"/>
      <c r="K61" s="544"/>
      <c r="L61" s="544"/>
      <c r="M61" s="544"/>
      <c r="N61" s="544"/>
      <c r="O61" s="544"/>
      <c r="P61" s="544"/>
      <c r="Q61" s="544"/>
      <c r="R61" s="544"/>
      <c r="S61" s="544"/>
      <c r="T61" s="544"/>
      <c r="U61" s="544"/>
      <c r="V61" s="544"/>
      <c r="W61" s="544"/>
      <c r="X61" s="546"/>
      <c r="AA61" s="513"/>
      <c r="AB61" s="513"/>
      <c r="AC61" s="513"/>
      <c r="AD61" s="513"/>
      <c r="AE61" s="513"/>
      <c r="AF61" s="513"/>
      <c r="AG61" s="513"/>
      <c r="AH61" s="513"/>
      <c r="AI61" s="513"/>
      <c r="AJ61" s="513"/>
      <c r="AK61" s="513"/>
      <c r="AL61" s="513"/>
      <c r="AM61" s="513"/>
      <c r="AN61" s="513"/>
    </row>
    <row r="62" spans="1:40" s="512" customFormat="1">
      <c r="A62" s="561"/>
      <c r="B62" s="544"/>
      <c r="C62" s="544"/>
      <c r="D62" s="544"/>
      <c r="E62" s="544"/>
      <c r="F62" s="544"/>
      <c r="G62" s="544"/>
      <c r="H62" s="544"/>
      <c r="I62" s="544"/>
      <c r="J62" s="544"/>
      <c r="K62" s="544"/>
      <c r="L62" s="544"/>
      <c r="M62" s="544"/>
      <c r="N62" s="544"/>
      <c r="O62" s="544"/>
      <c r="P62" s="544"/>
      <c r="Q62" s="544"/>
      <c r="R62" s="544"/>
      <c r="S62" s="544"/>
      <c r="T62" s="544"/>
      <c r="U62" s="544"/>
      <c r="V62" s="544"/>
      <c r="W62" s="544"/>
      <c r="X62" s="546"/>
      <c r="AA62" s="513"/>
      <c r="AB62" s="513"/>
      <c r="AC62" s="513"/>
      <c r="AD62" s="513"/>
      <c r="AE62" s="513"/>
      <c r="AF62" s="513"/>
      <c r="AG62" s="513"/>
      <c r="AH62" s="513"/>
      <c r="AI62" s="513"/>
      <c r="AJ62" s="513"/>
      <c r="AK62" s="513"/>
      <c r="AL62" s="513"/>
      <c r="AM62" s="513"/>
      <c r="AN62" s="513"/>
    </row>
    <row r="63" spans="1:40" s="512" customFormat="1" ht="15.75">
      <c r="A63" s="1311" t="s">
        <v>1857</v>
      </c>
      <c r="B63" s="555">
        <v>3.6</v>
      </c>
      <c r="C63" s="543" t="s">
        <v>1875</v>
      </c>
      <c r="D63" s="543" t="s">
        <v>1807</v>
      </c>
      <c r="E63" s="570" t="s">
        <v>1838</v>
      </c>
      <c r="F63" s="536"/>
      <c r="G63" s="540"/>
      <c r="H63" s="515"/>
      <c r="I63" s="515"/>
      <c r="J63" s="519"/>
      <c r="K63" s="520"/>
      <c r="L63" s="520"/>
      <c r="M63" s="520"/>
      <c r="N63" s="521"/>
      <c r="O63" s="519"/>
      <c r="P63" s="520"/>
      <c r="Q63" s="521"/>
      <c r="R63" s="522">
        <f t="shared" ref="R63:R67" si="6">SUM(J63:Q63)</f>
        <v>0</v>
      </c>
      <c r="S63" s="516"/>
      <c r="T63" s="515"/>
      <c r="U63" s="516"/>
      <c r="V63" s="523"/>
      <c r="W63" s="523"/>
      <c r="X63" s="546"/>
      <c r="AA63" s="513"/>
      <c r="AB63" s="513"/>
      <c r="AC63" s="513"/>
      <c r="AD63" s="513"/>
      <c r="AE63" s="513"/>
      <c r="AF63" s="513"/>
      <c r="AG63" s="513"/>
      <c r="AH63" s="513"/>
      <c r="AI63" s="513"/>
      <c r="AJ63" s="513"/>
      <c r="AK63" s="513"/>
      <c r="AL63" s="513"/>
      <c r="AM63" s="513"/>
      <c r="AN63" s="513"/>
    </row>
    <row r="64" spans="1:40" s="512" customFormat="1" ht="15.75">
      <c r="A64" s="561" t="s">
        <v>1857</v>
      </c>
      <c r="B64" s="556">
        <v>3.6</v>
      </c>
      <c r="C64" s="544" t="s">
        <v>1875</v>
      </c>
      <c r="D64" s="544" t="s">
        <v>1807</v>
      </c>
      <c r="E64" s="571" t="s">
        <v>1838</v>
      </c>
      <c r="F64" s="537"/>
      <c r="G64" s="541"/>
      <c r="H64" s="517"/>
      <c r="I64" s="517"/>
      <c r="J64" s="524"/>
      <c r="K64" s="525"/>
      <c r="L64" s="525"/>
      <c r="M64" s="525"/>
      <c r="N64" s="526"/>
      <c r="O64" s="524"/>
      <c r="P64" s="525"/>
      <c r="Q64" s="526"/>
      <c r="R64" s="527">
        <f t="shared" si="6"/>
        <v>0</v>
      </c>
      <c r="S64" s="518"/>
      <c r="T64" s="517"/>
      <c r="U64" s="518"/>
      <c r="V64" s="528"/>
      <c r="W64" s="528"/>
      <c r="X64" s="546"/>
      <c r="AA64" s="513"/>
      <c r="AB64" s="513"/>
      <c r="AC64" s="513"/>
      <c r="AD64" s="513"/>
      <c r="AE64" s="513"/>
      <c r="AF64" s="513"/>
      <c r="AG64" s="513"/>
      <c r="AH64" s="513"/>
      <c r="AI64" s="513"/>
      <c r="AJ64" s="513"/>
      <c r="AK64" s="513"/>
      <c r="AL64" s="513"/>
      <c r="AM64" s="513"/>
      <c r="AN64" s="513"/>
    </row>
    <row r="65" spans="1:40" s="512" customFormat="1" ht="15.75">
      <c r="A65" s="561" t="s">
        <v>1857</v>
      </c>
      <c r="B65" s="556">
        <v>3.6</v>
      </c>
      <c r="C65" s="544" t="s">
        <v>1875</v>
      </c>
      <c r="D65" s="544" t="s">
        <v>1807</v>
      </c>
      <c r="E65" s="544" t="s">
        <v>1838</v>
      </c>
      <c r="F65" s="538"/>
      <c r="G65" s="541"/>
      <c r="H65" s="517"/>
      <c r="I65" s="517"/>
      <c r="J65" s="524"/>
      <c r="K65" s="525"/>
      <c r="L65" s="525"/>
      <c r="M65" s="525"/>
      <c r="N65" s="526"/>
      <c r="O65" s="524"/>
      <c r="P65" s="525"/>
      <c r="Q65" s="526"/>
      <c r="R65" s="527">
        <f t="shared" si="6"/>
        <v>0</v>
      </c>
      <c r="S65" s="518"/>
      <c r="T65" s="517"/>
      <c r="U65" s="518"/>
      <c r="V65" s="528"/>
      <c r="W65" s="528"/>
      <c r="X65" s="546"/>
      <c r="AA65" s="513"/>
      <c r="AB65" s="513"/>
      <c r="AC65" s="513"/>
      <c r="AD65" s="513"/>
      <c r="AE65" s="513"/>
      <c r="AF65" s="513"/>
      <c r="AG65" s="513"/>
      <c r="AH65" s="513"/>
      <c r="AI65" s="513"/>
      <c r="AJ65" s="513"/>
      <c r="AK65" s="513"/>
      <c r="AL65" s="513"/>
      <c r="AM65" s="513"/>
      <c r="AN65" s="513"/>
    </row>
    <row r="66" spans="1:40" s="512" customFormat="1" ht="15.75">
      <c r="A66" s="561" t="s">
        <v>1857</v>
      </c>
      <c r="B66" s="556">
        <v>3.6</v>
      </c>
      <c r="C66" s="544" t="s">
        <v>1875</v>
      </c>
      <c r="D66" s="544" t="s">
        <v>1807</v>
      </c>
      <c r="E66" s="544" t="s">
        <v>1838</v>
      </c>
      <c r="F66" s="538"/>
      <c r="G66" s="541"/>
      <c r="H66" s="517"/>
      <c r="I66" s="517"/>
      <c r="J66" s="524"/>
      <c r="K66" s="525"/>
      <c r="L66" s="525"/>
      <c r="M66" s="525"/>
      <c r="N66" s="526"/>
      <c r="O66" s="524"/>
      <c r="P66" s="525"/>
      <c r="Q66" s="526"/>
      <c r="R66" s="527">
        <f t="shared" si="6"/>
        <v>0</v>
      </c>
      <c r="S66" s="518"/>
      <c r="T66" s="517"/>
      <c r="U66" s="518"/>
      <c r="V66" s="528"/>
      <c r="W66" s="528"/>
      <c r="X66" s="546"/>
      <c r="AA66" s="513"/>
      <c r="AB66" s="513"/>
      <c r="AC66" s="513"/>
      <c r="AD66" s="513"/>
      <c r="AE66" s="513"/>
      <c r="AF66" s="513"/>
      <c r="AG66" s="513"/>
      <c r="AH66" s="513"/>
      <c r="AI66" s="513"/>
      <c r="AJ66" s="513"/>
      <c r="AK66" s="513"/>
      <c r="AL66" s="513"/>
      <c r="AM66" s="513"/>
      <c r="AN66" s="513"/>
    </row>
    <row r="67" spans="1:40" s="512" customFormat="1" ht="15.75">
      <c r="A67" s="569" t="s">
        <v>1857</v>
      </c>
      <c r="B67" s="559">
        <v>3.6</v>
      </c>
      <c r="C67" s="551" t="s">
        <v>1875</v>
      </c>
      <c r="D67" s="551" t="s">
        <v>1807</v>
      </c>
      <c r="E67" s="551" t="s">
        <v>1838</v>
      </c>
      <c r="F67" s="539"/>
      <c r="G67" s="542"/>
      <c r="H67" s="529"/>
      <c r="I67" s="529"/>
      <c r="J67" s="530"/>
      <c r="K67" s="531"/>
      <c r="L67" s="531"/>
      <c r="M67" s="531"/>
      <c r="N67" s="532"/>
      <c r="O67" s="530"/>
      <c r="P67" s="531"/>
      <c r="Q67" s="532"/>
      <c r="R67" s="533">
        <f t="shared" si="6"/>
        <v>0</v>
      </c>
      <c r="S67" s="535"/>
      <c r="T67" s="529"/>
      <c r="U67" s="535"/>
      <c r="V67" s="534"/>
      <c r="W67" s="534"/>
      <c r="X67" s="546"/>
      <c r="AA67" s="513"/>
      <c r="AB67" s="513"/>
      <c r="AC67" s="513"/>
      <c r="AD67" s="513"/>
      <c r="AE67" s="513"/>
      <c r="AF67" s="513"/>
      <c r="AG67" s="513"/>
      <c r="AH67" s="513"/>
      <c r="AI67" s="513"/>
      <c r="AJ67" s="513"/>
      <c r="AK67" s="513"/>
      <c r="AL67" s="513"/>
      <c r="AM67" s="513"/>
      <c r="AN67" s="513"/>
    </row>
    <row r="68" spans="1:40" s="512" customFormat="1">
      <c r="A68" s="561"/>
      <c r="B68" s="544"/>
      <c r="C68" s="544"/>
      <c r="D68" s="544"/>
      <c r="E68" s="544"/>
      <c r="F68" s="544"/>
      <c r="G68" s="552"/>
      <c r="H68" s="544"/>
      <c r="I68" s="544"/>
      <c r="J68" s="544"/>
      <c r="K68" s="544"/>
      <c r="L68" s="544"/>
      <c r="M68" s="544"/>
      <c r="N68" s="544"/>
      <c r="O68" s="544"/>
      <c r="P68" s="544"/>
      <c r="Q68" s="544"/>
      <c r="R68" s="544"/>
      <c r="S68" s="544"/>
      <c r="T68" s="544"/>
      <c r="U68" s="544"/>
      <c r="V68" s="544"/>
      <c r="W68" s="544"/>
      <c r="X68" s="546"/>
      <c r="AA68" s="513"/>
      <c r="AB68" s="513"/>
      <c r="AC68" s="513"/>
      <c r="AD68" s="513"/>
      <c r="AE68" s="513"/>
      <c r="AF68" s="513"/>
      <c r="AG68" s="513"/>
      <c r="AH68" s="513"/>
      <c r="AI68" s="513"/>
      <c r="AJ68" s="513"/>
      <c r="AK68" s="513"/>
      <c r="AL68" s="513"/>
      <c r="AM68" s="513"/>
      <c r="AN68" s="513"/>
    </row>
    <row r="69" spans="1:40" s="512" customFormat="1">
      <c r="A69" s="561"/>
      <c r="B69" s="544"/>
      <c r="C69" s="544"/>
      <c r="D69" s="544"/>
      <c r="E69" s="544"/>
      <c r="F69" s="544"/>
      <c r="G69" s="552"/>
      <c r="H69" s="544"/>
      <c r="I69" s="544"/>
      <c r="J69" s="544"/>
      <c r="K69" s="544"/>
      <c r="L69" s="544"/>
      <c r="M69" s="544"/>
      <c r="N69" s="544"/>
      <c r="O69" s="544"/>
      <c r="P69" s="544"/>
      <c r="Q69" s="544"/>
      <c r="R69" s="544"/>
      <c r="S69" s="544"/>
      <c r="T69" s="544"/>
      <c r="U69" s="544"/>
      <c r="V69" s="544"/>
      <c r="W69" s="544"/>
      <c r="X69" s="546"/>
      <c r="AA69" s="513"/>
      <c r="AB69" s="513"/>
      <c r="AC69" s="513"/>
      <c r="AD69" s="513"/>
      <c r="AE69" s="513"/>
      <c r="AF69" s="513"/>
      <c r="AG69" s="513"/>
      <c r="AH69" s="513"/>
      <c r="AI69" s="513"/>
      <c r="AJ69" s="513"/>
      <c r="AK69" s="513"/>
      <c r="AL69" s="513"/>
      <c r="AM69" s="513"/>
      <c r="AN69" s="513"/>
    </row>
    <row r="70" spans="1:40" s="512" customFormat="1" ht="15.75">
      <c r="A70" s="1311" t="s">
        <v>1858</v>
      </c>
      <c r="B70" s="555">
        <v>3.9</v>
      </c>
      <c r="C70" s="543" t="s">
        <v>1876</v>
      </c>
      <c r="D70" s="543" t="s">
        <v>965</v>
      </c>
      <c r="E70" s="570" t="s">
        <v>1852</v>
      </c>
      <c r="F70" s="536"/>
      <c r="G70" s="540"/>
      <c r="H70" s="515"/>
      <c r="I70" s="515"/>
      <c r="J70" s="519"/>
      <c r="K70" s="520"/>
      <c r="L70" s="520"/>
      <c r="M70" s="520"/>
      <c r="N70" s="521"/>
      <c r="O70" s="519"/>
      <c r="P70" s="520"/>
      <c r="Q70" s="521"/>
      <c r="R70" s="522">
        <f t="shared" ref="R70:R74" si="7">SUM(J70:Q70)</f>
        <v>0</v>
      </c>
      <c r="S70" s="516"/>
      <c r="T70" s="515"/>
      <c r="U70" s="516"/>
      <c r="V70" s="523"/>
      <c r="W70" s="523"/>
      <c r="X70" s="546"/>
      <c r="AA70" s="513"/>
      <c r="AB70" s="513"/>
      <c r="AC70" s="513"/>
      <c r="AD70" s="513"/>
      <c r="AE70" s="513"/>
      <c r="AF70" s="513"/>
      <c r="AG70" s="513"/>
      <c r="AH70" s="513"/>
      <c r="AI70" s="513"/>
      <c r="AJ70" s="513"/>
      <c r="AK70" s="513"/>
      <c r="AL70" s="513"/>
      <c r="AM70" s="513"/>
      <c r="AN70" s="513"/>
    </row>
    <row r="71" spans="1:40" s="512" customFormat="1" ht="15.75">
      <c r="A71" s="561" t="s">
        <v>1858</v>
      </c>
      <c r="B71" s="556">
        <v>3.9</v>
      </c>
      <c r="C71" s="544" t="s">
        <v>1876</v>
      </c>
      <c r="D71" s="544" t="s">
        <v>965</v>
      </c>
      <c r="E71" s="571" t="s">
        <v>1852</v>
      </c>
      <c r="F71" s="537"/>
      <c r="G71" s="541"/>
      <c r="H71" s="517"/>
      <c r="I71" s="517"/>
      <c r="J71" s="524"/>
      <c r="K71" s="525"/>
      <c r="L71" s="525"/>
      <c r="M71" s="525"/>
      <c r="N71" s="526"/>
      <c r="O71" s="524"/>
      <c r="P71" s="525"/>
      <c r="Q71" s="526"/>
      <c r="R71" s="527">
        <f t="shared" si="7"/>
        <v>0</v>
      </c>
      <c r="S71" s="518"/>
      <c r="T71" s="517"/>
      <c r="U71" s="518"/>
      <c r="V71" s="528"/>
      <c r="W71" s="528"/>
      <c r="X71" s="546"/>
      <c r="AA71" s="513"/>
      <c r="AB71" s="513"/>
      <c r="AC71" s="513"/>
      <c r="AD71" s="513"/>
      <c r="AE71" s="513"/>
      <c r="AF71" s="513"/>
      <c r="AG71" s="513"/>
      <c r="AH71" s="513"/>
      <c r="AI71" s="513"/>
      <c r="AJ71" s="513"/>
      <c r="AK71" s="513"/>
      <c r="AL71" s="513"/>
      <c r="AM71" s="513"/>
      <c r="AN71" s="513"/>
    </row>
    <row r="72" spans="1:40" s="512" customFormat="1" ht="15.75">
      <c r="A72" s="561" t="s">
        <v>1858</v>
      </c>
      <c r="B72" s="556">
        <v>3.9</v>
      </c>
      <c r="C72" s="544" t="s">
        <v>1876</v>
      </c>
      <c r="D72" s="544" t="s">
        <v>965</v>
      </c>
      <c r="E72" s="544" t="s">
        <v>1852</v>
      </c>
      <c r="F72" s="538"/>
      <c r="G72" s="541"/>
      <c r="H72" s="517"/>
      <c r="I72" s="517"/>
      <c r="J72" s="524"/>
      <c r="K72" s="525"/>
      <c r="L72" s="525"/>
      <c r="M72" s="525"/>
      <c r="N72" s="526"/>
      <c r="O72" s="524"/>
      <c r="P72" s="525"/>
      <c r="Q72" s="526"/>
      <c r="R72" s="527">
        <f t="shared" si="7"/>
        <v>0</v>
      </c>
      <c r="S72" s="518"/>
      <c r="T72" s="517"/>
      <c r="U72" s="518"/>
      <c r="V72" s="528"/>
      <c r="W72" s="528"/>
      <c r="X72" s="546"/>
      <c r="AA72" s="513"/>
      <c r="AB72" s="513"/>
      <c r="AC72" s="513"/>
      <c r="AD72" s="513"/>
      <c r="AE72" s="513"/>
      <c r="AF72" s="513"/>
      <c r="AG72" s="513"/>
      <c r="AH72" s="513"/>
      <c r="AI72" s="513"/>
      <c r="AJ72" s="513"/>
      <c r="AK72" s="513"/>
      <c r="AL72" s="513"/>
      <c r="AM72" s="513"/>
      <c r="AN72" s="513"/>
    </row>
    <row r="73" spans="1:40" s="512" customFormat="1" ht="15.75">
      <c r="A73" s="561" t="s">
        <v>1858</v>
      </c>
      <c r="B73" s="556">
        <v>3.9</v>
      </c>
      <c r="C73" s="544" t="s">
        <v>1876</v>
      </c>
      <c r="D73" s="544" t="s">
        <v>965</v>
      </c>
      <c r="E73" s="544" t="s">
        <v>1852</v>
      </c>
      <c r="F73" s="538"/>
      <c r="G73" s="541"/>
      <c r="H73" s="517"/>
      <c r="I73" s="517"/>
      <c r="J73" s="524"/>
      <c r="K73" s="525"/>
      <c r="L73" s="525"/>
      <c r="M73" s="525"/>
      <c r="N73" s="526"/>
      <c r="O73" s="524"/>
      <c r="P73" s="525"/>
      <c r="Q73" s="526"/>
      <c r="R73" s="527">
        <f t="shared" si="7"/>
        <v>0</v>
      </c>
      <c r="S73" s="518"/>
      <c r="T73" s="517"/>
      <c r="U73" s="518"/>
      <c r="V73" s="528"/>
      <c r="W73" s="528"/>
      <c r="X73" s="546"/>
      <c r="AA73" s="513"/>
      <c r="AB73" s="513"/>
      <c r="AC73" s="513"/>
      <c r="AD73" s="513"/>
      <c r="AE73" s="513"/>
      <c r="AF73" s="513"/>
      <c r="AG73" s="513"/>
      <c r="AH73" s="513"/>
      <c r="AI73" s="513"/>
      <c r="AJ73" s="513"/>
      <c r="AK73" s="513"/>
      <c r="AL73" s="513"/>
      <c r="AM73" s="513"/>
      <c r="AN73" s="513"/>
    </row>
    <row r="74" spans="1:40" s="512" customFormat="1" ht="15.75">
      <c r="A74" s="569" t="s">
        <v>1858</v>
      </c>
      <c r="B74" s="559">
        <v>3.9</v>
      </c>
      <c r="C74" s="551" t="s">
        <v>1876</v>
      </c>
      <c r="D74" s="551" t="s">
        <v>965</v>
      </c>
      <c r="E74" s="551" t="s">
        <v>1852</v>
      </c>
      <c r="F74" s="539"/>
      <c r="G74" s="542"/>
      <c r="H74" s="529"/>
      <c r="I74" s="529"/>
      <c r="J74" s="530"/>
      <c r="K74" s="531"/>
      <c r="L74" s="531"/>
      <c r="M74" s="531"/>
      <c r="N74" s="532"/>
      <c r="O74" s="530"/>
      <c r="P74" s="531"/>
      <c r="Q74" s="532"/>
      <c r="R74" s="533">
        <f t="shared" si="7"/>
        <v>0</v>
      </c>
      <c r="S74" s="535"/>
      <c r="T74" s="529"/>
      <c r="U74" s="535"/>
      <c r="V74" s="534"/>
      <c r="W74" s="534"/>
      <c r="X74" s="546"/>
      <c r="AA74" s="513"/>
      <c r="AB74" s="513"/>
      <c r="AC74" s="513"/>
      <c r="AD74" s="513"/>
      <c r="AE74" s="513"/>
      <c r="AF74" s="513"/>
      <c r="AG74" s="513"/>
      <c r="AH74" s="513"/>
      <c r="AI74" s="513"/>
      <c r="AJ74" s="513"/>
      <c r="AK74" s="513"/>
      <c r="AL74" s="513"/>
      <c r="AM74" s="513"/>
      <c r="AN74" s="513"/>
    </row>
    <row r="75" spans="1:40" s="512" customFormat="1">
      <c r="A75" s="556"/>
      <c r="B75" s="557"/>
      <c r="C75" s="544"/>
      <c r="D75" s="544"/>
      <c r="E75" s="544"/>
      <c r="F75" s="544"/>
      <c r="G75" s="544"/>
      <c r="H75" s="544"/>
      <c r="I75" s="544"/>
      <c r="J75" s="544"/>
      <c r="K75" s="544"/>
      <c r="L75" s="544"/>
      <c r="M75" s="544"/>
      <c r="N75" s="544"/>
      <c r="O75" s="544"/>
      <c r="P75" s="544"/>
      <c r="Q75" s="544"/>
      <c r="R75" s="544"/>
      <c r="S75" s="544"/>
      <c r="T75" s="544"/>
      <c r="U75" s="544"/>
      <c r="V75" s="544"/>
      <c r="W75" s="544"/>
      <c r="X75" s="546"/>
      <c r="AA75" s="513"/>
      <c r="AB75" s="513"/>
      <c r="AC75" s="513"/>
      <c r="AD75" s="513"/>
      <c r="AE75" s="513"/>
      <c r="AF75" s="513"/>
      <c r="AG75" s="513"/>
      <c r="AH75" s="513"/>
      <c r="AI75" s="513"/>
      <c r="AJ75" s="513"/>
      <c r="AK75" s="513"/>
      <c r="AL75" s="513"/>
      <c r="AM75" s="513"/>
      <c r="AN75" s="513"/>
    </row>
    <row r="76" spans="1:40" s="512" customFormat="1">
      <c r="A76" s="556"/>
      <c r="B76" s="557"/>
      <c r="C76" s="544"/>
      <c r="D76" s="544"/>
      <c r="E76" s="544"/>
      <c r="F76" s="544"/>
      <c r="G76" s="544"/>
      <c r="H76" s="544"/>
      <c r="I76" s="544"/>
      <c r="J76" s="544"/>
      <c r="K76" s="544"/>
      <c r="L76" s="544"/>
      <c r="M76" s="544"/>
      <c r="N76" s="544"/>
      <c r="O76" s="544"/>
      <c r="P76" s="544"/>
      <c r="Q76" s="544"/>
      <c r="R76" s="544"/>
      <c r="S76" s="544"/>
      <c r="T76" s="544"/>
      <c r="U76" s="544"/>
      <c r="V76" s="544"/>
      <c r="W76" s="544"/>
      <c r="X76" s="546"/>
      <c r="AA76" s="513"/>
      <c r="AB76" s="513"/>
      <c r="AC76" s="513"/>
      <c r="AD76" s="513"/>
      <c r="AE76" s="513"/>
      <c r="AF76" s="513"/>
      <c r="AG76" s="513"/>
      <c r="AH76" s="513"/>
      <c r="AI76" s="513"/>
      <c r="AJ76" s="513"/>
      <c r="AK76" s="513"/>
      <c r="AL76" s="513"/>
      <c r="AM76" s="513"/>
      <c r="AN76" s="513"/>
    </row>
    <row r="77" spans="1:40" s="512" customFormat="1">
      <c r="A77" s="556" t="s">
        <v>1478</v>
      </c>
      <c r="B77" s="557"/>
      <c r="C77" s="544"/>
      <c r="D77" s="544"/>
      <c r="E77" s="544"/>
      <c r="F77" s="544"/>
      <c r="G77" s="544"/>
      <c r="H77" s="544"/>
      <c r="I77" s="544"/>
      <c r="J77" s="544"/>
      <c r="K77" s="544"/>
      <c r="L77" s="544"/>
      <c r="M77" s="544"/>
      <c r="N77" s="544"/>
      <c r="O77" s="544"/>
      <c r="P77" s="544"/>
      <c r="Q77" s="544"/>
      <c r="R77" s="544"/>
      <c r="S77" s="544"/>
      <c r="T77" s="544"/>
      <c r="U77" s="544"/>
      <c r="V77" s="544"/>
      <c r="W77" s="544"/>
      <c r="X77" s="546"/>
      <c r="AA77" s="513"/>
      <c r="AB77" s="513"/>
      <c r="AC77" s="513"/>
      <c r="AD77" s="513"/>
      <c r="AE77" s="513"/>
      <c r="AF77" s="513"/>
      <c r="AG77" s="513"/>
      <c r="AH77" s="513"/>
      <c r="AI77" s="513"/>
      <c r="AJ77" s="513"/>
      <c r="AK77" s="513"/>
      <c r="AL77" s="513"/>
      <c r="AM77" s="513"/>
      <c r="AN77" s="513"/>
    </row>
    <row r="78" spans="1:40" s="512" customFormat="1" ht="15.75">
      <c r="A78" s="1311" t="s">
        <v>2965</v>
      </c>
      <c r="B78" s="555">
        <v>3.7</v>
      </c>
      <c r="C78" s="543" t="s">
        <v>1874</v>
      </c>
      <c r="D78" s="543" t="s">
        <v>1807</v>
      </c>
      <c r="E78" s="570" t="s">
        <v>1838</v>
      </c>
      <c r="F78" s="564" t="s">
        <v>1869</v>
      </c>
      <c r="G78" s="572">
        <v>44287</v>
      </c>
      <c r="H78" s="515"/>
      <c r="I78" s="515"/>
      <c r="J78" s="519"/>
      <c r="K78" s="520"/>
      <c r="L78" s="520"/>
      <c r="M78" s="520"/>
      <c r="N78" s="521"/>
      <c r="O78" s="519"/>
      <c r="P78" s="520"/>
      <c r="Q78" s="521"/>
      <c r="R78" s="522">
        <f t="shared" ref="R78:R83" si="8">SUM(J78:Q78)</f>
        <v>0</v>
      </c>
      <c r="S78" s="516"/>
      <c r="T78" s="515"/>
      <c r="U78" s="516"/>
      <c r="V78" s="523"/>
      <c r="W78" s="523"/>
      <c r="X78" s="546"/>
      <c r="AA78" s="513"/>
      <c r="AB78" s="513"/>
      <c r="AC78" s="513"/>
      <c r="AD78" s="513"/>
      <c r="AE78" s="513"/>
      <c r="AF78" s="513"/>
      <c r="AG78" s="513"/>
      <c r="AH78" s="513"/>
      <c r="AI78" s="513"/>
      <c r="AJ78" s="513"/>
      <c r="AK78" s="513"/>
      <c r="AL78" s="513"/>
      <c r="AM78" s="513"/>
      <c r="AN78" s="513"/>
    </row>
    <row r="79" spans="1:40" s="512" customFormat="1">
      <c r="A79" s="561" t="s">
        <v>273</v>
      </c>
      <c r="B79" s="556">
        <v>3.2</v>
      </c>
      <c r="C79" s="589" t="s">
        <v>2894</v>
      </c>
      <c r="D79" s="589" t="s">
        <v>965</v>
      </c>
      <c r="E79" s="1294" t="s">
        <v>1852</v>
      </c>
      <c r="F79" s="566" t="s">
        <v>1869</v>
      </c>
      <c r="G79" s="573">
        <v>44287</v>
      </c>
      <c r="H79" s="1293"/>
      <c r="I79" s="1293"/>
      <c r="J79" s="524"/>
      <c r="K79" s="597"/>
      <c r="L79" s="597"/>
      <c r="M79" s="597"/>
      <c r="N79" s="526"/>
      <c r="O79" s="524"/>
      <c r="P79" s="597"/>
      <c r="Q79" s="526"/>
      <c r="R79" s="527">
        <f t="shared" si="8"/>
        <v>0</v>
      </c>
      <c r="S79" s="518"/>
      <c r="T79" s="1293"/>
      <c r="U79" s="518"/>
      <c r="V79" s="528"/>
      <c r="W79" s="528"/>
      <c r="X79" s="546"/>
      <c r="AA79" s="513"/>
      <c r="AB79" s="513"/>
      <c r="AC79" s="513"/>
      <c r="AD79" s="513"/>
      <c r="AE79" s="513"/>
      <c r="AF79" s="513"/>
      <c r="AG79" s="513"/>
      <c r="AH79" s="513"/>
      <c r="AI79" s="513"/>
      <c r="AJ79" s="513"/>
      <c r="AK79" s="513"/>
      <c r="AL79" s="513"/>
      <c r="AM79" s="513"/>
      <c r="AN79" s="513"/>
    </row>
    <row r="80" spans="1:40" s="512" customFormat="1">
      <c r="A80" s="561" t="s">
        <v>272</v>
      </c>
      <c r="B80" s="556">
        <v>3.3</v>
      </c>
      <c r="C80" s="589" t="s">
        <v>2896</v>
      </c>
      <c r="D80" s="589" t="s">
        <v>965</v>
      </c>
      <c r="E80" s="1294" t="s">
        <v>1852</v>
      </c>
      <c r="F80" s="566" t="s">
        <v>1869</v>
      </c>
      <c r="G80" s="573">
        <v>44287</v>
      </c>
      <c r="H80" s="1293"/>
      <c r="I80" s="1293"/>
      <c r="J80" s="524"/>
      <c r="K80" s="597"/>
      <c r="L80" s="597"/>
      <c r="M80" s="597"/>
      <c r="N80" s="526"/>
      <c r="O80" s="524"/>
      <c r="P80" s="597"/>
      <c r="Q80" s="526"/>
      <c r="R80" s="527">
        <f t="shared" si="8"/>
        <v>0</v>
      </c>
      <c r="S80" s="518"/>
      <c r="T80" s="1293"/>
      <c r="U80" s="518"/>
      <c r="V80" s="528"/>
      <c r="W80" s="528"/>
      <c r="X80" s="546"/>
      <c r="AA80" s="513"/>
      <c r="AB80" s="513"/>
      <c r="AC80" s="513"/>
      <c r="AD80" s="513"/>
      <c r="AE80" s="513"/>
      <c r="AF80" s="513"/>
      <c r="AG80" s="513"/>
      <c r="AH80" s="513"/>
      <c r="AI80" s="513"/>
      <c r="AJ80" s="513"/>
      <c r="AK80" s="513"/>
      <c r="AL80" s="513"/>
      <c r="AM80" s="513"/>
      <c r="AN80" s="513"/>
    </row>
    <row r="81" spans="1:40" s="512" customFormat="1" ht="15.75">
      <c r="A81" s="1311" t="s">
        <v>2965</v>
      </c>
      <c r="B81" s="556">
        <v>3.7</v>
      </c>
      <c r="C81" s="589" t="s">
        <v>1874</v>
      </c>
      <c r="D81" s="589" t="s">
        <v>1807</v>
      </c>
      <c r="E81" s="1294" t="s">
        <v>1838</v>
      </c>
      <c r="F81" s="566" t="s">
        <v>1869</v>
      </c>
      <c r="G81" s="573">
        <v>44927</v>
      </c>
      <c r="H81" s="1293"/>
      <c r="I81" s="1293"/>
      <c r="J81" s="524"/>
      <c r="K81" s="597"/>
      <c r="L81" s="597"/>
      <c r="M81" s="597"/>
      <c r="N81" s="526"/>
      <c r="O81" s="524"/>
      <c r="P81" s="597"/>
      <c r="Q81" s="526"/>
      <c r="R81" s="527">
        <f t="shared" si="8"/>
        <v>0</v>
      </c>
      <c r="S81" s="518"/>
      <c r="T81" s="1293"/>
      <c r="U81" s="518"/>
      <c r="V81" s="528"/>
      <c r="W81" s="528"/>
      <c r="X81" s="546"/>
      <c r="AA81" s="513"/>
      <c r="AB81" s="513"/>
      <c r="AC81" s="513"/>
      <c r="AD81" s="513"/>
      <c r="AE81" s="513"/>
      <c r="AF81" s="513"/>
      <c r="AG81" s="513"/>
      <c r="AH81" s="513"/>
      <c r="AI81" s="513"/>
      <c r="AJ81" s="513"/>
      <c r="AK81" s="513"/>
      <c r="AL81" s="513"/>
      <c r="AM81" s="513"/>
      <c r="AN81" s="513"/>
    </row>
    <row r="82" spans="1:40" s="512" customFormat="1">
      <c r="A82" s="561" t="s">
        <v>273</v>
      </c>
      <c r="B82" s="556">
        <v>3.2</v>
      </c>
      <c r="C82" s="589" t="s">
        <v>2894</v>
      </c>
      <c r="D82" s="589" t="s">
        <v>965</v>
      </c>
      <c r="E82" s="589" t="s">
        <v>1852</v>
      </c>
      <c r="F82" s="556" t="s">
        <v>1869</v>
      </c>
      <c r="G82" s="573">
        <v>44927</v>
      </c>
      <c r="H82" s="1293"/>
      <c r="I82" s="1293"/>
      <c r="J82" s="524"/>
      <c r="K82" s="597"/>
      <c r="L82" s="597"/>
      <c r="M82" s="597"/>
      <c r="N82" s="526"/>
      <c r="O82" s="524"/>
      <c r="P82" s="597"/>
      <c r="Q82" s="526"/>
      <c r="R82" s="527">
        <f t="shared" si="8"/>
        <v>0</v>
      </c>
      <c r="S82" s="518"/>
      <c r="T82" s="1293"/>
      <c r="U82" s="518"/>
      <c r="V82" s="528"/>
      <c r="W82" s="528"/>
      <c r="X82" s="546"/>
      <c r="AA82" s="513"/>
      <c r="AB82" s="513"/>
      <c r="AC82" s="513"/>
      <c r="AD82" s="513"/>
      <c r="AE82" s="513"/>
      <c r="AF82" s="513"/>
      <c r="AG82" s="513"/>
      <c r="AH82" s="513"/>
      <c r="AI82" s="513"/>
      <c r="AJ82" s="513"/>
      <c r="AK82" s="513"/>
      <c r="AL82" s="513"/>
      <c r="AM82" s="513"/>
      <c r="AN82" s="513"/>
    </row>
    <row r="83" spans="1:40" s="512" customFormat="1">
      <c r="A83" s="569" t="s">
        <v>272</v>
      </c>
      <c r="B83" s="559">
        <v>3.3</v>
      </c>
      <c r="C83" s="551" t="s">
        <v>2896</v>
      </c>
      <c r="D83" s="551" t="s">
        <v>965</v>
      </c>
      <c r="E83" s="551" t="s">
        <v>1852</v>
      </c>
      <c r="F83" s="559" t="s">
        <v>1869</v>
      </c>
      <c r="G83" s="574">
        <v>44927</v>
      </c>
      <c r="H83" s="529"/>
      <c r="I83" s="529"/>
      <c r="J83" s="530"/>
      <c r="K83" s="531"/>
      <c r="L83" s="531"/>
      <c r="M83" s="531"/>
      <c r="N83" s="532"/>
      <c r="O83" s="530"/>
      <c r="P83" s="531"/>
      <c r="Q83" s="532"/>
      <c r="R83" s="533">
        <f t="shared" si="8"/>
        <v>0</v>
      </c>
      <c r="S83" s="535"/>
      <c r="T83" s="529"/>
      <c r="U83" s="535"/>
      <c r="V83" s="534"/>
      <c r="W83" s="534"/>
      <c r="X83" s="546"/>
      <c r="AA83" s="513"/>
      <c r="AB83" s="513"/>
      <c r="AC83" s="513"/>
      <c r="AD83" s="513"/>
      <c r="AE83" s="513"/>
      <c r="AF83" s="513"/>
      <c r="AG83" s="513"/>
      <c r="AH83" s="513"/>
      <c r="AI83" s="513"/>
      <c r="AJ83" s="513"/>
      <c r="AK83" s="513"/>
      <c r="AL83" s="513"/>
      <c r="AM83" s="513"/>
      <c r="AN83" s="513"/>
    </row>
    <row r="84" spans="1:40" s="512" customFormat="1">
      <c r="A84" s="556"/>
      <c r="B84" s="557"/>
      <c r="C84" s="544"/>
      <c r="D84" s="544"/>
      <c r="E84" s="544"/>
      <c r="F84" s="544"/>
      <c r="G84" s="544"/>
      <c r="H84" s="544"/>
      <c r="I84" s="544"/>
      <c r="J84" s="544"/>
      <c r="K84" s="544"/>
      <c r="L84" s="544"/>
      <c r="M84" s="544"/>
      <c r="N84" s="544"/>
      <c r="O84" s="544"/>
      <c r="P84" s="544"/>
      <c r="Q84" s="544"/>
      <c r="R84" s="544"/>
      <c r="S84" s="544"/>
      <c r="T84" s="544"/>
      <c r="U84" s="544"/>
      <c r="V84" s="544"/>
      <c r="W84" s="544"/>
      <c r="X84" s="546"/>
      <c r="AA84" s="513"/>
      <c r="AB84" s="513"/>
      <c r="AC84" s="513"/>
      <c r="AD84" s="513"/>
      <c r="AE84" s="513"/>
      <c r="AF84" s="513"/>
      <c r="AG84" s="513"/>
      <c r="AH84" s="513"/>
      <c r="AI84" s="513"/>
      <c r="AJ84" s="513"/>
      <c r="AK84" s="513"/>
      <c r="AL84" s="513"/>
      <c r="AM84" s="513"/>
      <c r="AN84" s="513"/>
    </row>
    <row r="85" spans="1:40" s="512" customFormat="1">
      <c r="A85" s="563" t="s">
        <v>1871</v>
      </c>
      <c r="B85" s="543">
        <v>3.13</v>
      </c>
      <c r="C85" s="543" t="s">
        <v>2911</v>
      </c>
      <c r="D85" s="543" t="s">
        <v>1807</v>
      </c>
      <c r="E85" s="570" t="s">
        <v>1838</v>
      </c>
      <c r="F85" s="536"/>
      <c r="G85" s="521"/>
      <c r="H85" s="515"/>
      <c r="I85" s="515"/>
      <c r="J85" s="519"/>
      <c r="K85" s="520"/>
      <c r="L85" s="520"/>
      <c r="M85" s="520"/>
      <c r="N85" s="521"/>
      <c r="O85" s="519"/>
      <c r="P85" s="520"/>
      <c r="Q85" s="521"/>
      <c r="R85" s="522">
        <f t="shared" ref="R85:R89" si="9">SUM(J85:Q85)</f>
        <v>0</v>
      </c>
      <c r="S85" s="516"/>
      <c r="T85" s="515"/>
      <c r="U85" s="516"/>
      <c r="V85" s="523"/>
      <c r="W85" s="523"/>
      <c r="X85" s="546"/>
      <c r="AA85" s="513"/>
      <c r="AB85" s="513"/>
      <c r="AC85" s="513"/>
      <c r="AD85" s="513"/>
      <c r="AE85" s="513"/>
      <c r="AF85" s="513"/>
      <c r="AG85" s="513"/>
      <c r="AH85" s="513"/>
      <c r="AI85" s="513"/>
      <c r="AJ85" s="513"/>
      <c r="AK85" s="513"/>
      <c r="AL85" s="513"/>
      <c r="AM85" s="513"/>
      <c r="AN85" s="513"/>
    </row>
    <row r="86" spans="1:40" s="512" customFormat="1">
      <c r="A86" s="565" t="s">
        <v>1871</v>
      </c>
      <c r="B86" s="544">
        <v>3.13</v>
      </c>
      <c r="C86" s="544" t="s">
        <v>2911</v>
      </c>
      <c r="D86" s="544" t="s">
        <v>1807</v>
      </c>
      <c r="E86" s="571" t="s">
        <v>1838</v>
      </c>
      <c r="F86" s="537"/>
      <c r="G86" s="526"/>
      <c r="H86" s="517"/>
      <c r="I86" s="517"/>
      <c r="J86" s="524"/>
      <c r="K86" s="525"/>
      <c r="L86" s="525"/>
      <c r="M86" s="525"/>
      <c r="N86" s="526"/>
      <c r="O86" s="524"/>
      <c r="P86" s="525"/>
      <c r="Q86" s="526"/>
      <c r="R86" s="527">
        <f t="shared" si="9"/>
        <v>0</v>
      </c>
      <c r="S86" s="518"/>
      <c r="T86" s="517"/>
      <c r="U86" s="518"/>
      <c r="V86" s="528"/>
      <c r="W86" s="528"/>
      <c r="X86" s="546"/>
      <c r="AA86" s="513"/>
      <c r="AB86" s="513"/>
      <c r="AC86" s="513"/>
      <c r="AD86" s="513"/>
      <c r="AE86" s="513"/>
      <c r="AF86" s="513"/>
      <c r="AG86" s="513"/>
      <c r="AH86" s="513"/>
      <c r="AI86" s="513"/>
      <c r="AJ86" s="513"/>
      <c r="AK86" s="513"/>
      <c r="AL86" s="513"/>
      <c r="AM86" s="513"/>
      <c r="AN86" s="513"/>
    </row>
    <row r="87" spans="1:40" s="512" customFormat="1">
      <c r="A87" s="565" t="s">
        <v>1871</v>
      </c>
      <c r="B87" s="544">
        <v>3.13</v>
      </c>
      <c r="C87" s="544" t="s">
        <v>2911</v>
      </c>
      <c r="D87" s="544" t="s">
        <v>1807</v>
      </c>
      <c r="E87" s="544" t="s">
        <v>1838</v>
      </c>
      <c r="F87" s="538"/>
      <c r="G87" s="526"/>
      <c r="H87" s="517"/>
      <c r="I87" s="517"/>
      <c r="J87" s="524"/>
      <c r="K87" s="525"/>
      <c r="L87" s="525"/>
      <c r="M87" s="525"/>
      <c r="N87" s="526"/>
      <c r="O87" s="524"/>
      <c r="P87" s="525"/>
      <c r="Q87" s="526"/>
      <c r="R87" s="527">
        <f t="shared" si="9"/>
        <v>0</v>
      </c>
      <c r="S87" s="518"/>
      <c r="T87" s="517"/>
      <c r="U87" s="518"/>
      <c r="V87" s="528"/>
      <c r="W87" s="528"/>
      <c r="X87" s="546"/>
      <c r="AA87" s="513"/>
      <c r="AB87" s="513"/>
      <c r="AC87" s="513"/>
      <c r="AD87" s="513"/>
      <c r="AE87" s="513"/>
      <c r="AF87" s="513"/>
      <c r="AG87" s="513"/>
      <c r="AH87" s="513"/>
      <c r="AI87" s="513"/>
      <c r="AJ87" s="513"/>
      <c r="AK87" s="513"/>
      <c r="AL87" s="513"/>
      <c r="AM87" s="513"/>
      <c r="AN87" s="513"/>
    </row>
    <row r="88" spans="1:40" s="512" customFormat="1">
      <c r="A88" s="565" t="s">
        <v>1871</v>
      </c>
      <c r="B88" s="544">
        <v>3.13</v>
      </c>
      <c r="C88" s="544" t="s">
        <v>2911</v>
      </c>
      <c r="D88" s="544" t="s">
        <v>1807</v>
      </c>
      <c r="E88" s="544" t="s">
        <v>1838</v>
      </c>
      <c r="F88" s="538"/>
      <c r="G88" s="526"/>
      <c r="H88" s="517"/>
      <c r="I88" s="517"/>
      <c r="J88" s="524"/>
      <c r="K88" s="525"/>
      <c r="L88" s="525"/>
      <c r="M88" s="525"/>
      <c r="N88" s="526"/>
      <c r="O88" s="524"/>
      <c r="P88" s="525"/>
      <c r="Q88" s="526"/>
      <c r="R88" s="527">
        <f t="shared" si="9"/>
        <v>0</v>
      </c>
      <c r="S88" s="518"/>
      <c r="T88" s="517"/>
      <c r="U88" s="518"/>
      <c r="V88" s="528"/>
      <c r="W88" s="528"/>
      <c r="X88" s="546"/>
      <c r="AA88" s="513"/>
      <c r="AB88" s="513"/>
      <c r="AC88" s="513"/>
      <c r="AD88" s="513"/>
      <c r="AE88" s="513"/>
      <c r="AF88" s="513"/>
      <c r="AG88" s="513"/>
      <c r="AH88" s="513"/>
      <c r="AI88" s="513"/>
      <c r="AJ88" s="513"/>
      <c r="AK88" s="513"/>
      <c r="AL88" s="513"/>
      <c r="AM88" s="513"/>
      <c r="AN88" s="513"/>
    </row>
    <row r="89" spans="1:40" s="512" customFormat="1">
      <c r="A89" s="567" t="s">
        <v>1871</v>
      </c>
      <c r="B89" s="551">
        <v>3.13</v>
      </c>
      <c r="C89" s="551" t="s">
        <v>2911</v>
      </c>
      <c r="D89" s="551" t="s">
        <v>1807</v>
      </c>
      <c r="E89" s="551" t="s">
        <v>1838</v>
      </c>
      <c r="F89" s="539"/>
      <c r="G89" s="532"/>
      <c r="H89" s="529"/>
      <c r="I89" s="529"/>
      <c r="J89" s="530"/>
      <c r="K89" s="531"/>
      <c r="L89" s="531"/>
      <c r="M89" s="531"/>
      <c r="N89" s="532"/>
      <c r="O89" s="530"/>
      <c r="P89" s="531"/>
      <c r="Q89" s="532"/>
      <c r="R89" s="533">
        <f t="shared" si="9"/>
        <v>0</v>
      </c>
      <c r="S89" s="535"/>
      <c r="T89" s="529"/>
      <c r="U89" s="535"/>
      <c r="V89" s="534"/>
      <c r="W89" s="534"/>
      <c r="X89" s="546"/>
      <c r="AA89" s="513"/>
      <c r="AB89" s="513"/>
      <c r="AC89" s="513"/>
      <c r="AD89" s="513"/>
      <c r="AE89" s="513"/>
      <c r="AF89" s="513"/>
      <c r="AG89" s="513"/>
      <c r="AH89" s="513"/>
      <c r="AI89" s="513"/>
      <c r="AJ89" s="513"/>
      <c r="AK89" s="513"/>
      <c r="AL89" s="513"/>
      <c r="AM89" s="513"/>
      <c r="AN89" s="513"/>
    </row>
    <row r="90" spans="1:40" s="512" customFormat="1">
      <c r="A90" s="556"/>
      <c r="B90" s="557"/>
      <c r="C90" s="544"/>
      <c r="D90" s="544"/>
      <c r="E90" s="544"/>
      <c r="F90" s="544"/>
      <c r="G90" s="544"/>
      <c r="H90" s="544"/>
      <c r="I90" s="544"/>
      <c r="J90" s="544"/>
      <c r="K90" s="544"/>
      <c r="L90" s="544"/>
      <c r="M90" s="544"/>
      <c r="N90" s="544"/>
      <c r="O90" s="544"/>
      <c r="P90" s="544"/>
      <c r="Q90" s="544"/>
      <c r="R90" s="544"/>
      <c r="S90" s="544"/>
      <c r="T90" s="544"/>
      <c r="U90" s="544"/>
      <c r="V90" s="544"/>
      <c r="W90" s="544"/>
      <c r="X90" s="546"/>
      <c r="AA90" s="513"/>
      <c r="AB90" s="513"/>
      <c r="AC90" s="513"/>
      <c r="AD90" s="513"/>
      <c r="AE90" s="513"/>
      <c r="AF90" s="513"/>
      <c r="AG90" s="513"/>
      <c r="AH90" s="513"/>
      <c r="AI90" s="513"/>
      <c r="AJ90" s="513"/>
      <c r="AK90" s="513"/>
      <c r="AL90" s="513"/>
      <c r="AM90" s="513"/>
      <c r="AN90" s="513"/>
    </row>
    <row r="91" spans="1:40" s="512" customFormat="1" ht="15.75">
      <c r="A91" s="1312" t="s">
        <v>2966</v>
      </c>
      <c r="B91" s="1300">
        <v>3.5</v>
      </c>
      <c r="C91" s="1301" t="s">
        <v>1875</v>
      </c>
      <c r="D91" s="1301" t="s">
        <v>1807</v>
      </c>
      <c r="E91" s="1302" t="s">
        <v>1838</v>
      </c>
      <c r="F91" s="536"/>
      <c r="G91" s="540"/>
      <c r="H91" s="515"/>
      <c r="I91" s="515"/>
      <c r="J91" s="519"/>
      <c r="K91" s="520"/>
      <c r="L91" s="520"/>
      <c r="M91" s="520"/>
      <c r="N91" s="521"/>
      <c r="O91" s="519"/>
      <c r="P91" s="520"/>
      <c r="Q91" s="521"/>
      <c r="R91" s="522">
        <f t="shared" ref="R91:R95" si="10">SUM(J91:Q91)</f>
        <v>0</v>
      </c>
      <c r="S91" s="516"/>
      <c r="T91" s="515"/>
      <c r="U91" s="516"/>
      <c r="V91" s="523"/>
      <c r="W91" s="523"/>
      <c r="X91" s="1303"/>
      <c r="AA91" s="513"/>
      <c r="AB91" s="513"/>
      <c r="AC91" s="513"/>
      <c r="AD91" s="513"/>
      <c r="AE91" s="513"/>
      <c r="AF91" s="513"/>
      <c r="AG91" s="513"/>
      <c r="AH91" s="513"/>
      <c r="AI91" s="513"/>
      <c r="AJ91" s="513"/>
      <c r="AK91" s="513"/>
      <c r="AL91" s="513"/>
      <c r="AM91" s="513"/>
      <c r="AN91" s="513"/>
    </row>
    <row r="92" spans="1:40" s="512" customFormat="1" ht="15.75">
      <c r="A92" s="1313" t="s">
        <v>2966</v>
      </c>
      <c r="B92" s="1304">
        <v>3.5</v>
      </c>
      <c r="C92" s="512" t="s">
        <v>1875</v>
      </c>
      <c r="D92" s="512" t="s">
        <v>1807</v>
      </c>
      <c r="E92" s="1305" t="s">
        <v>1838</v>
      </c>
      <c r="F92" s="537"/>
      <c r="G92" s="541"/>
      <c r="H92" s="517"/>
      <c r="I92" s="517"/>
      <c r="J92" s="524"/>
      <c r="K92" s="525"/>
      <c r="L92" s="525"/>
      <c r="M92" s="525"/>
      <c r="N92" s="526"/>
      <c r="O92" s="524"/>
      <c r="P92" s="525"/>
      <c r="Q92" s="526"/>
      <c r="R92" s="527">
        <f t="shared" si="10"/>
        <v>0</v>
      </c>
      <c r="S92" s="518"/>
      <c r="T92" s="517"/>
      <c r="U92" s="518"/>
      <c r="V92" s="528"/>
      <c r="W92" s="528"/>
      <c r="X92" s="1303"/>
      <c r="AA92" s="513"/>
      <c r="AB92" s="513"/>
      <c r="AC92" s="513"/>
      <c r="AD92" s="513"/>
      <c r="AE92" s="513"/>
      <c r="AF92" s="513"/>
      <c r="AG92" s="513"/>
      <c r="AH92" s="513"/>
      <c r="AI92" s="513"/>
      <c r="AJ92" s="513"/>
      <c r="AK92" s="513"/>
      <c r="AL92" s="513"/>
      <c r="AM92" s="513"/>
      <c r="AN92" s="513"/>
    </row>
    <row r="93" spans="1:40" s="512" customFormat="1" ht="15.75">
      <c r="A93" s="1313" t="s">
        <v>2966</v>
      </c>
      <c r="B93" s="1304">
        <v>3.5</v>
      </c>
      <c r="C93" s="512" t="s">
        <v>1875</v>
      </c>
      <c r="D93" s="512" t="s">
        <v>1807</v>
      </c>
      <c r="E93" s="512" t="s">
        <v>1838</v>
      </c>
      <c r="F93" s="538"/>
      <c r="G93" s="541"/>
      <c r="H93" s="517"/>
      <c r="I93" s="517"/>
      <c r="J93" s="524"/>
      <c r="K93" s="525"/>
      <c r="L93" s="525"/>
      <c r="M93" s="525"/>
      <c r="N93" s="526"/>
      <c r="O93" s="524"/>
      <c r="P93" s="525"/>
      <c r="Q93" s="526"/>
      <c r="R93" s="527">
        <f t="shared" si="10"/>
        <v>0</v>
      </c>
      <c r="S93" s="518"/>
      <c r="T93" s="517"/>
      <c r="U93" s="518"/>
      <c r="V93" s="528"/>
      <c r="W93" s="528"/>
      <c r="X93" s="1303"/>
      <c r="AA93" s="513"/>
      <c r="AB93" s="513"/>
      <c r="AC93" s="513"/>
      <c r="AD93" s="513"/>
      <c r="AE93" s="513"/>
      <c r="AF93" s="513"/>
      <c r="AG93" s="513"/>
      <c r="AH93" s="513"/>
      <c r="AI93" s="513"/>
      <c r="AJ93" s="513"/>
      <c r="AK93" s="513"/>
      <c r="AL93" s="513"/>
      <c r="AM93" s="513"/>
      <c r="AN93" s="513"/>
    </row>
    <row r="94" spans="1:40" s="512" customFormat="1" ht="15.75">
      <c r="A94" s="1313" t="s">
        <v>2966</v>
      </c>
      <c r="B94" s="1304">
        <v>3.5</v>
      </c>
      <c r="C94" s="512" t="s">
        <v>1875</v>
      </c>
      <c r="D94" s="512" t="s">
        <v>1807</v>
      </c>
      <c r="E94" s="512" t="s">
        <v>1838</v>
      </c>
      <c r="F94" s="538"/>
      <c r="G94" s="541"/>
      <c r="H94" s="517"/>
      <c r="I94" s="517"/>
      <c r="J94" s="524"/>
      <c r="K94" s="525"/>
      <c r="L94" s="525"/>
      <c r="M94" s="525"/>
      <c r="N94" s="526"/>
      <c r="O94" s="524"/>
      <c r="P94" s="525"/>
      <c r="Q94" s="526"/>
      <c r="R94" s="527">
        <f t="shared" si="10"/>
        <v>0</v>
      </c>
      <c r="S94" s="518"/>
      <c r="T94" s="517"/>
      <c r="U94" s="518"/>
      <c r="V94" s="528"/>
      <c r="W94" s="528"/>
      <c r="X94" s="1303"/>
      <c r="AA94" s="513"/>
      <c r="AB94" s="513"/>
      <c r="AC94" s="513"/>
      <c r="AD94" s="513"/>
      <c r="AE94" s="513"/>
      <c r="AF94" s="513"/>
      <c r="AG94" s="513"/>
      <c r="AH94" s="513"/>
      <c r="AI94" s="513"/>
      <c r="AJ94" s="513"/>
      <c r="AK94" s="513"/>
      <c r="AL94" s="513"/>
      <c r="AM94" s="513"/>
      <c r="AN94" s="513"/>
    </row>
    <row r="95" spans="1:40" s="512" customFormat="1" ht="15.75">
      <c r="A95" s="1314" t="s">
        <v>2966</v>
      </c>
      <c r="B95" s="1306">
        <v>3.5</v>
      </c>
      <c r="C95" s="1307" t="s">
        <v>1875</v>
      </c>
      <c r="D95" s="1307" t="s">
        <v>1807</v>
      </c>
      <c r="E95" s="1307" t="s">
        <v>1838</v>
      </c>
      <c r="F95" s="539"/>
      <c r="G95" s="542"/>
      <c r="H95" s="529"/>
      <c r="I95" s="529"/>
      <c r="J95" s="530"/>
      <c r="K95" s="531"/>
      <c r="L95" s="531"/>
      <c r="M95" s="531"/>
      <c r="N95" s="532"/>
      <c r="O95" s="530"/>
      <c r="P95" s="531"/>
      <c r="Q95" s="532"/>
      <c r="R95" s="533">
        <f t="shared" si="10"/>
        <v>0</v>
      </c>
      <c r="S95" s="535"/>
      <c r="T95" s="529"/>
      <c r="U95" s="535"/>
      <c r="V95" s="534"/>
      <c r="W95" s="534"/>
      <c r="X95" s="1303"/>
      <c r="AA95" s="513"/>
      <c r="AB95" s="513"/>
      <c r="AC95" s="513"/>
      <c r="AD95" s="513"/>
      <c r="AE95" s="513"/>
      <c r="AF95" s="513"/>
      <c r="AG95" s="513"/>
      <c r="AH95" s="513"/>
      <c r="AI95" s="513"/>
      <c r="AJ95" s="513"/>
      <c r="AK95" s="513"/>
      <c r="AL95" s="513"/>
      <c r="AM95" s="513"/>
      <c r="AN95" s="513"/>
    </row>
  </sheetData>
  <dataValidations count="2">
    <dataValidation type="list" allowBlank="1" showInputMessage="1" showErrorMessage="1" sqref="I63:I67 I54:I60 I85:I89 I33:I37 I40:I44 I47:I51 I15:I24 I27:I30 I78:I83 I70:I74 I91:I95" xr:uid="{0E8C20E4-DD79-4FF9-9B60-EFE70EBC6F61}">
      <formula1>$I$7:$I$9</formula1>
    </dataValidation>
    <dataValidation type="list" allowBlank="1" showInputMessage="1" showErrorMessage="1" sqref="H63:H67 H54:H60 H70:H74 H33:H37 H40:H44 H47:H51 H15:H24 H27:H30 H78:H83 H85:H89 H91:H95"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P23"/>
  <sheetViews>
    <sheetView zoomScale="80" zoomScaleNormal="80" workbookViewId="0">
      <pane ySplit="4" topLeftCell="A5" activePane="bottomLeft" state="frozen"/>
      <selection activeCell="D31" sqref="D31"/>
      <selection pane="bottomLeft"/>
    </sheetView>
  </sheetViews>
  <sheetFormatPr defaultColWidth="10.265625" defaultRowHeight="12.75"/>
  <cols>
    <col min="1" max="1" width="5.86328125" style="151" customWidth="1"/>
    <col min="2" max="2" width="14.265625" style="151" customWidth="1"/>
    <col min="3" max="3" width="32.265625" style="151" customWidth="1"/>
    <col min="4" max="5" width="15.59765625" style="151" customWidth="1"/>
    <col min="6" max="6" width="14" style="151" customWidth="1"/>
    <col min="7" max="8" width="10.265625" style="151"/>
    <col min="9" max="9" width="29.1328125" style="151" customWidth="1"/>
    <col min="10" max="10" width="18" style="151" customWidth="1"/>
    <col min="11" max="12" width="10.265625" style="151" customWidth="1"/>
    <col min="13" max="14" width="10.265625" style="151"/>
    <col min="15" max="15" width="41.1328125" style="151" customWidth="1"/>
    <col min="16" max="16384" width="10.265625" style="151"/>
  </cols>
  <sheetData>
    <row r="1" spans="1:16" s="73" customFormat="1" ht="23.25">
      <c r="A1" s="89" t="str">
        <f>'1.1 Cover'!A2</f>
        <v>Regulatory Reporting Pack</v>
      </c>
    </row>
    <row r="2" spans="1:16" s="73" customFormat="1" ht="23.25">
      <c r="A2" s="89" t="str">
        <f>'1.1 Cover'!A3</f>
        <v>Price base - 2018/19</v>
      </c>
    </row>
    <row r="3" spans="1:16" s="73" customFormat="1" ht="23.25">
      <c r="A3" s="89" t="str">
        <f>'1.1 Cover'!A4</f>
        <v>Regulatory Year: April 2021 - March 2022</v>
      </c>
    </row>
    <row r="4" spans="1:16" s="73" customFormat="1" ht="23.25">
      <c r="A4" s="89" t="s">
        <v>1073</v>
      </c>
    </row>
    <row r="5" spans="1:16" s="159" customFormat="1" ht="14.25">
      <c r="B5" s="160"/>
      <c r="C5" s="160"/>
      <c r="D5" s="160"/>
      <c r="E5" s="160"/>
    </row>
    <row r="6" spans="1:16" s="159" customFormat="1" ht="14.25">
      <c r="B6" s="161"/>
      <c r="C6" s="160"/>
      <c r="D6" s="160"/>
      <c r="E6" s="160"/>
    </row>
    <row r="7" spans="1:16" s="159" customFormat="1" ht="14.25">
      <c r="B7" s="160"/>
      <c r="C7" s="162"/>
      <c r="D7" s="162"/>
      <c r="E7" s="162"/>
    </row>
    <row r="8" spans="1:16" s="159" customFormat="1" ht="49.9">
      <c r="B8" s="1398" t="s">
        <v>1065</v>
      </c>
      <c r="C8" s="163" t="s">
        <v>1066</v>
      </c>
      <c r="I8" s="604" t="s">
        <v>1067</v>
      </c>
      <c r="J8" s="605" t="s">
        <v>1071</v>
      </c>
      <c r="K8" s="606"/>
      <c r="L8" s="606"/>
    </row>
    <row r="9" spans="1:16" s="159" customFormat="1" ht="14.65">
      <c r="B9" s="1399"/>
      <c r="C9" s="164" t="s">
        <v>1068</v>
      </c>
      <c r="I9" s="607"/>
      <c r="J9" s="608"/>
      <c r="K9" s="608"/>
      <c r="L9" s="606"/>
    </row>
    <row r="10" spans="1:16" ht="37.5">
      <c r="B10" s="1400"/>
      <c r="C10" s="152" t="s">
        <v>1069</v>
      </c>
      <c r="I10" s="609" t="s">
        <v>1286</v>
      </c>
      <c r="J10" s="609" t="s">
        <v>1737</v>
      </c>
      <c r="K10" s="609" t="s">
        <v>1159</v>
      </c>
      <c r="L10" s="609" t="s">
        <v>1738</v>
      </c>
      <c r="N10" s="609" t="s">
        <v>1286</v>
      </c>
      <c r="O10" s="610" t="s">
        <v>1877</v>
      </c>
      <c r="P10" s="609" t="s">
        <v>1738</v>
      </c>
    </row>
    <row r="11" spans="1:16" ht="14.25">
      <c r="B11" s="153">
        <v>44287</v>
      </c>
      <c r="C11" s="154"/>
      <c r="I11" s="611"/>
      <c r="J11" s="612"/>
      <c r="K11" s="612"/>
      <c r="L11" s="612"/>
      <c r="N11" s="611"/>
      <c r="O11" s="612"/>
      <c r="P11" s="612"/>
    </row>
    <row r="12" spans="1:16" ht="14.25">
      <c r="B12" s="153">
        <v>44317</v>
      </c>
      <c r="C12" s="154"/>
      <c r="I12" s="611"/>
      <c r="J12" s="612"/>
      <c r="K12" s="612"/>
      <c r="L12" s="612"/>
      <c r="N12" s="611"/>
      <c r="O12" s="612"/>
      <c r="P12" s="612"/>
    </row>
    <row r="13" spans="1:16" ht="14.25">
      <c r="B13" s="153">
        <v>44348</v>
      </c>
      <c r="C13" s="154"/>
      <c r="I13" s="611"/>
      <c r="J13" s="612"/>
      <c r="K13" s="612"/>
      <c r="L13" s="612"/>
      <c r="N13" s="611"/>
      <c r="O13" s="612"/>
      <c r="P13" s="612"/>
    </row>
    <row r="14" spans="1:16" ht="14.25">
      <c r="B14" s="153">
        <v>44378</v>
      </c>
      <c r="C14" s="154"/>
      <c r="I14" s="611"/>
      <c r="J14" s="612"/>
      <c r="K14" s="612"/>
      <c r="L14" s="612"/>
      <c r="N14" s="611"/>
      <c r="O14" s="612"/>
      <c r="P14" s="612"/>
    </row>
    <row r="15" spans="1:16" ht="14.25">
      <c r="B15" s="153">
        <v>44409</v>
      </c>
      <c r="C15" s="154"/>
      <c r="I15" s="611"/>
      <c r="J15" s="612"/>
      <c r="K15" s="612"/>
      <c r="L15" s="612"/>
      <c r="N15" s="611"/>
      <c r="O15" s="612"/>
      <c r="P15" s="612"/>
    </row>
    <row r="16" spans="1:16" ht="14.25">
      <c r="B16" s="153">
        <v>44440</v>
      </c>
      <c r="C16" s="154"/>
      <c r="I16" s="611"/>
      <c r="J16" s="612"/>
      <c r="K16" s="612"/>
      <c r="L16" s="612"/>
      <c r="N16" s="611"/>
      <c r="O16" s="612"/>
      <c r="P16" s="612"/>
    </row>
    <row r="17" spans="2:16" ht="14.25">
      <c r="B17" s="153">
        <v>44470</v>
      </c>
      <c r="C17" s="154"/>
      <c r="I17" s="611"/>
      <c r="J17" s="612"/>
      <c r="K17" s="612"/>
      <c r="L17" s="612"/>
      <c r="N17" s="611"/>
      <c r="O17" s="612"/>
      <c r="P17" s="612"/>
    </row>
    <row r="18" spans="2:16" ht="14.25">
      <c r="B18" s="153">
        <v>44501</v>
      </c>
      <c r="C18" s="154"/>
      <c r="I18" s="611"/>
      <c r="J18" s="612"/>
      <c r="K18" s="612"/>
      <c r="L18" s="612"/>
      <c r="N18" s="611"/>
      <c r="O18" s="612"/>
      <c r="P18" s="612"/>
    </row>
    <row r="19" spans="2:16" ht="14.25">
      <c r="B19" s="153">
        <v>44531</v>
      </c>
      <c r="C19" s="154"/>
      <c r="I19" s="611"/>
      <c r="J19" s="612"/>
      <c r="K19" s="612"/>
      <c r="L19" s="612"/>
      <c r="N19" s="611"/>
      <c r="O19" s="612"/>
      <c r="P19" s="612"/>
    </row>
    <row r="20" spans="2:16" ht="14.25">
      <c r="B20" s="153">
        <v>44562</v>
      </c>
      <c r="C20" s="154"/>
      <c r="I20" s="611"/>
      <c r="J20" s="612"/>
      <c r="K20" s="612"/>
      <c r="L20" s="612"/>
      <c r="N20" s="611"/>
      <c r="O20" s="612"/>
      <c r="P20" s="612"/>
    </row>
    <row r="21" spans="2:16" ht="14.25">
      <c r="B21" s="153">
        <v>44593</v>
      </c>
      <c r="C21" s="154"/>
      <c r="I21" s="611"/>
      <c r="J21" s="612"/>
      <c r="K21" s="612"/>
      <c r="L21" s="612"/>
      <c r="N21" s="611"/>
      <c r="O21" s="612"/>
      <c r="P21" s="612"/>
    </row>
    <row r="22" spans="2:16" ht="14.25">
      <c r="B22" s="153">
        <v>44621</v>
      </c>
      <c r="C22" s="154"/>
      <c r="I22" s="613"/>
      <c r="J22" s="613"/>
      <c r="K22" s="613"/>
      <c r="L22" s="613"/>
      <c r="N22" s="613"/>
      <c r="O22" s="613"/>
      <c r="P22" s="613"/>
    </row>
    <row r="23" spans="2:16" ht="28.5" customHeight="1">
      <c r="B23" s="156" t="s">
        <v>1072</v>
      </c>
      <c r="C23" s="157">
        <f>SUM(C11:C22)</f>
        <v>0</v>
      </c>
      <c r="I23" s="611"/>
      <c r="J23" s="613"/>
      <c r="K23" s="613"/>
      <c r="L23" s="613"/>
      <c r="N23" s="611"/>
      <c r="O23" s="613"/>
      <c r="P23" s="613"/>
    </row>
  </sheetData>
  <mergeCells count="1">
    <mergeCell ref="B8:B10"/>
  </mergeCells>
  <pageMargins left="0.23622047244094491" right="0.23622047244094491" top="0.74803149606299213" bottom="0.74803149606299213" header="0.31496062992125984" footer="0.31496062992125984"/>
  <pageSetup paperSize="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R56"/>
  <sheetViews>
    <sheetView zoomScale="80" zoomScaleNormal="80" workbookViewId="0">
      <pane ySplit="4" topLeftCell="A5" activePane="bottomLeft" state="frozen"/>
      <selection activeCell="D31" sqref="D31"/>
      <selection pane="bottomLeft"/>
    </sheetView>
  </sheetViews>
  <sheetFormatPr defaultColWidth="10.265625" defaultRowHeight="15"/>
  <cols>
    <col min="1" max="1" width="5.86328125" style="167" customWidth="1"/>
    <col min="2" max="2" width="16.59765625" style="167" customWidth="1"/>
    <col min="3" max="3" width="70.73046875" style="167" customWidth="1"/>
    <col min="4" max="4" width="17.265625" style="167" customWidth="1"/>
    <col min="5" max="5" width="11.265625" style="167" customWidth="1"/>
    <col min="6" max="7" width="11" style="167" bestFit="1" customWidth="1"/>
    <col min="8" max="8" width="18" style="167" customWidth="1"/>
    <col min="9" max="9" width="11" style="167" bestFit="1" customWidth="1"/>
    <col min="10" max="10" width="14" style="167" customWidth="1"/>
    <col min="11" max="11" width="8.73046875" style="167" bestFit="1" customWidth="1"/>
    <col min="12" max="12" width="10.265625" style="167"/>
    <col min="13" max="13" width="9" style="167" bestFit="1" customWidth="1"/>
    <col min="14" max="14" width="13.3984375" style="167" customWidth="1"/>
    <col min="15" max="15" width="9.73046875" style="167" customWidth="1"/>
    <col min="16" max="16" width="12.73046875" style="167" customWidth="1"/>
    <col min="17" max="17" width="14.265625" style="167" customWidth="1"/>
    <col min="18" max="18" width="9" style="167" bestFit="1" customWidth="1"/>
    <col min="19" max="19" width="8.86328125" style="167" customWidth="1"/>
    <col min="20" max="21" width="8.86328125" style="167" bestFit="1" customWidth="1"/>
    <col min="22" max="22" width="9" style="167" bestFit="1" customWidth="1"/>
    <col min="23" max="23" width="16.86328125" style="167" customWidth="1"/>
    <col min="24" max="24" width="10.86328125" style="167" bestFit="1" customWidth="1"/>
    <col min="25" max="25" width="12" style="167" customWidth="1"/>
    <col min="26" max="16384" width="10.265625" style="167"/>
  </cols>
  <sheetData>
    <row r="1" spans="1:25" s="73" customFormat="1" ht="23.25">
      <c r="A1" s="89" t="str">
        <f>'1.1 Cover'!A2</f>
        <v>Regulatory Reporting Pack</v>
      </c>
    </row>
    <row r="2" spans="1:25" s="73" customFormat="1" ht="23.25">
      <c r="A2" s="89" t="str">
        <f>'1.1 Cover'!A3</f>
        <v>Price base - 2018/19</v>
      </c>
    </row>
    <row r="3" spans="1:25" s="73" customFormat="1" ht="23.25">
      <c r="A3" s="89" t="str">
        <f>'1.1 Cover'!A4</f>
        <v>Regulatory Year: April 2021 - March 2022</v>
      </c>
    </row>
    <row r="4" spans="1:25" s="73" customFormat="1" ht="23.25">
      <c r="A4" s="89" t="s">
        <v>2624</v>
      </c>
    </row>
    <row r="5" spans="1:25" s="310" customFormat="1">
      <c r="F5" s="311"/>
      <c r="G5" s="312"/>
      <c r="H5" s="312"/>
      <c r="I5" s="313"/>
      <c r="J5" s="313"/>
      <c r="K5" s="313"/>
      <c r="L5" s="313"/>
      <c r="M5" s="313"/>
      <c r="N5" s="313"/>
      <c r="O5" s="313"/>
      <c r="P5" s="313"/>
      <c r="Q5" s="313"/>
      <c r="R5" s="313"/>
      <c r="S5" s="313"/>
      <c r="T5" s="313"/>
      <c r="U5" s="313"/>
      <c r="V5" s="313"/>
      <c r="W5" s="313"/>
      <c r="X5" s="313"/>
      <c r="Y5" s="313"/>
    </row>
    <row r="6" spans="1:25" s="310" customFormat="1">
      <c r="F6" s="311"/>
      <c r="G6" s="312"/>
      <c r="H6" s="312"/>
      <c r="I6" s="313"/>
      <c r="J6" s="313"/>
      <c r="K6" s="313"/>
      <c r="L6" s="313"/>
      <c r="M6" s="313"/>
      <c r="N6" s="313"/>
      <c r="O6" s="313"/>
      <c r="P6" s="313"/>
      <c r="Q6" s="313"/>
      <c r="R6" s="313"/>
      <c r="S6" s="313"/>
      <c r="T6" s="313"/>
      <c r="U6" s="313"/>
      <c r="V6" s="313"/>
      <c r="W6" s="313"/>
      <c r="X6" s="313"/>
      <c r="Y6" s="313"/>
    </row>
    <row r="7" spans="1:25" s="310" customFormat="1" ht="15.4" thickBot="1">
      <c r="F7" s="313"/>
      <c r="I7" s="313"/>
      <c r="J7" s="313"/>
      <c r="K7" s="313"/>
      <c r="L7" s="313"/>
      <c r="M7" s="313"/>
      <c r="N7" s="313"/>
      <c r="O7" s="313"/>
      <c r="P7" s="313"/>
      <c r="Q7" s="313"/>
      <c r="R7" s="313"/>
      <c r="S7" s="313"/>
      <c r="T7" s="313"/>
      <c r="U7" s="313"/>
      <c r="V7" s="313"/>
      <c r="W7" s="313"/>
      <c r="X7" s="313"/>
      <c r="Y7" s="313"/>
    </row>
    <row r="8" spans="1:25" s="310" customFormat="1" ht="45.4" thickBot="1">
      <c r="B8" s="314" t="s">
        <v>1144</v>
      </c>
      <c r="C8" s="315" t="s">
        <v>1143</v>
      </c>
      <c r="D8" s="316" t="s">
        <v>1142</v>
      </c>
      <c r="E8" s="317" t="s">
        <v>5</v>
      </c>
      <c r="F8" s="318">
        <v>44287</v>
      </c>
      <c r="G8" s="318">
        <v>44317</v>
      </c>
      <c r="H8" s="318">
        <v>44348</v>
      </c>
      <c r="I8" s="319" t="s">
        <v>1740</v>
      </c>
      <c r="J8" s="318">
        <v>44378</v>
      </c>
      <c r="K8" s="318">
        <v>44409</v>
      </c>
      <c r="L8" s="318">
        <v>44440</v>
      </c>
      <c r="M8" s="319" t="s">
        <v>1741</v>
      </c>
      <c r="N8" s="318" t="s">
        <v>1739</v>
      </c>
      <c r="O8" s="318">
        <v>44470</v>
      </c>
      <c r="P8" s="318">
        <v>44501</v>
      </c>
      <c r="Q8" s="318">
        <v>44531</v>
      </c>
      <c r="R8" s="319" t="s">
        <v>1742</v>
      </c>
      <c r="S8" s="318">
        <v>44562</v>
      </c>
      <c r="T8" s="318">
        <v>44593</v>
      </c>
      <c r="U8" s="318">
        <v>44621</v>
      </c>
      <c r="V8" s="319" t="s">
        <v>1743</v>
      </c>
      <c r="W8" s="318" t="s">
        <v>1744</v>
      </c>
      <c r="X8" s="320" t="s">
        <v>1141</v>
      </c>
      <c r="Y8" s="321" t="s">
        <v>1140</v>
      </c>
    </row>
    <row r="9" spans="1:25" s="322" customFormat="1">
      <c r="B9" s="323" t="s">
        <v>1139</v>
      </c>
      <c r="C9" s="324"/>
      <c r="D9" s="325"/>
      <c r="E9" s="326"/>
      <c r="F9" s="327"/>
      <c r="G9" s="328"/>
      <c r="H9" s="328"/>
      <c r="I9" s="328"/>
      <c r="J9" s="329"/>
      <c r="K9" s="329"/>
      <c r="L9" s="329"/>
      <c r="M9" s="330"/>
      <c r="N9" s="328"/>
      <c r="O9" s="328"/>
      <c r="P9" s="328"/>
      <c r="Q9" s="328"/>
      <c r="R9" s="330"/>
      <c r="S9" s="328"/>
      <c r="T9" s="328"/>
      <c r="U9" s="328"/>
      <c r="V9" s="330"/>
      <c r="W9" s="328"/>
      <c r="X9" s="330"/>
      <c r="Y9" s="331"/>
    </row>
    <row r="10" spans="1:25" s="322" customFormat="1" ht="18">
      <c r="B10" s="332" t="s">
        <v>1138</v>
      </c>
      <c r="C10" s="333" t="s">
        <v>1137</v>
      </c>
      <c r="D10" s="325" t="s">
        <v>1113</v>
      </c>
      <c r="E10" s="326" t="s">
        <v>2</v>
      </c>
      <c r="F10" s="334" t="s">
        <v>1112</v>
      </c>
      <c r="G10" s="335" t="s">
        <v>1112</v>
      </c>
      <c r="H10" s="335" t="s">
        <v>1112</v>
      </c>
      <c r="I10" s="336" t="s">
        <v>1112</v>
      </c>
      <c r="J10" s="337"/>
      <c r="K10" s="337"/>
      <c r="L10" s="337"/>
      <c r="M10" s="331" t="s">
        <v>1112</v>
      </c>
      <c r="N10" s="335"/>
      <c r="O10" s="338"/>
      <c r="P10" s="335"/>
      <c r="Q10" s="335"/>
      <c r="R10" s="331" t="s">
        <v>1112</v>
      </c>
      <c r="S10" s="338"/>
      <c r="T10" s="335"/>
      <c r="U10" s="335"/>
      <c r="V10" s="331" t="s">
        <v>1112</v>
      </c>
      <c r="W10" s="335"/>
      <c r="X10" s="457"/>
      <c r="Y10" s="331" t="s">
        <v>1112</v>
      </c>
    </row>
    <row r="11" spans="1:25" s="322" customFormat="1" ht="18">
      <c r="B11" s="332" t="s">
        <v>1136</v>
      </c>
      <c r="C11" s="333" t="s">
        <v>1135</v>
      </c>
      <c r="D11" s="325" t="s">
        <v>1113</v>
      </c>
      <c r="E11" s="326" t="s">
        <v>2</v>
      </c>
      <c r="F11" s="334" t="s">
        <v>1112</v>
      </c>
      <c r="G11" s="335" t="s">
        <v>1112</v>
      </c>
      <c r="H11" s="335" t="s">
        <v>1112</v>
      </c>
      <c r="I11" s="336" t="s">
        <v>1112</v>
      </c>
      <c r="J11" s="337"/>
      <c r="K11" s="337"/>
      <c r="L11" s="337"/>
      <c r="M11" s="331" t="s">
        <v>1112</v>
      </c>
      <c r="N11" s="335"/>
      <c r="O11" s="338"/>
      <c r="P11" s="335"/>
      <c r="Q11" s="335"/>
      <c r="R11" s="331" t="s">
        <v>1112</v>
      </c>
      <c r="S11" s="338"/>
      <c r="T11" s="335"/>
      <c r="U11" s="335"/>
      <c r="V11" s="331" t="s">
        <v>1112</v>
      </c>
      <c r="W11" s="335"/>
      <c r="X11" s="457"/>
      <c r="Y11" s="331" t="s">
        <v>1112</v>
      </c>
    </row>
    <row r="12" spans="1:25" s="322" customFormat="1">
      <c r="B12" s="332"/>
      <c r="C12" s="333" t="s">
        <v>1134</v>
      </c>
      <c r="D12" s="325" t="s">
        <v>1113</v>
      </c>
      <c r="E12" s="326" t="s">
        <v>2</v>
      </c>
      <c r="F12" s="334" t="s">
        <v>1112</v>
      </c>
      <c r="G12" s="335" t="s">
        <v>1112</v>
      </c>
      <c r="H12" s="335" t="s">
        <v>1112</v>
      </c>
      <c r="I12" s="336" t="s">
        <v>1112</v>
      </c>
      <c r="J12" s="337"/>
      <c r="K12" s="337"/>
      <c r="L12" s="337"/>
      <c r="M12" s="331" t="s">
        <v>1112</v>
      </c>
      <c r="N12" s="335"/>
      <c r="O12" s="338"/>
      <c r="P12" s="335"/>
      <c r="Q12" s="335"/>
      <c r="R12" s="331" t="s">
        <v>1112</v>
      </c>
      <c r="S12" s="338"/>
      <c r="T12" s="335"/>
      <c r="U12" s="335"/>
      <c r="V12" s="331" t="s">
        <v>1112</v>
      </c>
      <c r="W12" s="335"/>
      <c r="X12" s="457"/>
      <c r="Y12" s="331" t="s">
        <v>1112</v>
      </c>
    </row>
    <row r="13" spans="1:25" s="322" customFormat="1">
      <c r="B13" s="332"/>
      <c r="C13" s="333" t="s">
        <v>1133</v>
      </c>
      <c r="D13" s="325" t="s">
        <v>1113</v>
      </c>
      <c r="E13" s="326" t="s">
        <v>2</v>
      </c>
      <c r="F13" s="334" t="s">
        <v>1112</v>
      </c>
      <c r="G13" s="335" t="s">
        <v>1112</v>
      </c>
      <c r="H13" s="335" t="s">
        <v>1112</v>
      </c>
      <c r="I13" s="336" t="s">
        <v>1112</v>
      </c>
      <c r="J13" s="337"/>
      <c r="K13" s="337"/>
      <c r="L13" s="337"/>
      <c r="M13" s="331" t="s">
        <v>1112</v>
      </c>
      <c r="N13" s="335"/>
      <c r="O13" s="338"/>
      <c r="P13" s="335"/>
      <c r="Q13" s="335"/>
      <c r="R13" s="331" t="s">
        <v>1112</v>
      </c>
      <c r="S13" s="338"/>
      <c r="T13" s="335"/>
      <c r="U13" s="335"/>
      <c r="V13" s="331" t="s">
        <v>1112</v>
      </c>
      <c r="W13" s="335"/>
      <c r="X13" s="457"/>
      <c r="Y13" s="331" t="s">
        <v>1112</v>
      </c>
    </row>
    <row r="14" spans="1:25" s="322" customFormat="1">
      <c r="B14" s="340"/>
      <c r="C14" s="341" t="s">
        <v>1132</v>
      </c>
      <c r="D14" s="325" t="s">
        <v>1113</v>
      </c>
      <c r="E14" s="326" t="s">
        <v>2</v>
      </c>
      <c r="F14" s="334" t="s">
        <v>1112</v>
      </c>
      <c r="G14" s="335" t="s">
        <v>1112</v>
      </c>
      <c r="H14" s="335" t="s">
        <v>1112</v>
      </c>
      <c r="I14" s="336" t="s">
        <v>1112</v>
      </c>
      <c r="J14" s="337"/>
      <c r="K14" s="337"/>
      <c r="L14" s="337"/>
      <c r="M14" s="331" t="s">
        <v>1112</v>
      </c>
      <c r="N14" s="335"/>
      <c r="O14" s="338"/>
      <c r="P14" s="335"/>
      <c r="Q14" s="335"/>
      <c r="R14" s="331" t="s">
        <v>1112</v>
      </c>
      <c r="S14" s="338"/>
      <c r="T14" s="335"/>
      <c r="U14" s="335"/>
      <c r="V14" s="331" t="s">
        <v>1112</v>
      </c>
      <c r="W14" s="335"/>
      <c r="X14" s="457"/>
      <c r="Y14" s="331" t="s">
        <v>1112</v>
      </c>
    </row>
    <row r="15" spans="1:25" s="322" customFormat="1" ht="18">
      <c r="B15" s="332" t="s">
        <v>1131</v>
      </c>
      <c r="C15" s="333" t="s">
        <v>1130</v>
      </c>
      <c r="D15" s="325" t="s">
        <v>1113</v>
      </c>
      <c r="E15" s="326" t="s">
        <v>2</v>
      </c>
      <c r="F15" s="334" t="s">
        <v>1112</v>
      </c>
      <c r="G15" s="335" t="s">
        <v>1112</v>
      </c>
      <c r="H15" s="335" t="s">
        <v>1112</v>
      </c>
      <c r="I15" s="336" t="s">
        <v>1112</v>
      </c>
      <c r="J15" s="337"/>
      <c r="K15" s="337"/>
      <c r="L15" s="337"/>
      <c r="M15" s="331" t="s">
        <v>1112</v>
      </c>
      <c r="N15" s="335"/>
      <c r="O15" s="338"/>
      <c r="P15" s="335"/>
      <c r="Q15" s="335"/>
      <c r="R15" s="331" t="s">
        <v>1112</v>
      </c>
      <c r="S15" s="338"/>
      <c r="T15" s="335"/>
      <c r="U15" s="335"/>
      <c r="V15" s="331" t="s">
        <v>1112</v>
      </c>
      <c r="W15" s="335"/>
      <c r="X15" s="457"/>
      <c r="Y15" s="331" t="s">
        <v>1112</v>
      </c>
    </row>
    <row r="16" spans="1:25" s="322" customFormat="1">
      <c r="B16" s="323" t="s">
        <v>1129</v>
      </c>
      <c r="C16" s="324"/>
      <c r="D16" s="325"/>
      <c r="E16" s="326"/>
      <c r="F16" s="327"/>
      <c r="G16" s="328"/>
      <c r="H16" s="328"/>
      <c r="I16" s="328"/>
      <c r="J16" s="329"/>
      <c r="K16" s="329"/>
      <c r="L16" s="329"/>
      <c r="M16" s="330"/>
      <c r="N16" s="328"/>
      <c r="O16" s="328"/>
      <c r="P16" s="328"/>
      <c r="Q16" s="328"/>
      <c r="R16" s="330"/>
      <c r="S16" s="328"/>
      <c r="T16" s="328"/>
      <c r="U16" s="328"/>
      <c r="V16" s="330"/>
      <c r="W16" s="328"/>
      <c r="X16" s="458"/>
      <c r="Y16" s="331"/>
    </row>
    <row r="17" spans="2:44" s="322" customFormat="1">
      <c r="B17" s="332"/>
      <c r="C17" s="333" t="s">
        <v>1128</v>
      </c>
      <c r="D17" s="325" t="s">
        <v>1126</v>
      </c>
      <c r="E17" s="326" t="s">
        <v>869</v>
      </c>
      <c r="F17" s="334"/>
      <c r="G17" s="335"/>
      <c r="H17" s="331"/>
      <c r="I17" s="334"/>
      <c r="J17" s="342"/>
      <c r="K17" s="343"/>
      <c r="L17" s="331"/>
      <c r="M17" s="334"/>
      <c r="N17" s="331"/>
      <c r="O17" s="334"/>
      <c r="P17" s="335"/>
      <c r="Q17" s="331"/>
      <c r="R17" s="334"/>
      <c r="S17" s="334"/>
      <c r="T17" s="335"/>
      <c r="U17" s="331"/>
      <c r="V17" s="334"/>
      <c r="W17" s="331" t="s">
        <v>1112</v>
      </c>
      <c r="X17" s="457"/>
      <c r="Y17" s="331" t="s">
        <v>1112</v>
      </c>
    </row>
    <row r="18" spans="2:44" s="322" customFormat="1">
      <c r="B18" s="332"/>
      <c r="C18" s="333" t="s">
        <v>1127</v>
      </c>
      <c r="D18" s="325" t="s">
        <v>1125</v>
      </c>
      <c r="E18" s="326" t="s">
        <v>869</v>
      </c>
      <c r="F18" s="334"/>
      <c r="G18" s="335"/>
      <c r="H18" s="335"/>
      <c r="I18" s="331"/>
      <c r="J18" s="342"/>
      <c r="K18" s="343"/>
      <c r="L18" s="335"/>
      <c r="M18" s="331"/>
      <c r="N18" s="335"/>
      <c r="O18" s="334"/>
      <c r="P18" s="335"/>
      <c r="Q18" s="335"/>
      <c r="R18" s="331" t="s">
        <v>1112</v>
      </c>
      <c r="S18" s="334"/>
      <c r="T18" s="335"/>
      <c r="U18" s="335"/>
      <c r="V18" s="331" t="s">
        <v>1112</v>
      </c>
      <c r="W18" s="335"/>
      <c r="X18" s="457"/>
      <c r="Y18" s="331" t="s">
        <v>1112</v>
      </c>
    </row>
    <row r="19" spans="2:44" s="322" customFormat="1">
      <c r="B19" s="332"/>
      <c r="C19" s="333" t="s">
        <v>1878</v>
      </c>
      <c r="D19" s="325" t="s">
        <v>1126</v>
      </c>
      <c r="E19" s="326" t="s">
        <v>2</v>
      </c>
      <c r="F19" s="334"/>
      <c r="G19" s="336"/>
      <c r="H19" s="335"/>
      <c r="I19" s="336"/>
      <c r="J19" s="342"/>
      <c r="K19" s="336"/>
      <c r="L19" s="335"/>
      <c r="M19" s="336"/>
      <c r="N19" s="351"/>
      <c r="O19" s="334"/>
      <c r="P19" s="336"/>
      <c r="Q19" s="335"/>
      <c r="R19" s="336"/>
      <c r="S19" s="334"/>
      <c r="T19" s="336"/>
      <c r="U19" s="335"/>
      <c r="V19" s="336"/>
      <c r="W19" s="336" t="s">
        <v>1112</v>
      </c>
      <c r="X19" s="457"/>
      <c r="Y19" s="344" t="s">
        <v>1112</v>
      </c>
    </row>
    <row r="20" spans="2:44" s="322" customFormat="1">
      <c r="B20" s="332"/>
      <c r="C20" s="333" t="s">
        <v>1879</v>
      </c>
      <c r="D20" s="325" t="s">
        <v>1126</v>
      </c>
      <c r="E20" s="326" t="s">
        <v>2</v>
      </c>
      <c r="F20" s="334"/>
      <c r="G20" s="336"/>
      <c r="H20" s="335"/>
      <c r="I20" s="336"/>
      <c r="J20" s="342"/>
      <c r="K20" s="336"/>
      <c r="L20" s="335"/>
      <c r="M20" s="336"/>
      <c r="N20" s="351"/>
      <c r="O20" s="334"/>
      <c r="P20" s="336"/>
      <c r="Q20" s="335"/>
      <c r="R20" s="336"/>
      <c r="S20" s="334"/>
      <c r="T20" s="336"/>
      <c r="U20" s="335"/>
      <c r="V20" s="336"/>
      <c r="W20" s="336" t="s">
        <v>1112</v>
      </c>
      <c r="X20" s="457"/>
      <c r="Y20" s="344" t="s">
        <v>1112</v>
      </c>
    </row>
    <row r="21" spans="2:44" s="322" customFormat="1">
      <c r="B21" s="332"/>
      <c r="C21" s="333" t="s">
        <v>1880</v>
      </c>
      <c r="D21" s="325" t="s">
        <v>1126</v>
      </c>
      <c r="E21" s="326" t="s">
        <v>2</v>
      </c>
      <c r="F21" s="334"/>
      <c r="G21" s="336"/>
      <c r="H21" s="335"/>
      <c r="I21" s="336"/>
      <c r="J21" s="342"/>
      <c r="K21" s="336"/>
      <c r="L21" s="335"/>
      <c r="M21" s="336"/>
      <c r="N21" s="351"/>
      <c r="O21" s="334"/>
      <c r="P21" s="336"/>
      <c r="Q21" s="335"/>
      <c r="R21" s="336"/>
      <c r="S21" s="334"/>
      <c r="T21" s="336"/>
      <c r="U21" s="335"/>
      <c r="V21" s="336"/>
      <c r="W21" s="336" t="s">
        <v>1112</v>
      </c>
      <c r="X21" s="457"/>
      <c r="Y21" s="344" t="s">
        <v>1112</v>
      </c>
    </row>
    <row r="22" spans="2:44" s="322" customFormat="1">
      <c r="B22" s="332"/>
      <c r="C22" s="333" t="s">
        <v>1881</v>
      </c>
      <c r="D22" s="325" t="s">
        <v>1125</v>
      </c>
      <c r="E22" s="326" t="s">
        <v>2</v>
      </c>
      <c r="F22" s="334"/>
      <c r="G22" s="336"/>
      <c r="H22" s="335"/>
      <c r="I22" s="336"/>
      <c r="J22" s="342"/>
      <c r="K22" s="336"/>
      <c r="L22" s="335"/>
      <c r="M22" s="336"/>
      <c r="N22" s="351"/>
      <c r="O22" s="334"/>
      <c r="P22" s="336"/>
      <c r="Q22" s="335"/>
      <c r="R22" s="336" t="s">
        <v>1112</v>
      </c>
      <c r="S22" s="334"/>
      <c r="T22" s="336"/>
      <c r="U22" s="335"/>
      <c r="V22" s="336" t="s">
        <v>1112</v>
      </c>
      <c r="W22" s="351"/>
      <c r="X22" s="457"/>
      <c r="Y22" s="344" t="s">
        <v>1112</v>
      </c>
    </row>
    <row r="23" spans="2:44" s="322" customFormat="1">
      <c r="B23" s="332"/>
      <c r="C23" s="333" t="s">
        <v>1882</v>
      </c>
      <c r="D23" s="325" t="s">
        <v>1125</v>
      </c>
      <c r="E23" s="326" t="s">
        <v>2</v>
      </c>
      <c r="F23" s="334"/>
      <c r="G23" s="335"/>
      <c r="H23" s="335"/>
      <c r="I23" s="336"/>
      <c r="J23" s="342"/>
      <c r="K23" s="343"/>
      <c r="L23" s="335"/>
      <c r="M23" s="336"/>
      <c r="N23" s="335"/>
      <c r="O23" s="334"/>
      <c r="P23" s="335"/>
      <c r="Q23" s="335"/>
      <c r="R23" s="336" t="s">
        <v>1112</v>
      </c>
      <c r="S23" s="334"/>
      <c r="T23" s="335"/>
      <c r="U23" s="328"/>
      <c r="V23" s="336" t="s">
        <v>1112</v>
      </c>
      <c r="W23" s="335"/>
      <c r="X23" s="457"/>
      <c r="Y23" s="344" t="s">
        <v>1112</v>
      </c>
    </row>
    <row r="24" spans="2:44" s="322" customFormat="1">
      <c r="B24" s="332"/>
      <c r="C24" s="333" t="s">
        <v>1883</v>
      </c>
      <c r="D24" s="325" t="s">
        <v>1125</v>
      </c>
      <c r="E24" s="326" t="s">
        <v>2</v>
      </c>
      <c r="F24" s="334"/>
      <c r="G24" s="335"/>
      <c r="H24" s="335"/>
      <c r="I24" s="336"/>
      <c r="J24" s="342"/>
      <c r="K24" s="343"/>
      <c r="L24" s="335"/>
      <c r="M24" s="336"/>
      <c r="N24" s="335"/>
      <c r="O24" s="334"/>
      <c r="P24" s="335"/>
      <c r="Q24" s="335"/>
      <c r="R24" s="336" t="s">
        <v>1112</v>
      </c>
      <c r="S24" s="334"/>
      <c r="T24" s="335"/>
      <c r="U24" s="328"/>
      <c r="V24" s="336" t="s">
        <v>1112</v>
      </c>
      <c r="W24" s="335"/>
      <c r="X24" s="457"/>
      <c r="Y24" s="344" t="s">
        <v>1112</v>
      </c>
    </row>
    <row r="25" spans="2:44" s="322" customFormat="1">
      <c r="B25" s="332"/>
      <c r="C25" s="333" t="s">
        <v>1884</v>
      </c>
      <c r="D25" s="325" t="s">
        <v>1113</v>
      </c>
      <c r="E25" s="326" t="s">
        <v>2</v>
      </c>
      <c r="F25" s="334"/>
      <c r="G25" s="336"/>
      <c r="H25" s="335"/>
      <c r="I25" s="336"/>
      <c r="J25" s="342"/>
      <c r="K25" s="336"/>
      <c r="L25" s="335"/>
      <c r="M25" s="336"/>
      <c r="N25" s="351"/>
      <c r="O25" s="334"/>
      <c r="P25" s="336"/>
      <c r="Q25" s="335"/>
      <c r="R25" s="336" t="s">
        <v>1112</v>
      </c>
      <c r="S25" s="334"/>
      <c r="T25" s="336"/>
      <c r="U25" s="335"/>
      <c r="V25" s="336" t="s">
        <v>1112</v>
      </c>
      <c r="W25" s="351"/>
      <c r="X25" s="457"/>
      <c r="Y25" s="344" t="s">
        <v>1112</v>
      </c>
    </row>
    <row r="26" spans="2:44" s="322" customFormat="1">
      <c r="B26" s="332"/>
      <c r="C26" s="333" t="s">
        <v>1885</v>
      </c>
      <c r="D26" s="325" t="s">
        <v>1113</v>
      </c>
      <c r="E26" s="326" t="s">
        <v>2</v>
      </c>
      <c r="F26" s="334"/>
      <c r="G26" s="335"/>
      <c r="H26" s="335"/>
      <c r="I26" s="336"/>
      <c r="J26" s="342"/>
      <c r="K26" s="343"/>
      <c r="L26" s="335"/>
      <c r="M26" s="336"/>
      <c r="N26" s="335"/>
      <c r="O26" s="334"/>
      <c r="P26" s="335"/>
      <c r="Q26" s="335"/>
      <c r="R26" s="336" t="s">
        <v>1112</v>
      </c>
      <c r="S26" s="334"/>
      <c r="T26" s="335"/>
      <c r="U26" s="328"/>
      <c r="V26" s="336" t="s">
        <v>1112</v>
      </c>
      <c r="W26" s="335"/>
      <c r="X26" s="457"/>
      <c r="Y26" s="344" t="s">
        <v>1112</v>
      </c>
    </row>
    <row r="27" spans="2:44" s="322" customFormat="1">
      <c r="B27" s="332"/>
      <c r="C27" s="333" t="s">
        <v>1886</v>
      </c>
      <c r="D27" s="325" t="s">
        <v>1113</v>
      </c>
      <c r="E27" s="326" t="s">
        <v>2</v>
      </c>
      <c r="F27" s="334"/>
      <c r="G27" s="335"/>
      <c r="H27" s="335"/>
      <c r="I27" s="336"/>
      <c r="J27" s="342"/>
      <c r="K27" s="343"/>
      <c r="L27" s="335"/>
      <c r="M27" s="336"/>
      <c r="N27" s="335"/>
      <c r="O27" s="334"/>
      <c r="P27" s="335"/>
      <c r="Q27" s="335"/>
      <c r="R27" s="336" t="s">
        <v>1112</v>
      </c>
      <c r="S27" s="334"/>
      <c r="T27" s="335"/>
      <c r="U27" s="328"/>
      <c r="V27" s="336" t="s">
        <v>1112</v>
      </c>
      <c r="W27" s="335"/>
      <c r="X27" s="457"/>
      <c r="Y27" s="344" t="s">
        <v>1112</v>
      </c>
    </row>
    <row r="28" spans="2:44" s="322" customFormat="1" ht="15.4" thickBot="1">
      <c r="B28" s="323" t="s">
        <v>1124</v>
      </c>
      <c r="C28" s="324"/>
      <c r="D28" s="325"/>
      <c r="E28" s="326"/>
      <c r="F28" s="327"/>
      <c r="G28" s="328"/>
      <c r="H28" s="328"/>
      <c r="I28" s="328"/>
      <c r="J28" s="329"/>
      <c r="K28" s="329"/>
      <c r="L28" s="329"/>
      <c r="M28" s="330"/>
      <c r="N28" s="328"/>
      <c r="O28" s="328"/>
      <c r="P28" s="328"/>
      <c r="Q28" s="328"/>
      <c r="R28" s="330"/>
      <c r="S28" s="328"/>
      <c r="T28" s="328"/>
      <c r="U28" s="328"/>
      <c r="V28" s="330"/>
      <c r="W28" s="328"/>
      <c r="X28" s="458"/>
      <c r="Y28" s="345"/>
    </row>
    <row r="29" spans="2:44" s="322" customFormat="1">
      <c r="B29" s="332"/>
      <c r="C29" s="333" t="s">
        <v>1123</v>
      </c>
      <c r="D29" s="325" t="s">
        <v>1118</v>
      </c>
      <c r="E29" s="326" t="s">
        <v>2</v>
      </c>
      <c r="F29" s="334"/>
      <c r="G29" s="334"/>
      <c r="H29" s="334"/>
      <c r="I29" s="336"/>
      <c r="J29" s="334"/>
      <c r="K29" s="334"/>
      <c r="L29" s="334"/>
      <c r="M29" s="336"/>
      <c r="N29" s="334"/>
      <c r="O29" s="334"/>
      <c r="P29" s="334"/>
      <c r="Q29" s="334"/>
      <c r="R29" s="336"/>
      <c r="S29" s="334"/>
      <c r="T29" s="334"/>
      <c r="U29" s="334"/>
      <c r="V29" s="336"/>
      <c r="W29" s="334"/>
      <c r="X29" s="459"/>
      <c r="Y29" s="346" t="s">
        <v>1112</v>
      </c>
    </row>
    <row r="30" spans="2:44" s="322" customFormat="1">
      <c r="B30" s="332"/>
      <c r="C30" s="333" t="s">
        <v>1122</v>
      </c>
      <c r="D30" s="325" t="s">
        <v>1118</v>
      </c>
      <c r="E30" s="326" t="s">
        <v>2</v>
      </c>
      <c r="F30" s="334"/>
      <c r="G30" s="338"/>
      <c r="H30" s="338"/>
      <c r="I30" s="336"/>
      <c r="J30" s="338"/>
      <c r="K30" s="338"/>
      <c r="L30" s="338"/>
      <c r="M30" s="336"/>
      <c r="N30" s="338"/>
      <c r="O30" s="338"/>
      <c r="P30" s="338"/>
      <c r="Q30" s="338"/>
      <c r="R30" s="336"/>
      <c r="S30" s="338"/>
      <c r="T30" s="338"/>
      <c r="U30" s="338"/>
      <c r="V30" s="336"/>
      <c r="W30" s="338"/>
      <c r="X30" s="459"/>
      <c r="Y30" s="347" t="s">
        <v>1112</v>
      </c>
    </row>
    <row r="31" spans="2:44" s="322" customFormat="1">
      <c r="B31" s="332"/>
      <c r="C31" s="333" t="s">
        <v>1121</v>
      </c>
      <c r="D31" s="325" t="s">
        <v>1118</v>
      </c>
      <c r="E31" s="326" t="s">
        <v>2</v>
      </c>
      <c r="F31" s="334"/>
      <c r="G31" s="338"/>
      <c r="H31" s="338"/>
      <c r="I31" s="336"/>
      <c r="J31" s="338"/>
      <c r="K31" s="338"/>
      <c r="L31" s="338"/>
      <c r="M31" s="336"/>
      <c r="N31" s="338"/>
      <c r="O31" s="338"/>
      <c r="P31" s="338"/>
      <c r="Q31" s="338"/>
      <c r="R31" s="336"/>
      <c r="S31" s="338"/>
      <c r="T31" s="338"/>
      <c r="U31" s="338"/>
      <c r="V31" s="336"/>
      <c r="W31" s="338"/>
      <c r="X31" s="459"/>
      <c r="Y31" s="347" t="s">
        <v>1112</v>
      </c>
    </row>
    <row r="32" spans="2:44" s="322" customFormat="1">
      <c r="B32" s="332"/>
      <c r="C32" s="333" t="s">
        <v>1120</v>
      </c>
      <c r="D32" s="325" t="s">
        <v>1118</v>
      </c>
      <c r="E32" s="326" t="s">
        <v>2</v>
      </c>
      <c r="F32" s="334"/>
      <c r="G32" s="338"/>
      <c r="H32" s="338"/>
      <c r="I32" s="336" t="s">
        <v>1112</v>
      </c>
      <c r="J32" s="338"/>
      <c r="K32" s="338"/>
      <c r="L32" s="338"/>
      <c r="M32" s="336" t="s">
        <v>1112</v>
      </c>
      <c r="N32" s="338"/>
      <c r="O32" s="338"/>
      <c r="P32" s="338"/>
      <c r="Q32" s="338"/>
      <c r="R32" s="336" t="s">
        <v>1112</v>
      </c>
      <c r="S32" s="338"/>
      <c r="T32" s="338"/>
      <c r="U32" s="338"/>
      <c r="V32" s="336" t="s">
        <v>1112</v>
      </c>
      <c r="W32" s="338"/>
      <c r="X32" s="459"/>
      <c r="Y32" s="347" t="s">
        <v>1112</v>
      </c>
      <c r="Z32" s="170"/>
      <c r="AA32" s="170"/>
      <c r="AB32" s="170"/>
      <c r="AC32" s="170"/>
      <c r="AD32" s="170"/>
      <c r="AE32" s="170"/>
      <c r="AF32" s="170"/>
      <c r="AG32" s="170"/>
      <c r="AH32" s="170"/>
      <c r="AI32" s="170"/>
      <c r="AJ32" s="170"/>
      <c r="AK32" s="170"/>
      <c r="AL32" s="170"/>
      <c r="AM32" s="170"/>
      <c r="AN32" s="170"/>
      <c r="AO32" s="170"/>
      <c r="AP32" s="170"/>
      <c r="AQ32" s="170"/>
      <c r="AR32" s="170"/>
    </row>
    <row r="33" spans="2:44" s="322" customFormat="1">
      <c r="B33" s="332"/>
      <c r="C33" s="333" t="s">
        <v>1119</v>
      </c>
      <c r="D33" s="325" t="s">
        <v>1118</v>
      </c>
      <c r="E33" s="326" t="s">
        <v>2</v>
      </c>
      <c r="F33" s="334"/>
      <c r="G33" s="338"/>
      <c r="H33" s="338"/>
      <c r="I33" s="336" t="s">
        <v>1112</v>
      </c>
      <c r="J33" s="338"/>
      <c r="K33" s="338"/>
      <c r="L33" s="338"/>
      <c r="M33" s="336" t="s">
        <v>1112</v>
      </c>
      <c r="N33" s="338"/>
      <c r="O33" s="338"/>
      <c r="P33" s="338"/>
      <c r="Q33" s="338"/>
      <c r="R33" s="336" t="s">
        <v>1112</v>
      </c>
      <c r="S33" s="338"/>
      <c r="T33" s="338"/>
      <c r="U33" s="338"/>
      <c r="V33" s="336" t="s">
        <v>1112</v>
      </c>
      <c r="W33" s="338"/>
      <c r="X33" s="459"/>
      <c r="Y33" s="347" t="s">
        <v>1112</v>
      </c>
      <c r="Z33" s="170"/>
      <c r="AA33" s="170"/>
      <c r="AB33" s="170"/>
      <c r="AC33" s="170"/>
      <c r="AD33" s="170"/>
      <c r="AE33" s="170"/>
      <c r="AF33" s="170"/>
      <c r="AG33" s="170"/>
      <c r="AH33" s="170"/>
      <c r="AI33" s="170"/>
      <c r="AJ33" s="170"/>
      <c r="AK33" s="170"/>
      <c r="AL33" s="170"/>
      <c r="AM33" s="170"/>
      <c r="AN33" s="170"/>
      <c r="AO33" s="170"/>
      <c r="AP33" s="170"/>
      <c r="AQ33" s="170"/>
      <c r="AR33" s="170"/>
    </row>
    <row r="34" spans="2:44" s="322" customFormat="1">
      <c r="B34" s="323" t="s">
        <v>269</v>
      </c>
      <c r="C34" s="324"/>
      <c r="D34" s="325"/>
      <c r="E34" s="326"/>
      <c r="F34" s="348"/>
      <c r="G34" s="349"/>
      <c r="H34" s="349"/>
      <c r="I34" s="349"/>
      <c r="J34" s="349"/>
      <c r="K34" s="349"/>
      <c r="L34" s="349"/>
      <c r="M34" s="349"/>
      <c r="N34" s="349"/>
      <c r="O34" s="349"/>
      <c r="P34" s="349"/>
      <c r="Q34" s="349"/>
      <c r="R34" s="349"/>
      <c r="S34" s="349"/>
      <c r="T34" s="349"/>
      <c r="U34" s="349"/>
      <c r="V34" s="349"/>
      <c r="W34" s="349"/>
      <c r="X34" s="460"/>
      <c r="Y34" s="339" t="s">
        <v>1112</v>
      </c>
      <c r="Z34" s="170"/>
      <c r="AA34" s="170"/>
      <c r="AB34" s="170"/>
      <c r="AC34" s="170"/>
      <c r="AD34" s="170"/>
      <c r="AE34" s="170"/>
      <c r="AF34" s="170"/>
      <c r="AG34" s="170"/>
      <c r="AH34" s="170"/>
      <c r="AI34" s="170"/>
      <c r="AJ34" s="170"/>
      <c r="AK34" s="170"/>
      <c r="AL34" s="170"/>
      <c r="AM34" s="170"/>
      <c r="AN34" s="170"/>
      <c r="AO34" s="170"/>
      <c r="AP34" s="170"/>
      <c r="AQ34" s="170"/>
      <c r="AR34" s="170"/>
    </row>
    <row r="35" spans="2:44" s="322" customFormat="1">
      <c r="B35" s="350"/>
      <c r="C35" s="333" t="s">
        <v>1745</v>
      </c>
      <c r="D35" s="325" t="s">
        <v>1113</v>
      </c>
      <c r="E35" s="326" t="s">
        <v>2</v>
      </c>
      <c r="F35" s="334" t="s">
        <v>1112</v>
      </c>
      <c r="G35" s="335" t="s">
        <v>1112</v>
      </c>
      <c r="H35" s="335" t="s">
        <v>1112</v>
      </c>
      <c r="I35" s="336" t="s">
        <v>1112</v>
      </c>
      <c r="J35" s="342"/>
      <c r="K35" s="343"/>
      <c r="L35" s="343"/>
      <c r="M35" s="336" t="s">
        <v>1112</v>
      </c>
      <c r="N35" s="335"/>
      <c r="O35" s="334"/>
      <c r="P35" s="335"/>
      <c r="Q35" s="335"/>
      <c r="R35" s="336" t="s">
        <v>1112</v>
      </c>
      <c r="S35" s="334"/>
      <c r="T35" s="335"/>
      <c r="U35" s="335"/>
      <c r="V35" s="336" t="s">
        <v>1112</v>
      </c>
      <c r="W35" s="335"/>
      <c r="X35" s="459"/>
      <c r="Y35" s="339" t="s">
        <v>1112</v>
      </c>
      <c r="Z35" s="170"/>
      <c r="AA35" s="170"/>
      <c r="AB35" s="170"/>
      <c r="AC35" s="170"/>
      <c r="AD35" s="170"/>
      <c r="AE35" s="170"/>
      <c r="AF35" s="170"/>
      <c r="AG35" s="170"/>
      <c r="AH35" s="170"/>
      <c r="AI35" s="170"/>
      <c r="AJ35" s="170"/>
      <c r="AK35" s="170"/>
      <c r="AL35" s="170"/>
      <c r="AM35" s="170"/>
      <c r="AN35" s="170"/>
      <c r="AO35" s="170"/>
      <c r="AP35" s="170"/>
      <c r="AQ35" s="170"/>
      <c r="AR35" s="170"/>
    </row>
    <row r="36" spans="2:44" s="322" customFormat="1">
      <c r="B36" s="350"/>
      <c r="C36" s="333" t="s">
        <v>1117</v>
      </c>
      <c r="D36" s="325" t="s">
        <v>1113</v>
      </c>
      <c r="E36" s="326" t="s">
        <v>2</v>
      </c>
      <c r="F36" s="334" t="s">
        <v>1112</v>
      </c>
      <c r="G36" s="334" t="s">
        <v>1112</v>
      </c>
      <c r="H36" s="334" t="s">
        <v>1112</v>
      </c>
      <c r="I36" s="336" t="s">
        <v>1112</v>
      </c>
      <c r="J36" s="334"/>
      <c r="K36" s="334"/>
      <c r="L36" s="334"/>
      <c r="M36" s="336" t="s">
        <v>1112</v>
      </c>
      <c r="N36" s="334"/>
      <c r="O36" s="334"/>
      <c r="P36" s="334"/>
      <c r="Q36" s="334"/>
      <c r="R36" s="336" t="s">
        <v>1112</v>
      </c>
      <c r="S36" s="334"/>
      <c r="T36" s="334"/>
      <c r="U36" s="334"/>
      <c r="V36" s="336" t="s">
        <v>1112</v>
      </c>
      <c r="W36" s="334"/>
      <c r="X36" s="459"/>
      <c r="Y36" s="339" t="s">
        <v>1112</v>
      </c>
      <c r="Z36" s="170"/>
      <c r="AA36" s="170"/>
      <c r="AB36" s="170"/>
      <c r="AC36" s="170"/>
      <c r="AD36" s="170"/>
      <c r="AE36" s="170"/>
      <c r="AF36" s="170"/>
      <c r="AG36" s="170"/>
      <c r="AH36" s="170"/>
      <c r="AI36" s="170"/>
      <c r="AJ36" s="170"/>
      <c r="AK36" s="170"/>
      <c r="AL36" s="170"/>
      <c r="AM36" s="170"/>
      <c r="AN36" s="170"/>
      <c r="AO36" s="170"/>
      <c r="AP36" s="170"/>
      <c r="AQ36" s="170"/>
      <c r="AR36" s="170"/>
    </row>
    <row r="37" spans="2:44" s="322" customFormat="1">
      <c r="B37" s="350"/>
      <c r="C37" s="333" t="s">
        <v>1116</v>
      </c>
      <c r="D37" s="325" t="s">
        <v>1113</v>
      </c>
      <c r="E37" s="326" t="s">
        <v>2</v>
      </c>
      <c r="F37" s="334" t="s">
        <v>1112</v>
      </c>
      <c r="G37" s="351" t="s">
        <v>1112</v>
      </c>
      <c r="H37" s="335" t="s">
        <v>1112</v>
      </c>
      <c r="I37" s="335" t="s">
        <v>1112</v>
      </c>
      <c r="J37" s="343"/>
      <c r="K37" s="343"/>
      <c r="L37" s="343"/>
      <c r="M37" s="335" t="s">
        <v>1112</v>
      </c>
      <c r="N37" s="351"/>
      <c r="O37" s="335"/>
      <c r="P37" s="335"/>
      <c r="Q37" s="335"/>
      <c r="R37" s="335" t="s">
        <v>1112</v>
      </c>
      <c r="S37" s="335"/>
      <c r="T37" s="335"/>
      <c r="U37" s="335"/>
      <c r="V37" s="335" t="s">
        <v>1112</v>
      </c>
      <c r="W37" s="335"/>
      <c r="X37" s="461"/>
      <c r="Y37" s="339" t="s">
        <v>1112</v>
      </c>
      <c r="Z37" s="170"/>
      <c r="AA37" s="170"/>
      <c r="AB37" s="170"/>
      <c r="AC37" s="170"/>
      <c r="AD37" s="170"/>
      <c r="AE37" s="170"/>
      <c r="AF37" s="170"/>
      <c r="AG37" s="170"/>
      <c r="AH37" s="170"/>
      <c r="AI37" s="170"/>
      <c r="AJ37" s="170"/>
      <c r="AK37" s="170"/>
      <c r="AL37" s="170"/>
      <c r="AM37" s="170"/>
      <c r="AN37" s="170"/>
      <c r="AO37" s="170"/>
      <c r="AP37" s="170"/>
      <c r="AQ37" s="170"/>
      <c r="AR37" s="170"/>
    </row>
    <row r="38" spans="2:44" s="322" customFormat="1">
      <c r="B38" s="350"/>
      <c r="C38" s="333" t="s">
        <v>1115</v>
      </c>
      <c r="D38" s="352" t="s">
        <v>1113</v>
      </c>
      <c r="E38" s="326" t="s">
        <v>2</v>
      </c>
      <c r="F38" s="334" t="s">
        <v>1112</v>
      </c>
      <c r="G38" s="327" t="s">
        <v>1112</v>
      </c>
      <c r="H38" s="335" t="s">
        <v>1112</v>
      </c>
      <c r="I38" s="335" t="s">
        <v>1112</v>
      </c>
      <c r="J38" s="343"/>
      <c r="K38" s="343"/>
      <c r="L38" s="343"/>
      <c r="M38" s="335" t="s">
        <v>1112</v>
      </c>
      <c r="N38" s="328"/>
      <c r="O38" s="335"/>
      <c r="P38" s="335"/>
      <c r="Q38" s="335"/>
      <c r="R38" s="335" t="s">
        <v>1112</v>
      </c>
      <c r="S38" s="335"/>
      <c r="T38" s="335"/>
      <c r="U38" s="335"/>
      <c r="V38" s="335" t="s">
        <v>1112</v>
      </c>
      <c r="W38" s="335"/>
      <c r="X38" s="461"/>
      <c r="Y38" s="353" t="s">
        <v>1112</v>
      </c>
      <c r="Z38" s="170"/>
      <c r="AA38" s="170"/>
      <c r="AB38" s="170"/>
      <c r="AC38" s="170"/>
      <c r="AD38" s="170"/>
      <c r="AE38" s="170"/>
      <c r="AF38" s="170"/>
      <c r="AG38" s="170"/>
      <c r="AH38" s="170"/>
      <c r="AI38" s="170"/>
      <c r="AJ38" s="170"/>
      <c r="AK38" s="170"/>
      <c r="AL38" s="170"/>
      <c r="AM38" s="170"/>
      <c r="AN38" s="170"/>
      <c r="AO38" s="170"/>
      <c r="AP38" s="170"/>
      <c r="AQ38" s="170"/>
      <c r="AR38" s="170"/>
    </row>
    <row r="39" spans="2:44" s="322" customFormat="1" ht="15.4" thickBot="1">
      <c r="B39" s="350"/>
      <c r="C39" s="333" t="s">
        <v>1114</v>
      </c>
      <c r="D39" s="325" t="s">
        <v>1113</v>
      </c>
      <c r="E39" s="326" t="s">
        <v>2</v>
      </c>
      <c r="F39" s="334" t="s">
        <v>1112</v>
      </c>
      <c r="G39" s="327" t="s">
        <v>1112</v>
      </c>
      <c r="H39" s="335" t="s">
        <v>1112</v>
      </c>
      <c r="I39" s="335" t="s">
        <v>1112</v>
      </c>
      <c r="J39" s="343"/>
      <c r="K39" s="343"/>
      <c r="L39" s="343"/>
      <c r="M39" s="335" t="s">
        <v>1112</v>
      </c>
      <c r="N39" s="328"/>
      <c r="O39" s="335"/>
      <c r="P39" s="335"/>
      <c r="Q39" s="335"/>
      <c r="R39" s="335" t="s">
        <v>1112</v>
      </c>
      <c r="S39" s="335"/>
      <c r="T39" s="335"/>
      <c r="U39" s="335"/>
      <c r="V39" s="335" t="s">
        <v>1112</v>
      </c>
      <c r="W39" s="335"/>
      <c r="X39" s="461"/>
      <c r="Y39" s="354" t="s">
        <v>1112</v>
      </c>
      <c r="Z39" s="171"/>
      <c r="AA39" s="171"/>
      <c r="AB39" s="170"/>
      <c r="AC39" s="170"/>
      <c r="AD39" s="170"/>
      <c r="AE39" s="170"/>
      <c r="AF39" s="170"/>
      <c r="AG39" s="170"/>
      <c r="AH39" s="170"/>
      <c r="AI39" s="170"/>
      <c r="AJ39" s="170"/>
      <c r="AK39" s="170"/>
      <c r="AL39" s="170"/>
      <c r="AM39" s="170"/>
      <c r="AN39" s="170"/>
      <c r="AO39" s="170"/>
      <c r="AP39" s="170"/>
      <c r="AQ39" s="170"/>
      <c r="AR39" s="170"/>
    </row>
    <row r="40" spans="2:44" s="310" customFormat="1" ht="18.399999999999999" thickBot="1">
      <c r="B40" s="1401" t="s">
        <v>1111</v>
      </c>
      <c r="C40" s="1401"/>
      <c r="D40" s="355"/>
      <c r="E40" s="355"/>
      <c r="F40" s="356"/>
      <c r="G40" s="357"/>
      <c r="H40" s="357"/>
      <c r="I40" s="357"/>
      <c r="J40" s="357"/>
      <c r="K40" s="358"/>
      <c r="L40" s="358"/>
      <c r="M40" s="358"/>
      <c r="N40" s="359"/>
      <c r="O40" s="357"/>
      <c r="P40" s="357"/>
      <c r="Q40" s="357"/>
      <c r="R40" s="357"/>
      <c r="S40" s="359"/>
      <c r="T40" s="357"/>
      <c r="U40" s="357"/>
      <c r="V40" s="357"/>
      <c r="W40" s="359"/>
      <c r="X40" s="359"/>
      <c r="Y40" s="360"/>
    </row>
    <row r="41" spans="2:44" s="310" customFormat="1"/>
    <row r="42" spans="2:44" s="310" customFormat="1"/>
    <row r="43" spans="2:44" s="310" customFormat="1">
      <c r="B43" s="310" t="s">
        <v>1110</v>
      </c>
    </row>
    <row r="44" spans="2:44" s="310" customFormat="1"/>
    <row r="45" spans="2:44" s="310" customFormat="1">
      <c r="B45" s="361" t="s">
        <v>1109</v>
      </c>
    </row>
    <row r="46" spans="2:44" s="310" customFormat="1">
      <c r="B46" s="362" t="s">
        <v>1108</v>
      </c>
    </row>
    <row r="47" spans="2:44" s="310" customFormat="1">
      <c r="B47" s="362"/>
    </row>
    <row r="48" spans="2:44" s="310" customFormat="1">
      <c r="B48" s="350" t="s">
        <v>1107</v>
      </c>
      <c r="G48" s="363"/>
      <c r="H48" s="363"/>
    </row>
    <row r="49" spans="2:9" s="310" customFormat="1">
      <c r="B49" s="362" t="s">
        <v>1106</v>
      </c>
    </row>
    <row r="50" spans="2:9">
      <c r="B50" s="169" t="s">
        <v>1105</v>
      </c>
    </row>
    <row r="51" spans="2:9">
      <c r="B51" s="168"/>
    </row>
    <row r="52" spans="2:9">
      <c r="B52" s="168" t="s">
        <v>1104</v>
      </c>
    </row>
    <row r="54" spans="2:9" ht="69" customHeight="1">
      <c r="C54" s="614" t="s">
        <v>1103</v>
      </c>
      <c r="D54" s="1402" t="s">
        <v>1102</v>
      </c>
      <c r="E54" s="1402"/>
      <c r="F54" s="1402"/>
      <c r="G54" s="1402"/>
      <c r="H54" s="1402"/>
      <c r="I54" s="1402"/>
    </row>
    <row r="55" spans="2:9" ht="69" customHeight="1">
      <c r="C55" s="614" t="s">
        <v>1101</v>
      </c>
      <c r="D55" s="1402" t="s">
        <v>1100</v>
      </c>
      <c r="E55" s="1402"/>
      <c r="F55" s="1402"/>
      <c r="G55" s="1402"/>
      <c r="H55" s="1402"/>
      <c r="I55" s="1402"/>
    </row>
    <row r="56" spans="2:9" ht="69" customHeight="1">
      <c r="C56" s="614" t="s">
        <v>1099</v>
      </c>
      <c r="D56" s="1403" t="s">
        <v>1098</v>
      </c>
      <c r="E56" s="1403"/>
      <c r="F56" s="1403"/>
      <c r="G56" s="1403"/>
      <c r="H56" s="1403"/>
      <c r="I56" s="1403"/>
    </row>
  </sheetData>
  <mergeCells count="4">
    <mergeCell ref="B40:C40"/>
    <mergeCell ref="D54:I54"/>
    <mergeCell ref="D55:I55"/>
    <mergeCell ref="D56:I56"/>
  </mergeCells>
  <pageMargins left="0.23622047244094491" right="0.23622047244094491" top="0.74803149606299213" bottom="0.74803149606299213" header="0.31496062992125984" footer="0.31496062992125984"/>
  <pageSetup paperSize="8" scale="26"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80" zoomScaleNormal="80" workbookViewId="0">
      <pane ySplit="4" topLeftCell="A5" activePane="bottomLeft" state="frozen"/>
      <selection activeCell="D31" sqref="D31"/>
      <selection pane="bottomLeft"/>
    </sheetView>
  </sheetViews>
  <sheetFormatPr defaultColWidth="10.265625" defaultRowHeight="12.75"/>
  <cols>
    <col min="1" max="1" width="18.265625" style="172" customWidth="1"/>
    <col min="2" max="2" width="34.265625" style="172" bestFit="1" customWidth="1"/>
    <col min="3" max="3" width="26.1328125" style="172" customWidth="1"/>
    <col min="4" max="5" width="24.3984375" style="159" customWidth="1"/>
    <col min="6" max="6" width="27.1328125" style="159" customWidth="1"/>
    <col min="7" max="295" width="10.265625" style="159"/>
    <col min="296" max="16384" width="10.265625" style="172"/>
  </cols>
  <sheetData>
    <row r="1" spans="1:296" s="73" customFormat="1" ht="23.25">
      <c r="A1" s="89" t="str">
        <f>'1.1 Cover'!A2</f>
        <v>Regulatory Reporting Pack</v>
      </c>
    </row>
    <row r="2" spans="1:296" s="73" customFormat="1" ht="23.25">
      <c r="A2" s="89" t="str">
        <f>'1.1 Cover'!A3</f>
        <v>Price base - 2018/19</v>
      </c>
    </row>
    <row r="3" spans="1:296" s="73" customFormat="1" ht="23.25">
      <c r="A3" s="89" t="str">
        <f>'1.1 Cover'!A4</f>
        <v>Regulatory Year: April 2021 - March 2022</v>
      </c>
    </row>
    <row r="4" spans="1:296" s="73" customFormat="1" ht="23.25">
      <c r="A4" s="89" t="s">
        <v>1074</v>
      </c>
    </row>
    <row r="5" spans="1:296" s="310" customFormat="1" ht="15">
      <c r="G5" s="313"/>
      <c r="H5" s="313"/>
      <c r="I5" s="313"/>
      <c r="J5" s="313"/>
      <c r="K5" s="313"/>
      <c r="L5" s="313"/>
      <c r="M5" s="313"/>
      <c r="N5" s="313"/>
      <c r="O5" s="313"/>
      <c r="P5" s="313"/>
      <c r="Q5" s="313"/>
      <c r="R5" s="313"/>
      <c r="S5" s="313"/>
      <c r="T5" s="313"/>
      <c r="U5" s="313"/>
      <c r="V5" s="313"/>
    </row>
    <row r="6" spans="1:296" s="310" customFormat="1" ht="15">
      <c r="G6" s="312"/>
      <c r="H6" s="313"/>
      <c r="I6" s="313"/>
      <c r="J6" s="313"/>
      <c r="K6" s="313"/>
      <c r="L6" s="313"/>
      <c r="M6" s="313"/>
      <c r="N6" s="313"/>
      <c r="O6" s="313"/>
      <c r="P6" s="313"/>
      <c r="Q6" s="313"/>
      <c r="R6" s="313"/>
      <c r="S6" s="313"/>
      <c r="T6" s="313"/>
      <c r="U6" s="313"/>
      <c r="V6" s="313"/>
      <c r="W6" s="313"/>
    </row>
    <row r="7" spans="1:296" s="310" customFormat="1" ht="15">
      <c r="H7" s="313"/>
      <c r="I7" s="313"/>
      <c r="J7" s="313"/>
      <c r="K7" s="313"/>
      <c r="L7" s="313"/>
      <c r="M7" s="313"/>
      <c r="N7" s="313"/>
      <c r="O7" s="313"/>
      <c r="P7" s="313"/>
      <c r="Q7" s="313"/>
      <c r="R7" s="313"/>
      <c r="S7" s="313"/>
      <c r="T7" s="313"/>
      <c r="U7" s="313"/>
      <c r="V7" s="313"/>
      <c r="W7" s="313"/>
    </row>
    <row r="8" spans="1:296" ht="13.15">
      <c r="A8" s="159"/>
      <c r="B8" s="377" t="s">
        <v>1148</v>
      </c>
      <c r="C8" s="159"/>
      <c r="KJ8" s="159"/>
    </row>
    <row r="9" spans="1:296" ht="13.15">
      <c r="A9" s="159"/>
      <c r="B9" s="378"/>
      <c r="C9" s="177" t="s">
        <v>1746</v>
      </c>
      <c r="D9" s="177" t="s">
        <v>1887</v>
      </c>
      <c r="E9" s="177" t="s">
        <v>1888</v>
      </c>
      <c r="F9" s="177" t="s">
        <v>1889</v>
      </c>
      <c r="KJ9" s="159"/>
    </row>
    <row r="10" spans="1:296" ht="13.15">
      <c r="A10" s="159"/>
      <c r="B10" s="177" t="s">
        <v>1147</v>
      </c>
      <c r="C10" s="177" t="s">
        <v>1070</v>
      </c>
      <c r="D10" s="177" t="s">
        <v>1172</v>
      </c>
      <c r="E10" s="177" t="s">
        <v>1172</v>
      </c>
      <c r="F10" s="177" t="s">
        <v>1172</v>
      </c>
      <c r="KJ10" s="159"/>
    </row>
    <row r="11" spans="1:296" ht="13.15">
      <c r="A11" s="159"/>
      <c r="B11" s="615">
        <v>44652</v>
      </c>
      <c r="C11" s="385" t="s">
        <v>1112</v>
      </c>
      <c r="D11" s="386" t="s">
        <v>1112</v>
      </c>
      <c r="E11" s="386" t="s">
        <v>1112</v>
      </c>
      <c r="F11" s="386" t="s">
        <v>1112</v>
      </c>
      <c r="KJ11" s="159"/>
    </row>
    <row r="12" spans="1:296" ht="13.15">
      <c r="A12" s="159"/>
      <c r="B12" s="616">
        <v>44652</v>
      </c>
      <c r="C12" s="379" t="s">
        <v>1112</v>
      </c>
      <c r="D12" s="380" t="s">
        <v>1112</v>
      </c>
      <c r="E12" s="380" t="s">
        <v>1112</v>
      </c>
      <c r="F12" s="380" t="s">
        <v>1112</v>
      </c>
      <c r="KJ12" s="159"/>
    </row>
    <row r="13" spans="1:296" ht="13.15">
      <c r="A13" s="159"/>
      <c r="B13" s="381">
        <f t="shared" ref="B13:B76" si="0">B12+1</f>
        <v>44653</v>
      </c>
      <c r="C13" s="379" t="s">
        <v>1112</v>
      </c>
      <c r="D13" s="380" t="s">
        <v>1112</v>
      </c>
      <c r="E13" s="380" t="s">
        <v>1112</v>
      </c>
      <c r="F13" s="380" t="s">
        <v>1112</v>
      </c>
      <c r="KJ13" s="159"/>
    </row>
    <row r="14" spans="1:296" ht="13.15">
      <c r="A14" s="159"/>
      <c r="B14" s="381">
        <f t="shared" si="0"/>
        <v>44654</v>
      </c>
      <c r="C14" s="379" t="s">
        <v>1112</v>
      </c>
      <c r="D14" s="380" t="s">
        <v>1112</v>
      </c>
      <c r="E14" s="380" t="s">
        <v>1112</v>
      </c>
      <c r="F14" s="380" t="s">
        <v>1112</v>
      </c>
      <c r="KJ14" s="159"/>
    </row>
    <row r="15" spans="1:296" ht="13.15">
      <c r="A15" s="159"/>
      <c r="B15" s="381">
        <f t="shared" si="0"/>
        <v>44655</v>
      </c>
      <c r="C15" s="379" t="s">
        <v>1112</v>
      </c>
      <c r="D15" s="380" t="s">
        <v>1112</v>
      </c>
      <c r="E15" s="380" t="s">
        <v>1112</v>
      </c>
      <c r="F15" s="380" t="s">
        <v>1112</v>
      </c>
      <c r="I15" s="1404" t="s">
        <v>1108</v>
      </c>
      <c r="J15" s="1404"/>
      <c r="K15" s="1404"/>
      <c r="L15" s="1404"/>
      <c r="M15" s="1404"/>
      <c r="KJ15" s="159"/>
    </row>
    <row r="16" spans="1:296" ht="13.15">
      <c r="A16" s="159"/>
      <c r="B16" s="381">
        <f t="shared" si="0"/>
        <v>44656</v>
      </c>
      <c r="C16" s="379" t="s">
        <v>1112</v>
      </c>
      <c r="D16" s="380" t="s">
        <v>1112</v>
      </c>
      <c r="E16" s="380" t="s">
        <v>1112</v>
      </c>
      <c r="F16" s="380" t="s">
        <v>1112</v>
      </c>
      <c r="KJ16" s="159"/>
    </row>
    <row r="17" spans="1:296" ht="15">
      <c r="A17" s="159"/>
      <c r="B17" s="381">
        <f t="shared" si="0"/>
        <v>44657</v>
      </c>
      <c r="C17" s="379" t="s">
        <v>1112</v>
      </c>
      <c r="D17" s="380" t="s">
        <v>1112</v>
      </c>
      <c r="E17" s="380" t="s">
        <v>1112</v>
      </c>
      <c r="F17" s="380" t="s">
        <v>1112</v>
      </c>
      <c r="I17" s="310" t="s">
        <v>1107</v>
      </c>
      <c r="KJ17" s="159"/>
    </row>
    <row r="18" spans="1:296" ht="15">
      <c r="A18" s="159"/>
      <c r="B18" s="381">
        <f t="shared" si="0"/>
        <v>44658</v>
      </c>
      <c r="C18" s="379" t="s">
        <v>1112</v>
      </c>
      <c r="D18" s="380" t="s">
        <v>1112</v>
      </c>
      <c r="E18" s="380" t="s">
        <v>1112</v>
      </c>
      <c r="F18" s="380" t="s">
        <v>1112</v>
      </c>
      <c r="I18" s="376" t="s">
        <v>1146</v>
      </c>
      <c r="KJ18" s="159"/>
    </row>
    <row r="19" spans="1:296" ht="15">
      <c r="A19" s="159"/>
      <c r="B19" s="381">
        <f t="shared" si="0"/>
        <v>44659</v>
      </c>
      <c r="C19" s="379" t="s">
        <v>1112</v>
      </c>
      <c r="D19" s="380" t="s">
        <v>1112</v>
      </c>
      <c r="E19" s="380" t="s">
        <v>1112</v>
      </c>
      <c r="F19" s="380" t="s">
        <v>1112</v>
      </c>
      <c r="I19" s="376" t="s">
        <v>1145</v>
      </c>
      <c r="KJ19" s="159"/>
    </row>
    <row r="20" spans="1:296" ht="13.15">
      <c r="A20" s="159"/>
      <c r="B20" s="381">
        <f t="shared" si="0"/>
        <v>44660</v>
      </c>
      <c r="C20" s="379" t="s">
        <v>1112</v>
      </c>
      <c r="D20" s="380" t="s">
        <v>1112</v>
      </c>
      <c r="E20" s="380" t="s">
        <v>1112</v>
      </c>
      <c r="F20" s="380" t="s">
        <v>1112</v>
      </c>
      <c r="KJ20" s="159"/>
    </row>
    <row r="21" spans="1:296" ht="13.15">
      <c r="A21" s="159"/>
      <c r="B21" s="381">
        <f t="shared" si="0"/>
        <v>44661</v>
      </c>
      <c r="C21" s="379" t="s">
        <v>1112</v>
      </c>
      <c r="D21" s="380" t="s">
        <v>1112</v>
      </c>
      <c r="E21" s="380" t="s">
        <v>1112</v>
      </c>
      <c r="F21" s="380" t="s">
        <v>1112</v>
      </c>
      <c r="KJ21" s="159"/>
    </row>
    <row r="22" spans="1:296" ht="13.15">
      <c r="A22" s="159"/>
      <c r="B22" s="381">
        <f t="shared" si="0"/>
        <v>44662</v>
      </c>
      <c r="C22" s="379" t="s">
        <v>1112</v>
      </c>
      <c r="D22" s="380" t="s">
        <v>1112</v>
      </c>
      <c r="E22" s="380" t="s">
        <v>1112</v>
      </c>
      <c r="F22" s="380" t="s">
        <v>1112</v>
      </c>
      <c r="KJ22" s="159"/>
    </row>
    <row r="23" spans="1:296" ht="13.15">
      <c r="A23" s="159"/>
      <c r="B23" s="381">
        <f t="shared" si="0"/>
        <v>44663</v>
      </c>
      <c r="C23" s="379" t="s">
        <v>1112</v>
      </c>
      <c r="D23" s="380" t="s">
        <v>1112</v>
      </c>
      <c r="E23" s="380" t="s">
        <v>1112</v>
      </c>
      <c r="F23" s="380" t="s">
        <v>1112</v>
      </c>
      <c r="KJ23" s="159"/>
    </row>
    <row r="24" spans="1:296" ht="13.15">
      <c r="A24" s="159"/>
      <c r="B24" s="381">
        <f t="shared" si="0"/>
        <v>44664</v>
      </c>
      <c r="C24" s="379" t="s">
        <v>1112</v>
      </c>
      <c r="D24" s="380" t="s">
        <v>1112</v>
      </c>
      <c r="E24" s="380" t="s">
        <v>1112</v>
      </c>
      <c r="F24" s="380" t="s">
        <v>1112</v>
      </c>
      <c r="KJ24" s="159"/>
    </row>
    <row r="25" spans="1:296">
      <c r="A25" s="159"/>
      <c r="B25" s="381">
        <f t="shared" si="0"/>
        <v>44665</v>
      </c>
      <c r="C25" s="382" t="s">
        <v>1747</v>
      </c>
      <c r="D25" s="383" t="s">
        <v>1747</v>
      </c>
      <c r="E25" s="383" t="s">
        <v>1747</v>
      </c>
      <c r="F25" s="383" t="s">
        <v>1747</v>
      </c>
      <c r="KJ25" s="159"/>
    </row>
    <row r="26" spans="1:296">
      <c r="A26" s="159"/>
      <c r="B26" s="381">
        <f t="shared" si="0"/>
        <v>44666</v>
      </c>
      <c r="C26" s="382"/>
      <c r="D26" s="383"/>
      <c r="E26" s="383"/>
      <c r="F26" s="383"/>
      <c r="KJ26" s="159"/>
    </row>
    <row r="27" spans="1:296">
      <c r="A27" s="159"/>
      <c r="B27" s="381">
        <f t="shared" si="0"/>
        <v>44667</v>
      </c>
      <c r="C27" s="382"/>
      <c r="D27" s="383"/>
      <c r="E27" s="383"/>
      <c r="F27" s="383"/>
      <c r="KJ27" s="159"/>
    </row>
    <row r="28" spans="1:296">
      <c r="A28" s="159"/>
      <c r="B28" s="381">
        <f t="shared" si="0"/>
        <v>44668</v>
      </c>
      <c r="C28" s="382"/>
      <c r="D28" s="383"/>
      <c r="E28" s="383"/>
      <c r="F28" s="383"/>
      <c r="KJ28" s="159"/>
    </row>
    <row r="29" spans="1:296">
      <c r="A29" s="159"/>
      <c r="B29" s="381">
        <f t="shared" si="0"/>
        <v>44669</v>
      </c>
      <c r="C29" s="382"/>
      <c r="D29" s="383"/>
      <c r="E29" s="383"/>
      <c r="F29" s="383"/>
      <c r="KJ29" s="159"/>
    </row>
    <row r="30" spans="1:296">
      <c r="A30" s="159"/>
      <c r="B30" s="381">
        <f t="shared" si="0"/>
        <v>44670</v>
      </c>
      <c r="C30" s="382"/>
      <c r="D30" s="383"/>
      <c r="E30" s="383"/>
      <c r="F30" s="383"/>
      <c r="KJ30" s="159"/>
    </row>
    <row r="31" spans="1:296">
      <c r="A31" s="159"/>
      <c r="B31" s="381">
        <f t="shared" si="0"/>
        <v>44671</v>
      </c>
      <c r="C31" s="178"/>
      <c r="D31" s="384"/>
      <c r="E31" s="384"/>
      <c r="F31" s="384"/>
      <c r="KJ31" s="159"/>
    </row>
    <row r="32" spans="1:296">
      <c r="A32" s="159"/>
      <c r="B32" s="381">
        <f t="shared" si="0"/>
        <v>44672</v>
      </c>
      <c r="C32" s="178"/>
      <c r="D32" s="384"/>
      <c r="E32" s="384"/>
      <c r="F32" s="384"/>
      <c r="KJ32" s="159"/>
    </row>
    <row r="33" spans="1:296">
      <c r="A33" s="159"/>
      <c r="B33" s="381">
        <f t="shared" si="0"/>
        <v>44673</v>
      </c>
      <c r="C33" s="178"/>
      <c r="D33" s="384"/>
      <c r="E33" s="384"/>
      <c r="F33" s="384"/>
      <c r="KJ33" s="159"/>
    </row>
    <row r="34" spans="1:296">
      <c r="A34" s="159"/>
      <c r="B34" s="381">
        <f t="shared" si="0"/>
        <v>44674</v>
      </c>
      <c r="C34" s="178"/>
      <c r="D34" s="384"/>
      <c r="E34" s="384"/>
      <c r="F34" s="384"/>
      <c r="KJ34" s="159"/>
    </row>
    <row r="35" spans="1:296">
      <c r="A35" s="159"/>
      <c r="B35" s="381">
        <f t="shared" si="0"/>
        <v>44675</v>
      </c>
      <c r="C35" s="178"/>
      <c r="D35" s="384"/>
      <c r="E35" s="384"/>
      <c r="F35" s="384"/>
      <c r="KJ35" s="159"/>
    </row>
    <row r="36" spans="1:296">
      <c r="A36" s="159"/>
      <c r="B36" s="381">
        <f t="shared" si="0"/>
        <v>44676</v>
      </c>
      <c r="C36" s="178"/>
      <c r="D36" s="384"/>
      <c r="E36" s="384"/>
      <c r="F36" s="384"/>
      <c r="KJ36" s="159"/>
    </row>
    <row r="37" spans="1:296">
      <c r="A37" s="159"/>
      <c r="B37" s="381">
        <f t="shared" si="0"/>
        <v>44677</v>
      </c>
      <c r="C37" s="178"/>
      <c r="D37" s="384"/>
      <c r="E37" s="384"/>
      <c r="F37" s="384"/>
      <c r="KJ37" s="159"/>
    </row>
    <row r="38" spans="1:296">
      <c r="A38" s="159"/>
      <c r="B38" s="381">
        <f t="shared" si="0"/>
        <v>44678</v>
      </c>
      <c r="C38" s="178"/>
      <c r="D38" s="384"/>
      <c r="E38" s="384"/>
      <c r="F38" s="384"/>
      <c r="KJ38" s="159"/>
    </row>
    <row r="39" spans="1:296">
      <c r="A39" s="159"/>
      <c r="B39" s="381">
        <f t="shared" si="0"/>
        <v>44679</v>
      </c>
      <c r="C39" s="178"/>
      <c r="D39" s="384"/>
      <c r="E39" s="384"/>
      <c r="F39" s="384"/>
      <c r="KJ39" s="159"/>
    </row>
    <row r="40" spans="1:296">
      <c r="A40" s="159"/>
      <c r="B40" s="381">
        <f t="shared" si="0"/>
        <v>44680</v>
      </c>
      <c r="C40" s="178"/>
      <c r="D40" s="384"/>
      <c r="E40" s="384"/>
      <c r="F40" s="384"/>
      <c r="KJ40" s="159"/>
    </row>
    <row r="41" spans="1:296" ht="13.15">
      <c r="A41" s="159"/>
      <c r="B41" s="381">
        <f t="shared" si="0"/>
        <v>44681</v>
      </c>
      <c r="C41" s="385"/>
      <c r="D41" s="386"/>
      <c r="E41" s="386"/>
      <c r="F41" s="386"/>
      <c r="KJ41" s="159"/>
    </row>
    <row r="42" spans="1:296" ht="13.15">
      <c r="A42" s="159"/>
      <c r="B42" s="617">
        <v>44682</v>
      </c>
      <c r="C42" s="385" t="s">
        <v>1112</v>
      </c>
      <c r="D42" s="386" t="s">
        <v>1112</v>
      </c>
      <c r="E42" s="386" t="s">
        <v>1112</v>
      </c>
      <c r="F42" s="386" t="s">
        <v>1112</v>
      </c>
      <c r="KJ42" s="159"/>
    </row>
    <row r="43" spans="1:296">
      <c r="A43" s="159"/>
      <c r="B43" s="381">
        <f>B41+1</f>
        <v>44682</v>
      </c>
      <c r="C43" s="178"/>
      <c r="D43" s="384"/>
      <c r="E43" s="384"/>
      <c r="F43" s="384"/>
      <c r="KJ43" s="159"/>
    </row>
    <row r="44" spans="1:296">
      <c r="A44" s="159"/>
      <c r="B44" s="381">
        <f t="shared" si="0"/>
        <v>44683</v>
      </c>
      <c r="C44" s="178"/>
      <c r="D44" s="384"/>
      <c r="E44" s="384"/>
      <c r="F44" s="384"/>
      <c r="KJ44" s="159"/>
    </row>
    <row r="45" spans="1:296">
      <c r="A45" s="159"/>
      <c r="B45" s="381">
        <f t="shared" si="0"/>
        <v>44684</v>
      </c>
      <c r="C45" s="178"/>
      <c r="D45" s="384"/>
      <c r="E45" s="384"/>
      <c r="F45" s="384"/>
      <c r="KJ45" s="159"/>
    </row>
    <row r="46" spans="1:296">
      <c r="A46" s="159"/>
      <c r="B46" s="381">
        <f t="shared" si="0"/>
        <v>44685</v>
      </c>
      <c r="C46" s="178"/>
      <c r="D46" s="384"/>
      <c r="E46" s="384"/>
      <c r="F46" s="384"/>
      <c r="KJ46" s="159"/>
    </row>
    <row r="47" spans="1:296">
      <c r="A47" s="159"/>
      <c r="B47" s="381">
        <f t="shared" si="0"/>
        <v>44686</v>
      </c>
      <c r="C47" s="178"/>
      <c r="D47" s="384"/>
      <c r="E47" s="384"/>
      <c r="F47" s="384"/>
      <c r="KJ47" s="159"/>
    </row>
    <row r="48" spans="1:296">
      <c r="A48" s="159"/>
      <c r="B48" s="381">
        <f t="shared" si="0"/>
        <v>44687</v>
      </c>
      <c r="C48" s="178"/>
      <c r="D48" s="384"/>
      <c r="E48" s="384"/>
      <c r="F48" s="384"/>
      <c r="KJ48" s="159"/>
    </row>
    <row r="49" spans="1:296">
      <c r="A49" s="159"/>
      <c r="B49" s="381">
        <f t="shared" si="0"/>
        <v>44688</v>
      </c>
      <c r="C49" s="178"/>
      <c r="D49" s="384"/>
      <c r="E49" s="384"/>
      <c r="F49" s="384"/>
      <c r="KJ49" s="159"/>
    </row>
    <row r="50" spans="1:296">
      <c r="A50" s="159"/>
      <c r="B50" s="381">
        <f t="shared" si="0"/>
        <v>44689</v>
      </c>
      <c r="C50" s="178"/>
      <c r="D50" s="384"/>
      <c r="E50" s="384"/>
      <c r="F50" s="384"/>
      <c r="KJ50" s="159"/>
    </row>
    <row r="51" spans="1:296">
      <c r="A51" s="159"/>
      <c r="B51" s="381">
        <f t="shared" si="0"/>
        <v>44690</v>
      </c>
      <c r="C51" s="178"/>
      <c r="D51" s="384"/>
      <c r="E51" s="384"/>
      <c r="F51" s="384"/>
      <c r="KJ51" s="159"/>
    </row>
    <row r="52" spans="1:296">
      <c r="A52" s="159"/>
      <c r="B52" s="381">
        <f t="shared" si="0"/>
        <v>44691</v>
      </c>
      <c r="C52" s="178"/>
      <c r="D52" s="384"/>
      <c r="E52" s="384"/>
      <c r="F52" s="384"/>
      <c r="KJ52" s="159"/>
    </row>
    <row r="53" spans="1:296">
      <c r="A53" s="159"/>
      <c r="B53" s="381">
        <f t="shared" si="0"/>
        <v>44692</v>
      </c>
      <c r="C53" s="178"/>
      <c r="D53" s="384"/>
      <c r="E53" s="384"/>
      <c r="F53" s="384"/>
      <c r="KJ53" s="159"/>
    </row>
    <row r="54" spans="1:296">
      <c r="A54" s="159"/>
      <c r="B54" s="381">
        <f t="shared" si="0"/>
        <v>44693</v>
      </c>
      <c r="C54" s="178"/>
      <c r="D54" s="384"/>
      <c r="E54" s="384"/>
      <c r="F54" s="384"/>
      <c r="KJ54" s="159"/>
    </row>
    <row r="55" spans="1:296">
      <c r="A55" s="159"/>
      <c r="B55" s="381">
        <f t="shared" si="0"/>
        <v>44694</v>
      </c>
      <c r="C55" s="178"/>
      <c r="D55" s="384"/>
      <c r="E55" s="384"/>
      <c r="F55" s="384"/>
      <c r="KJ55" s="159"/>
    </row>
    <row r="56" spans="1:296">
      <c r="A56" s="159"/>
      <c r="B56" s="381">
        <f t="shared" si="0"/>
        <v>44695</v>
      </c>
      <c r="C56" s="178"/>
      <c r="D56" s="384"/>
      <c r="E56" s="384"/>
      <c r="F56" s="384"/>
      <c r="KJ56" s="159"/>
    </row>
    <row r="57" spans="1:296">
      <c r="A57" s="159"/>
      <c r="B57" s="381">
        <f t="shared" si="0"/>
        <v>44696</v>
      </c>
      <c r="C57" s="178"/>
      <c r="D57" s="384"/>
      <c r="E57" s="384"/>
      <c r="F57" s="384"/>
      <c r="KJ57" s="159"/>
    </row>
    <row r="58" spans="1:296">
      <c r="A58" s="159"/>
      <c r="B58" s="381">
        <f t="shared" si="0"/>
        <v>44697</v>
      </c>
      <c r="C58" s="178"/>
      <c r="D58" s="384"/>
      <c r="E58" s="384"/>
      <c r="F58" s="384"/>
      <c r="KJ58" s="159"/>
    </row>
    <row r="59" spans="1:296">
      <c r="A59" s="159"/>
      <c r="B59" s="381">
        <f t="shared" si="0"/>
        <v>44698</v>
      </c>
      <c r="C59" s="178"/>
      <c r="D59" s="384"/>
      <c r="E59" s="384"/>
      <c r="F59" s="384"/>
      <c r="KJ59" s="159"/>
    </row>
    <row r="60" spans="1:296">
      <c r="A60" s="159"/>
      <c r="B60" s="381">
        <f t="shared" si="0"/>
        <v>44699</v>
      </c>
      <c r="C60" s="178"/>
      <c r="D60" s="384"/>
      <c r="E60" s="384"/>
      <c r="F60" s="384"/>
      <c r="KJ60" s="159"/>
    </row>
    <row r="61" spans="1:296">
      <c r="A61" s="159"/>
      <c r="B61" s="381">
        <f t="shared" si="0"/>
        <v>44700</v>
      </c>
      <c r="C61" s="178"/>
      <c r="D61" s="384"/>
      <c r="E61" s="384"/>
      <c r="F61" s="384"/>
      <c r="KJ61" s="159"/>
    </row>
    <row r="62" spans="1:296">
      <c r="A62" s="159"/>
      <c r="B62" s="381">
        <f t="shared" si="0"/>
        <v>44701</v>
      </c>
      <c r="C62" s="178"/>
      <c r="D62" s="384"/>
      <c r="E62" s="384"/>
      <c r="F62" s="384"/>
      <c r="KJ62" s="159"/>
    </row>
    <row r="63" spans="1:296">
      <c r="A63" s="159"/>
      <c r="B63" s="381">
        <f t="shared" si="0"/>
        <v>44702</v>
      </c>
      <c r="C63" s="178"/>
      <c r="D63" s="384"/>
      <c r="E63" s="384"/>
      <c r="F63" s="384"/>
      <c r="KJ63" s="159"/>
    </row>
    <row r="64" spans="1:296">
      <c r="A64" s="159"/>
      <c r="B64" s="381">
        <f t="shared" si="0"/>
        <v>44703</v>
      </c>
      <c r="C64" s="178"/>
      <c r="D64" s="384"/>
      <c r="E64" s="384"/>
      <c r="F64" s="384"/>
      <c r="KJ64" s="159"/>
    </row>
    <row r="65" spans="1:296">
      <c r="A65" s="159"/>
      <c r="B65" s="381">
        <f t="shared" si="0"/>
        <v>44704</v>
      </c>
      <c r="C65" s="178"/>
      <c r="D65" s="384"/>
      <c r="E65" s="384"/>
      <c r="F65" s="384"/>
      <c r="KJ65" s="159"/>
    </row>
    <row r="66" spans="1:296">
      <c r="A66" s="159"/>
      <c r="B66" s="381">
        <f t="shared" si="0"/>
        <v>44705</v>
      </c>
      <c r="C66" s="406"/>
      <c r="D66" s="407"/>
      <c r="E66" s="407"/>
      <c r="F66" s="407"/>
      <c r="KJ66" s="159"/>
    </row>
    <row r="67" spans="1:296">
      <c r="A67" s="159"/>
      <c r="B67" s="381">
        <f t="shared" si="0"/>
        <v>44706</v>
      </c>
      <c r="C67" s="406"/>
      <c r="D67" s="407"/>
      <c r="E67" s="407"/>
      <c r="F67" s="407"/>
      <c r="KJ67" s="159"/>
    </row>
    <row r="68" spans="1:296">
      <c r="A68" s="159"/>
      <c r="B68" s="381">
        <f t="shared" si="0"/>
        <v>44707</v>
      </c>
      <c r="C68" s="408"/>
      <c r="D68" s="409"/>
      <c r="E68" s="409"/>
      <c r="F68" s="409"/>
      <c r="KJ68" s="159"/>
    </row>
    <row r="69" spans="1:296">
      <c r="A69" s="159"/>
      <c r="B69" s="381">
        <f t="shared" si="0"/>
        <v>44708</v>
      </c>
      <c r="C69" s="406"/>
      <c r="D69" s="407"/>
      <c r="E69" s="407"/>
      <c r="F69" s="407"/>
      <c r="KJ69" s="159"/>
    </row>
    <row r="70" spans="1:296">
      <c r="A70" s="159"/>
      <c r="B70" s="381">
        <f t="shared" si="0"/>
        <v>44709</v>
      </c>
      <c r="C70" s="178"/>
      <c r="D70" s="384"/>
      <c r="E70" s="384"/>
      <c r="F70" s="384"/>
      <c r="KJ70" s="159"/>
    </row>
    <row r="71" spans="1:296">
      <c r="A71" s="159"/>
      <c r="B71" s="381">
        <f t="shared" si="0"/>
        <v>44710</v>
      </c>
      <c r="C71" s="178"/>
      <c r="D71" s="384"/>
      <c r="E71" s="384"/>
      <c r="F71" s="384"/>
      <c r="KJ71" s="159"/>
    </row>
    <row r="72" spans="1:296">
      <c r="A72" s="159"/>
      <c r="B72" s="381">
        <f t="shared" si="0"/>
        <v>44711</v>
      </c>
      <c r="C72" s="178"/>
      <c r="D72" s="384"/>
      <c r="E72" s="384"/>
      <c r="F72" s="384"/>
      <c r="KJ72" s="159"/>
    </row>
    <row r="73" spans="1:296" ht="13.15">
      <c r="A73" s="159"/>
      <c r="B73" s="381">
        <f t="shared" si="0"/>
        <v>44712</v>
      </c>
      <c r="C73" s="385"/>
      <c r="D73" s="386"/>
      <c r="E73" s="386"/>
      <c r="F73" s="386"/>
      <c r="KJ73" s="159"/>
    </row>
    <row r="74" spans="1:296" ht="13.15">
      <c r="A74" s="159"/>
      <c r="B74" s="617">
        <v>44713</v>
      </c>
      <c r="C74" s="385" t="s">
        <v>1112</v>
      </c>
      <c r="D74" s="386" t="s">
        <v>1112</v>
      </c>
      <c r="E74" s="386" t="s">
        <v>1112</v>
      </c>
      <c r="F74" s="386" t="s">
        <v>1112</v>
      </c>
      <c r="KJ74" s="159"/>
    </row>
    <row r="75" spans="1:296">
      <c r="A75" s="159"/>
      <c r="B75" s="381">
        <f>B73+1</f>
        <v>44713</v>
      </c>
      <c r="C75" s="178"/>
      <c r="D75" s="384"/>
      <c r="E75" s="384"/>
      <c r="F75" s="384"/>
      <c r="KJ75" s="159"/>
    </row>
    <row r="76" spans="1:296">
      <c r="A76" s="159"/>
      <c r="B76" s="381">
        <f t="shared" si="0"/>
        <v>44714</v>
      </c>
      <c r="C76" s="178"/>
      <c r="D76" s="384"/>
      <c r="E76" s="384"/>
      <c r="F76" s="384"/>
      <c r="KJ76" s="159"/>
    </row>
    <row r="77" spans="1:296">
      <c r="A77" s="159"/>
      <c r="B77" s="381">
        <f t="shared" ref="B77:B140" si="1">B76+1</f>
        <v>44715</v>
      </c>
      <c r="C77" s="178"/>
      <c r="D77" s="384"/>
      <c r="E77" s="384"/>
      <c r="F77" s="384"/>
      <c r="KJ77" s="159"/>
    </row>
    <row r="78" spans="1:296">
      <c r="A78" s="159"/>
      <c r="B78" s="381">
        <f t="shared" si="1"/>
        <v>44716</v>
      </c>
      <c r="C78" s="178"/>
      <c r="D78" s="384"/>
      <c r="E78" s="384"/>
      <c r="F78" s="384"/>
      <c r="KJ78" s="159"/>
    </row>
    <row r="79" spans="1:296">
      <c r="A79" s="159"/>
      <c r="B79" s="381">
        <f t="shared" si="1"/>
        <v>44717</v>
      </c>
      <c r="C79" s="178"/>
      <c r="D79" s="384"/>
      <c r="E79" s="384"/>
      <c r="F79" s="384"/>
      <c r="KJ79" s="159"/>
    </row>
    <row r="80" spans="1:296">
      <c r="A80" s="159"/>
      <c r="B80" s="381">
        <f t="shared" si="1"/>
        <v>44718</v>
      </c>
      <c r="C80" s="178"/>
      <c r="D80" s="384"/>
      <c r="E80" s="384"/>
      <c r="F80" s="384"/>
      <c r="KJ80" s="159"/>
    </row>
    <row r="81" spans="1:296">
      <c r="A81" s="159"/>
      <c r="B81" s="381">
        <f t="shared" si="1"/>
        <v>44719</v>
      </c>
      <c r="C81" s="178"/>
      <c r="D81" s="384"/>
      <c r="E81" s="384"/>
      <c r="F81" s="384"/>
      <c r="KJ81" s="159"/>
    </row>
    <row r="82" spans="1:296">
      <c r="A82" s="159"/>
      <c r="B82" s="381">
        <f t="shared" si="1"/>
        <v>44720</v>
      </c>
      <c r="C82" s="178"/>
      <c r="D82" s="384"/>
      <c r="E82" s="384"/>
      <c r="F82" s="384"/>
      <c r="KJ82" s="159"/>
    </row>
    <row r="83" spans="1:296">
      <c r="A83" s="159"/>
      <c r="B83" s="381">
        <f t="shared" si="1"/>
        <v>44721</v>
      </c>
      <c r="C83" s="178"/>
      <c r="D83" s="384"/>
      <c r="E83" s="384"/>
      <c r="F83" s="384"/>
      <c r="KJ83" s="159"/>
    </row>
    <row r="84" spans="1:296">
      <c r="A84" s="159"/>
      <c r="B84" s="381">
        <f t="shared" si="1"/>
        <v>44722</v>
      </c>
      <c r="C84" s="178"/>
      <c r="D84" s="384"/>
      <c r="E84" s="384"/>
      <c r="F84" s="384"/>
      <c r="KJ84" s="159"/>
    </row>
    <row r="85" spans="1:296">
      <c r="A85" s="159"/>
      <c r="B85" s="381">
        <f t="shared" si="1"/>
        <v>44723</v>
      </c>
      <c r="C85" s="178"/>
      <c r="D85" s="384"/>
      <c r="E85" s="384"/>
      <c r="F85" s="384"/>
      <c r="KJ85" s="159"/>
    </row>
    <row r="86" spans="1:296">
      <c r="A86" s="159"/>
      <c r="B86" s="381">
        <f t="shared" si="1"/>
        <v>44724</v>
      </c>
      <c r="C86" s="178"/>
      <c r="D86" s="384"/>
      <c r="E86" s="384"/>
      <c r="F86" s="384"/>
      <c r="KJ86" s="159"/>
    </row>
    <row r="87" spans="1:296">
      <c r="A87" s="159"/>
      <c r="B87" s="381">
        <f t="shared" si="1"/>
        <v>44725</v>
      </c>
      <c r="C87" s="178"/>
      <c r="D87" s="384"/>
      <c r="E87" s="384"/>
      <c r="F87" s="384"/>
      <c r="KJ87" s="159"/>
    </row>
    <row r="88" spans="1:296">
      <c r="A88" s="159"/>
      <c r="B88" s="381">
        <f t="shared" si="1"/>
        <v>44726</v>
      </c>
      <c r="C88" s="178"/>
      <c r="D88" s="384"/>
      <c r="E88" s="384"/>
      <c r="F88" s="384"/>
      <c r="KJ88" s="159"/>
    </row>
    <row r="89" spans="1:296">
      <c r="A89" s="159"/>
      <c r="B89" s="381">
        <f t="shared" si="1"/>
        <v>44727</v>
      </c>
      <c r="C89" s="178"/>
      <c r="D89" s="384"/>
      <c r="E89" s="384"/>
      <c r="F89" s="384"/>
      <c r="KJ89" s="159"/>
    </row>
    <row r="90" spans="1:296">
      <c r="A90" s="159"/>
      <c r="B90" s="381">
        <f t="shared" si="1"/>
        <v>44728</v>
      </c>
      <c r="C90" s="178"/>
      <c r="D90" s="384"/>
      <c r="E90" s="384"/>
      <c r="F90" s="384"/>
      <c r="KJ90" s="159"/>
    </row>
    <row r="91" spans="1:296">
      <c r="A91" s="159"/>
      <c r="B91" s="381">
        <f t="shared" si="1"/>
        <v>44729</v>
      </c>
      <c r="C91" s="178"/>
      <c r="D91" s="384"/>
      <c r="E91" s="384"/>
      <c r="F91" s="384"/>
      <c r="KJ91" s="159"/>
    </row>
    <row r="92" spans="1:296">
      <c r="A92" s="159"/>
      <c r="B92" s="381">
        <f t="shared" si="1"/>
        <v>44730</v>
      </c>
      <c r="C92" s="178"/>
      <c r="D92" s="384"/>
      <c r="E92" s="384"/>
      <c r="F92" s="384"/>
      <c r="KJ92" s="159"/>
    </row>
    <row r="93" spans="1:296">
      <c r="A93" s="159"/>
      <c r="B93" s="381">
        <f t="shared" si="1"/>
        <v>44731</v>
      </c>
      <c r="C93" s="178"/>
      <c r="D93" s="384"/>
      <c r="E93" s="384"/>
      <c r="F93" s="384"/>
      <c r="KJ93" s="159"/>
    </row>
    <row r="94" spans="1:296">
      <c r="A94" s="159"/>
      <c r="B94" s="381">
        <f t="shared" si="1"/>
        <v>44732</v>
      </c>
      <c r="C94" s="178"/>
      <c r="D94" s="384"/>
      <c r="E94" s="384"/>
      <c r="F94" s="384"/>
      <c r="KJ94" s="159"/>
    </row>
    <row r="95" spans="1:296">
      <c r="A95" s="159"/>
      <c r="B95" s="381">
        <f t="shared" si="1"/>
        <v>44733</v>
      </c>
      <c r="C95" s="178"/>
      <c r="D95" s="384"/>
      <c r="E95" s="384"/>
      <c r="F95" s="384"/>
      <c r="KJ95" s="159"/>
    </row>
    <row r="96" spans="1:296">
      <c r="A96" s="159"/>
      <c r="B96" s="381">
        <f t="shared" si="1"/>
        <v>44734</v>
      </c>
      <c r="C96" s="178"/>
      <c r="D96" s="384"/>
      <c r="E96" s="384"/>
      <c r="F96" s="384"/>
      <c r="KJ96" s="159"/>
    </row>
    <row r="97" spans="1:296">
      <c r="A97" s="159"/>
      <c r="B97" s="381">
        <f t="shared" si="1"/>
        <v>44735</v>
      </c>
      <c r="C97" s="178"/>
      <c r="D97" s="384"/>
      <c r="E97" s="384"/>
      <c r="F97" s="384"/>
      <c r="KJ97" s="159"/>
    </row>
    <row r="98" spans="1:296">
      <c r="A98" s="159"/>
      <c r="B98" s="381">
        <f t="shared" si="1"/>
        <v>44736</v>
      </c>
      <c r="C98" s="178"/>
      <c r="D98" s="384"/>
      <c r="E98" s="384"/>
      <c r="F98" s="384"/>
      <c r="KJ98" s="159"/>
    </row>
    <row r="99" spans="1:296">
      <c r="A99" s="159"/>
      <c r="B99" s="381">
        <f t="shared" si="1"/>
        <v>44737</v>
      </c>
      <c r="C99" s="178"/>
      <c r="D99" s="384"/>
      <c r="E99" s="384"/>
      <c r="F99" s="384"/>
      <c r="KJ99" s="159"/>
    </row>
    <row r="100" spans="1:296">
      <c r="A100" s="159"/>
      <c r="B100" s="381">
        <f t="shared" si="1"/>
        <v>44738</v>
      </c>
      <c r="C100" s="178"/>
      <c r="D100" s="384"/>
      <c r="E100" s="384"/>
      <c r="F100" s="384"/>
      <c r="KJ100" s="159"/>
    </row>
    <row r="101" spans="1:296">
      <c r="A101" s="159"/>
      <c r="B101" s="381">
        <f t="shared" si="1"/>
        <v>44739</v>
      </c>
      <c r="C101" s="178"/>
      <c r="D101" s="384"/>
      <c r="E101" s="384"/>
      <c r="F101" s="384"/>
      <c r="KJ101" s="159"/>
    </row>
    <row r="102" spans="1:296">
      <c r="A102" s="159"/>
      <c r="B102" s="381">
        <f t="shared" si="1"/>
        <v>44740</v>
      </c>
      <c r="C102" s="178"/>
      <c r="D102" s="384"/>
      <c r="E102" s="384"/>
      <c r="F102" s="384"/>
      <c r="KJ102" s="159"/>
    </row>
    <row r="103" spans="1:296">
      <c r="A103" s="159"/>
      <c r="B103" s="381">
        <f t="shared" si="1"/>
        <v>44741</v>
      </c>
      <c r="C103" s="178"/>
      <c r="D103" s="384"/>
      <c r="E103" s="384"/>
      <c r="F103" s="384"/>
      <c r="KJ103" s="159"/>
    </row>
    <row r="104" spans="1:296" ht="13.15">
      <c r="A104" s="159"/>
      <c r="B104" s="381">
        <f t="shared" si="1"/>
        <v>44742</v>
      </c>
      <c r="C104" s="385"/>
      <c r="D104" s="386"/>
      <c r="E104" s="386"/>
      <c r="F104" s="386"/>
      <c r="KJ104" s="159"/>
    </row>
    <row r="105" spans="1:296" ht="13.15">
      <c r="A105" s="159"/>
      <c r="B105" s="617">
        <v>44743</v>
      </c>
      <c r="C105" s="385" t="s">
        <v>1112</v>
      </c>
      <c r="D105" s="618" t="s">
        <v>1112</v>
      </c>
      <c r="E105" s="386" t="s">
        <v>1112</v>
      </c>
      <c r="F105" s="386" t="s">
        <v>1112</v>
      </c>
      <c r="KJ105" s="159"/>
    </row>
    <row r="106" spans="1:296">
      <c r="A106" s="159"/>
      <c r="B106" s="381">
        <f>B104+1</f>
        <v>44743</v>
      </c>
      <c r="C106" s="178"/>
      <c r="D106" s="384"/>
      <c r="E106" s="384"/>
      <c r="F106" s="384"/>
      <c r="KJ106" s="159"/>
    </row>
    <row r="107" spans="1:296">
      <c r="A107" s="159"/>
      <c r="B107" s="381">
        <f t="shared" si="1"/>
        <v>44744</v>
      </c>
      <c r="C107" s="178"/>
      <c r="D107" s="384"/>
      <c r="E107" s="384"/>
      <c r="F107" s="384"/>
      <c r="KJ107" s="159"/>
    </row>
    <row r="108" spans="1:296">
      <c r="A108" s="159"/>
      <c r="B108" s="381">
        <f t="shared" si="1"/>
        <v>44745</v>
      </c>
      <c r="C108" s="178"/>
      <c r="D108" s="384"/>
      <c r="E108" s="384"/>
      <c r="F108" s="384"/>
      <c r="KJ108" s="159"/>
    </row>
    <row r="109" spans="1:296">
      <c r="A109" s="159"/>
      <c r="B109" s="381">
        <f t="shared" si="1"/>
        <v>44746</v>
      </c>
      <c r="C109" s="178"/>
      <c r="D109" s="384"/>
      <c r="E109" s="384"/>
      <c r="F109" s="384"/>
      <c r="KJ109" s="159"/>
    </row>
    <row r="110" spans="1:296">
      <c r="A110" s="159"/>
      <c r="B110" s="381">
        <f t="shared" si="1"/>
        <v>44747</v>
      </c>
      <c r="C110" s="178"/>
      <c r="D110" s="384"/>
      <c r="E110" s="384"/>
      <c r="F110" s="384"/>
      <c r="KJ110" s="159"/>
    </row>
    <row r="111" spans="1:296">
      <c r="A111" s="159"/>
      <c r="B111" s="381">
        <f t="shared" si="1"/>
        <v>44748</v>
      </c>
      <c r="C111" s="178"/>
      <c r="D111" s="384"/>
      <c r="E111" s="384"/>
      <c r="F111" s="384"/>
      <c r="KJ111" s="159"/>
    </row>
    <row r="112" spans="1:296">
      <c r="A112" s="159"/>
      <c r="B112" s="381">
        <f t="shared" si="1"/>
        <v>44749</v>
      </c>
      <c r="C112" s="178"/>
      <c r="D112" s="384"/>
      <c r="E112" s="384"/>
      <c r="F112" s="384"/>
      <c r="KJ112" s="159"/>
    </row>
    <row r="113" spans="1:296">
      <c r="A113" s="159"/>
      <c r="B113" s="381">
        <f t="shared" si="1"/>
        <v>44750</v>
      </c>
      <c r="C113" s="178"/>
      <c r="D113" s="384"/>
      <c r="E113" s="384"/>
      <c r="F113" s="384"/>
      <c r="KJ113" s="159"/>
    </row>
    <row r="114" spans="1:296">
      <c r="A114" s="159"/>
      <c r="B114" s="381">
        <f t="shared" si="1"/>
        <v>44751</v>
      </c>
      <c r="C114" s="178"/>
      <c r="D114" s="384"/>
      <c r="E114" s="384"/>
      <c r="F114" s="384"/>
      <c r="KJ114" s="159"/>
    </row>
    <row r="115" spans="1:296">
      <c r="A115" s="159"/>
      <c r="B115" s="381">
        <f t="shared" si="1"/>
        <v>44752</v>
      </c>
      <c r="C115" s="178"/>
      <c r="D115" s="384"/>
      <c r="E115" s="384"/>
      <c r="F115" s="384"/>
      <c r="KJ115" s="159"/>
    </row>
    <row r="116" spans="1:296">
      <c r="A116" s="159"/>
      <c r="B116" s="381">
        <f t="shared" si="1"/>
        <v>44753</v>
      </c>
      <c r="C116" s="178"/>
      <c r="D116" s="384"/>
      <c r="E116" s="384"/>
      <c r="F116" s="384"/>
      <c r="KJ116" s="159"/>
    </row>
    <row r="117" spans="1:296">
      <c r="A117" s="159"/>
      <c r="B117" s="381">
        <f t="shared" si="1"/>
        <v>44754</v>
      </c>
      <c r="C117" s="178"/>
      <c r="D117" s="384"/>
      <c r="E117" s="384"/>
      <c r="F117" s="384"/>
      <c r="KJ117" s="159"/>
    </row>
    <row r="118" spans="1:296">
      <c r="A118" s="159"/>
      <c r="B118" s="381">
        <f t="shared" si="1"/>
        <v>44755</v>
      </c>
      <c r="C118" s="178"/>
      <c r="D118" s="384"/>
      <c r="E118" s="384"/>
      <c r="F118" s="384"/>
      <c r="KJ118" s="159"/>
    </row>
    <row r="119" spans="1:296">
      <c r="A119" s="159"/>
      <c r="B119" s="381">
        <f t="shared" si="1"/>
        <v>44756</v>
      </c>
      <c r="C119" s="178"/>
      <c r="D119" s="384"/>
      <c r="E119" s="384"/>
      <c r="F119" s="384"/>
      <c r="KJ119" s="159"/>
    </row>
    <row r="120" spans="1:296">
      <c r="A120" s="159"/>
      <c r="B120" s="381">
        <f t="shared" si="1"/>
        <v>44757</v>
      </c>
      <c r="C120" s="178"/>
      <c r="D120" s="384"/>
      <c r="E120" s="384"/>
      <c r="F120" s="384"/>
      <c r="KJ120" s="159"/>
    </row>
    <row r="121" spans="1:296">
      <c r="A121" s="159"/>
      <c r="B121" s="381">
        <f t="shared" si="1"/>
        <v>44758</v>
      </c>
      <c r="C121" s="178"/>
      <c r="D121" s="384"/>
      <c r="E121" s="384"/>
      <c r="F121" s="384"/>
      <c r="KJ121" s="159"/>
    </row>
    <row r="122" spans="1:296">
      <c r="A122" s="159"/>
      <c r="B122" s="381">
        <f t="shared" si="1"/>
        <v>44759</v>
      </c>
      <c r="C122" s="178"/>
      <c r="D122" s="384"/>
      <c r="E122" s="384"/>
      <c r="F122" s="384"/>
      <c r="KJ122" s="159"/>
    </row>
    <row r="123" spans="1:296">
      <c r="A123" s="159"/>
      <c r="B123" s="381">
        <f t="shared" si="1"/>
        <v>44760</v>
      </c>
      <c r="C123" s="178"/>
      <c r="D123" s="384"/>
      <c r="E123" s="384"/>
      <c r="F123" s="384"/>
      <c r="KJ123" s="159"/>
    </row>
    <row r="124" spans="1:296">
      <c r="A124" s="159"/>
      <c r="B124" s="381">
        <f t="shared" si="1"/>
        <v>44761</v>
      </c>
      <c r="C124" s="178"/>
      <c r="D124" s="384"/>
      <c r="E124" s="384"/>
      <c r="F124" s="384"/>
      <c r="KJ124" s="159"/>
    </row>
    <row r="125" spans="1:296">
      <c r="A125" s="159"/>
      <c r="B125" s="381">
        <f t="shared" si="1"/>
        <v>44762</v>
      </c>
      <c r="C125" s="178"/>
      <c r="D125" s="384"/>
      <c r="E125" s="384"/>
      <c r="F125" s="384"/>
      <c r="KJ125" s="159"/>
    </row>
    <row r="126" spans="1:296">
      <c r="A126" s="159"/>
      <c r="B126" s="381">
        <f t="shared" si="1"/>
        <v>44763</v>
      </c>
      <c r="C126" s="178"/>
      <c r="D126" s="384"/>
      <c r="E126" s="384"/>
      <c r="F126" s="384"/>
      <c r="KJ126" s="159"/>
    </row>
    <row r="127" spans="1:296">
      <c r="A127" s="159"/>
      <c r="B127" s="381">
        <f t="shared" si="1"/>
        <v>44764</v>
      </c>
      <c r="C127" s="178"/>
      <c r="D127" s="384"/>
      <c r="E127" s="384"/>
      <c r="F127" s="384"/>
      <c r="KJ127" s="159"/>
    </row>
    <row r="128" spans="1:296">
      <c r="A128" s="159"/>
      <c r="B128" s="381">
        <f t="shared" si="1"/>
        <v>44765</v>
      </c>
      <c r="C128" s="178"/>
      <c r="D128" s="384"/>
      <c r="E128" s="384"/>
      <c r="F128" s="384"/>
      <c r="KJ128" s="159"/>
    </row>
    <row r="129" spans="1:296">
      <c r="A129" s="159"/>
      <c r="B129" s="381">
        <f t="shared" si="1"/>
        <v>44766</v>
      </c>
      <c r="C129" s="178"/>
      <c r="D129" s="384"/>
      <c r="E129" s="384"/>
      <c r="F129" s="384"/>
      <c r="KJ129" s="159"/>
    </row>
    <row r="130" spans="1:296">
      <c r="A130" s="159"/>
      <c r="B130" s="381">
        <f t="shared" si="1"/>
        <v>44767</v>
      </c>
      <c r="C130" s="178"/>
      <c r="D130" s="384"/>
      <c r="E130" s="384"/>
      <c r="F130" s="384"/>
      <c r="KJ130" s="159"/>
    </row>
    <row r="131" spans="1:296">
      <c r="A131" s="159"/>
      <c r="B131" s="381">
        <f t="shared" si="1"/>
        <v>44768</v>
      </c>
      <c r="C131" s="178"/>
      <c r="D131" s="384"/>
      <c r="E131" s="384"/>
      <c r="F131" s="384"/>
      <c r="KJ131" s="159"/>
    </row>
    <row r="132" spans="1:296">
      <c r="A132" s="159"/>
      <c r="B132" s="381">
        <f t="shared" si="1"/>
        <v>44769</v>
      </c>
      <c r="C132" s="178"/>
      <c r="D132" s="384"/>
      <c r="E132" s="384"/>
      <c r="F132" s="384"/>
      <c r="KJ132" s="159"/>
    </row>
    <row r="133" spans="1:296">
      <c r="A133" s="159"/>
      <c r="B133" s="381">
        <f t="shared" si="1"/>
        <v>44770</v>
      </c>
      <c r="C133" s="178"/>
      <c r="D133" s="384"/>
      <c r="E133" s="384"/>
      <c r="F133" s="384"/>
      <c r="KJ133" s="159"/>
    </row>
    <row r="134" spans="1:296">
      <c r="A134" s="159"/>
      <c r="B134" s="381">
        <f t="shared" si="1"/>
        <v>44771</v>
      </c>
      <c r="C134" s="178"/>
      <c r="D134" s="384"/>
      <c r="E134" s="384"/>
      <c r="F134" s="384"/>
      <c r="KJ134" s="159"/>
    </row>
    <row r="135" spans="1:296">
      <c r="A135" s="159"/>
      <c r="B135" s="381">
        <f t="shared" si="1"/>
        <v>44772</v>
      </c>
      <c r="C135" s="178"/>
      <c r="D135" s="384"/>
      <c r="E135" s="384"/>
      <c r="F135" s="384"/>
      <c r="KJ135" s="159"/>
    </row>
    <row r="136" spans="1:296">
      <c r="A136" s="159"/>
      <c r="B136" s="381">
        <f t="shared" si="1"/>
        <v>44773</v>
      </c>
      <c r="D136" s="619"/>
      <c r="E136" s="619"/>
      <c r="F136" s="620"/>
      <c r="KJ136" s="159"/>
    </row>
    <row r="137" spans="1:296" ht="13.15">
      <c r="A137" s="159"/>
      <c r="B137" s="617">
        <v>44774</v>
      </c>
      <c r="C137" s="385" t="s">
        <v>1112</v>
      </c>
      <c r="D137" s="386" t="s">
        <v>1112</v>
      </c>
      <c r="E137" s="386" t="s">
        <v>1112</v>
      </c>
      <c r="F137" s="386" t="s">
        <v>1112</v>
      </c>
      <c r="KJ137" s="159"/>
    </row>
    <row r="138" spans="1:296">
      <c r="A138" s="159"/>
      <c r="B138" s="381">
        <f>B136+1</f>
        <v>44774</v>
      </c>
      <c r="C138" s="178"/>
      <c r="D138" s="384"/>
      <c r="E138" s="384"/>
      <c r="F138" s="384"/>
      <c r="KJ138" s="159"/>
    </row>
    <row r="139" spans="1:296">
      <c r="A139" s="159"/>
      <c r="B139" s="381">
        <f t="shared" si="1"/>
        <v>44775</v>
      </c>
      <c r="C139" s="178"/>
      <c r="D139" s="384"/>
      <c r="E139" s="384"/>
      <c r="F139" s="384"/>
      <c r="KJ139" s="159"/>
    </row>
    <row r="140" spans="1:296">
      <c r="A140" s="159"/>
      <c r="B140" s="381">
        <f t="shared" si="1"/>
        <v>44776</v>
      </c>
      <c r="C140" s="178"/>
      <c r="D140" s="384"/>
      <c r="E140" s="384"/>
      <c r="F140" s="384"/>
      <c r="KJ140" s="159"/>
    </row>
    <row r="141" spans="1:296">
      <c r="A141" s="159"/>
      <c r="B141" s="381">
        <f t="shared" ref="B141:B204" si="2">B140+1</f>
        <v>44777</v>
      </c>
      <c r="C141" s="178"/>
      <c r="D141" s="384"/>
      <c r="E141" s="384"/>
      <c r="F141" s="384"/>
      <c r="KJ141" s="159"/>
    </row>
    <row r="142" spans="1:296">
      <c r="A142" s="159"/>
      <c r="B142" s="381">
        <f t="shared" si="2"/>
        <v>44778</v>
      </c>
      <c r="C142" s="178"/>
      <c r="D142" s="384"/>
      <c r="E142" s="384"/>
      <c r="F142" s="384"/>
      <c r="KJ142" s="159"/>
    </row>
    <row r="143" spans="1:296">
      <c r="A143" s="159"/>
      <c r="B143" s="381">
        <f t="shared" si="2"/>
        <v>44779</v>
      </c>
      <c r="C143" s="178"/>
      <c r="D143" s="384"/>
      <c r="E143" s="384"/>
      <c r="F143" s="384"/>
      <c r="KJ143" s="159"/>
    </row>
    <row r="144" spans="1:296">
      <c r="A144" s="159"/>
      <c r="B144" s="381">
        <f t="shared" si="2"/>
        <v>44780</v>
      </c>
      <c r="C144" s="178"/>
      <c r="D144" s="384"/>
      <c r="E144" s="384"/>
      <c r="F144" s="384"/>
      <c r="KJ144" s="159"/>
    </row>
    <row r="145" spans="1:296">
      <c r="A145" s="159"/>
      <c r="B145" s="381">
        <f t="shared" si="2"/>
        <v>44781</v>
      </c>
      <c r="C145" s="178"/>
      <c r="D145" s="384"/>
      <c r="E145" s="384"/>
      <c r="F145" s="384"/>
      <c r="KJ145" s="159"/>
    </row>
    <row r="146" spans="1:296">
      <c r="A146" s="159"/>
      <c r="B146" s="381">
        <f t="shared" si="2"/>
        <v>44782</v>
      </c>
      <c r="C146" s="178"/>
      <c r="D146" s="384"/>
      <c r="E146" s="384"/>
      <c r="F146" s="384"/>
      <c r="KJ146" s="159"/>
    </row>
    <row r="147" spans="1:296">
      <c r="A147" s="159"/>
      <c r="B147" s="381">
        <f t="shared" si="2"/>
        <v>44783</v>
      </c>
      <c r="C147" s="178"/>
      <c r="D147" s="384"/>
      <c r="E147" s="384"/>
      <c r="F147" s="384"/>
      <c r="KJ147" s="159"/>
    </row>
    <row r="148" spans="1:296">
      <c r="A148" s="159"/>
      <c r="B148" s="381">
        <f t="shared" si="2"/>
        <v>44784</v>
      </c>
      <c r="C148" s="178"/>
      <c r="D148" s="384"/>
      <c r="E148" s="384"/>
      <c r="F148" s="384"/>
      <c r="KJ148" s="159"/>
    </row>
    <row r="149" spans="1:296">
      <c r="A149" s="159"/>
      <c r="B149" s="381">
        <f t="shared" si="2"/>
        <v>44785</v>
      </c>
      <c r="C149" s="178"/>
      <c r="D149" s="384"/>
      <c r="E149" s="384"/>
      <c r="F149" s="384"/>
      <c r="KJ149" s="159"/>
    </row>
    <row r="150" spans="1:296">
      <c r="A150" s="159"/>
      <c r="B150" s="381">
        <f t="shared" si="2"/>
        <v>44786</v>
      </c>
      <c r="C150" s="178"/>
      <c r="D150" s="384"/>
      <c r="E150" s="384"/>
      <c r="F150" s="384"/>
      <c r="KJ150" s="159"/>
    </row>
    <row r="151" spans="1:296">
      <c r="A151" s="159"/>
      <c r="B151" s="381">
        <f t="shared" si="2"/>
        <v>44787</v>
      </c>
      <c r="C151" s="178"/>
      <c r="D151" s="384"/>
      <c r="E151" s="384"/>
      <c r="F151" s="384"/>
      <c r="KJ151" s="159"/>
    </row>
    <row r="152" spans="1:296">
      <c r="A152" s="159"/>
      <c r="B152" s="381">
        <f t="shared" si="2"/>
        <v>44788</v>
      </c>
      <c r="C152" s="178"/>
      <c r="D152" s="384"/>
      <c r="E152" s="384"/>
      <c r="F152" s="384"/>
      <c r="KJ152" s="159"/>
    </row>
    <row r="153" spans="1:296">
      <c r="A153" s="159"/>
      <c r="B153" s="381">
        <f t="shared" si="2"/>
        <v>44789</v>
      </c>
      <c r="C153" s="178"/>
      <c r="D153" s="384"/>
      <c r="E153" s="384"/>
      <c r="F153" s="384"/>
      <c r="KJ153" s="159"/>
    </row>
    <row r="154" spans="1:296">
      <c r="A154" s="159"/>
      <c r="B154" s="381">
        <f t="shared" si="2"/>
        <v>44790</v>
      </c>
      <c r="C154" s="178"/>
      <c r="D154" s="384"/>
      <c r="E154" s="384"/>
      <c r="F154" s="384"/>
      <c r="KJ154" s="159"/>
    </row>
    <row r="155" spans="1:296">
      <c r="A155" s="159"/>
      <c r="B155" s="381">
        <f t="shared" si="2"/>
        <v>44791</v>
      </c>
      <c r="C155" s="178"/>
      <c r="D155" s="384"/>
      <c r="E155" s="384"/>
      <c r="F155" s="384"/>
      <c r="KJ155" s="159"/>
    </row>
    <row r="156" spans="1:296">
      <c r="A156" s="159"/>
      <c r="B156" s="381">
        <f t="shared" si="2"/>
        <v>44792</v>
      </c>
      <c r="C156" s="178"/>
      <c r="D156" s="384"/>
      <c r="E156" s="384"/>
      <c r="F156" s="384"/>
      <c r="KJ156" s="159"/>
    </row>
    <row r="157" spans="1:296">
      <c r="A157" s="159"/>
      <c r="B157" s="381">
        <f t="shared" si="2"/>
        <v>44793</v>
      </c>
      <c r="C157" s="178"/>
      <c r="D157" s="384"/>
      <c r="E157" s="384"/>
      <c r="F157" s="384"/>
      <c r="KJ157" s="159"/>
    </row>
    <row r="158" spans="1:296">
      <c r="A158" s="159"/>
      <c r="B158" s="381">
        <f t="shared" si="2"/>
        <v>44794</v>
      </c>
      <c r="C158" s="178"/>
      <c r="D158" s="384"/>
      <c r="E158" s="384"/>
      <c r="F158" s="384"/>
      <c r="KJ158" s="159"/>
    </row>
    <row r="159" spans="1:296">
      <c r="A159" s="159"/>
      <c r="B159" s="381">
        <f t="shared" si="2"/>
        <v>44795</v>
      </c>
      <c r="C159" s="178"/>
      <c r="D159" s="384"/>
      <c r="E159" s="384"/>
      <c r="F159" s="384"/>
      <c r="KJ159" s="159"/>
    </row>
    <row r="160" spans="1:296">
      <c r="A160" s="159"/>
      <c r="B160" s="381">
        <f t="shared" si="2"/>
        <v>44796</v>
      </c>
      <c r="C160" s="178"/>
      <c r="D160" s="384"/>
      <c r="E160" s="384"/>
      <c r="F160" s="384"/>
      <c r="KJ160" s="159"/>
    </row>
    <row r="161" spans="1:296">
      <c r="A161" s="159"/>
      <c r="B161" s="381">
        <f t="shared" si="2"/>
        <v>44797</v>
      </c>
      <c r="C161" s="178"/>
      <c r="D161" s="384"/>
      <c r="E161" s="384"/>
      <c r="F161" s="384"/>
      <c r="KJ161" s="159"/>
    </row>
    <row r="162" spans="1:296">
      <c r="A162" s="159"/>
      <c r="B162" s="381">
        <f t="shared" si="2"/>
        <v>44798</v>
      </c>
      <c r="C162" s="178"/>
      <c r="D162" s="384"/>
      <c r="E162" s="384"/>
      <c r="F162" s="384"/>
      <c r="KJ162" s="159"/>
    </row>
    <row r="163" spans="1:296">
      <c r="A163" s="159"/>
      <c r="B163" s="381">
        <f t="shared" si="2"/>
        <v>44799</v>
      </c>
      <c r="C163" s="178"/>
      <c r="D163" s="384"/>
      <c r="E163" s="384"/>
      <c r="F163" s="384"/>
      <c r="KJ163" s="159"/>
    </row>
    <row r="164" spans="1:296">
      <c r="A164" s="159"/>
      <c r="B164" s="381">
        <f t="shared" si="2"/>
        <v>44800</v>
      </c>
      <c r="C164" s="178"/>
      <c r="D164" s="384"/>
      <c r="E164" s="384"/>
      <c r="F164" s="384"/>
      <c r="KJ164" s="159"/>
    </row>
    <row r="165" spans="1:296">
      <c r="A165" s="159"/>
      <c r="B165" s="381">
        <f t="shared" si="2"/>
        <v>44801</v>
      </c>
      <c r="C165" s="178"/>
      <c r="D165" s="384"/>
      <c r="E165" s="384"/>
      <c r="F165" s="384"/>
      <c r="KJ165" s="159"/>
    </row>
    <row r="166" spans="1:296">
      <c r="A166" s="159"/>
      <c r="B166" s="381">
        <f t="shared" si="2"/>
        <v>44802</v>
      </c>
      <c r="C166" s="178"/>
      <c r="D166" s="384"/>
      <c r="E166" s="384"/>
      <c r="F166" s="384"/>
      <c r="KJ166" s="159"/>
    </row>
    <row r="167" spans="1:296">
      <c r="A167" s="159"/>
      <c r="B167" s="381">
        <f t="shared" si="2"/>
        <v>44803</v>
      </c>
      <c r="C167" s="178"/>
      <c r="D167" s="384"/>
      <c r="E167" s="384"/>
      <c r="F167" s="384"/>
      <c r="KJ167" s="159"/>
    </row>
    <row r="168" spans="1:296" ht="13.15">
      <c r="A168" s="159"/>
      <c r="B168" s="381">
        <f t="shared" si="2"/>
        <v>44804</v>
      </c>
      <c r="D168" s="618"/>
      <c r="E168" s="172"/>
      <c r="F168" s="620"/>
      <c r="KJ168" s="159"/>
    </row>
    <row r="169" spans="1:296" ht="13.15">
      <c r="A169" s="159"/>
      <c r="B169" s="617">
        <v>44805</v>
      </c>
      <c r="C169" s="385" t="s">
        <v>1112</v>
      </c>
      <c r="D169" s="386" t="s">
        <v>1112</v>
      </c>
      <c r="E169" s="386" t="s">
        <v>1112</v>
      </c>
      <c r="F169" s="386" t="s">
        <v>1112</v>
      </c>
      <c r="KJ169" s="159"/>
    </row>
    <row r="170" spans="1:296">
      <c r="A170" s="159"/>
      <c r="B170" s="381">
        <f>B168+1</f>
        <v>44805</v>
      </c>
      <c r="C170" s="178"/>
      <c r="D170" s="384"/>
      <c r="E170" s="384"/>
      <c r="F170" s="384"/>
      <c r="KJ170" s="159"/>
    </row>
    <row r="171" spans="1:296">
      <c r="A171" s="159"/>
      <c r="B171" s="381">
        <f t="shared" si="2"/>
        <v>44806</v>
      </c>
      <c r="C171" s="178"/>
      <c r="D171" s="384"/>
      <c r="E171" s="384"/>
      <c r="F171" s="384"/>
      <c r="KJ171" s="159"/>
    </row>
    <row r="172" spans="1:296">
      <c r="A172" s="159"/>
      <c r="B172" s="381">
        <f t="shared" si="2"/>
        <v>44807</v>
      </c>
      <c r="C172" s="178"/>
      <c r="D172" s="384"/>
      <c r="E172" s="384"/>
      <c r="F172" s="384"/>
      <c r="KJ172" s="159"/>
    </row>
    <row r="173" spans="1:296">
      <c r="A173" s="159"/>
      <c r="B173" s="381">
        <f t="shared" si="2"/>
        <v>44808</v>
      </c>
      <c r="C173" s="178"/>
      <c r="D173" s="384"/>
      <c r="E173" s="384"/>
      <c r="F173" s="384"/>
      <c r="KJ173" s="159"/>
    </row>
    <row r="174" spans="1:296">
      <c r="A174" s="159"/>
      <c r="B174" s="381">
        <f t="shared" si="2"/>
        <v>44809</v>
      </c>
      <c r="C174" s="178"/>
      <c r="D174" s="384"/>
      <c r="E174" s="384"/>
      <c r="F174" s="384"/>
      <c r="KJ174" s="159"/>
    </row>
    <row r="175" spans="1:296">
      <c r="A175" s="159"/>
      <c r="B175" s="381">
        <f t="shared" si="2"/>
        <v>44810</v>
      </c>
      <c r="C175" s="178"/>
      <c r="D175" s="384"/>
      <c r="E175" s="384"/>
      <c r="F175" s="384"/>
      <c r="KJ175" s="159"/>
    </row>
    <row r="176" spans="1:296">
      <c r="A176" s="159"/>
      <c r="B176" s="381">
        <f t="shared" si="2"/>
        <v>44811</v>
      </c>
      <c r="C176" s="178"/>
      <c r="D176" s="384"/>
      <c r="E176" s="384"/>
      <c r="F176" s="384"/>
      <c r="KJ176" s="159"/>
    </row>
    <row r="177" spans="1:296">
      <c r="A177" s="159"/>
      <c r="B177" s="381">
        <f t="shared" si="2"/>
        <v>44812</v>
      </c>
      <c r="C177" s="178"/>
      <c r="D177" s="384"/>
      <c r="E177" s="384"/>
      <c r="F177" s="384"/>
      <c r="KJ177" s="159"/>
    </row>
    <row r="178" spans="1:296">
      <c r="A178" s="159"/>
      <c r="B178" s="381">
        <f t="shared" si="2"/>
        <v>44813</v>
      </c>
      <c r="C178" s="178"/>
      <c r="D178" s="384"/>
      <c r="E178" s="384"/>
      <c r="F178" s="384"/>
      <c r="KJ178" s="159"/>
    </row>
    <row r="179" spans="1:296">
      <c r="A179" s="159"/>
      <c r="B179" s="381">
        <f t="shared" si="2"/>
        <v>44814</v>
      </c>
      <c r="C179" s="178"/>
      <c r="D179" s="384"/>
      <c r="E179" s="384"/>
      <c r="F179" s="384"/>
      <c r="KJ179" s="159"/>
    </row>
    <row r="180" spans="1:296">
      <c r="A180" s="159"/>
      <c r="B180" s="381">
        <f t="shared" si="2"/>
        <v>44815</v>
      </c>
      <c r="C180" s="178"/>
      <c r="D180" s="384"/>
      <c r="E180" s="384"/>
      <c r="F180" s="384"/>
      <c r="KJ180" s="159"/>
    </row>
    <row r="181" spans="1:296">
      <c r="A181" s="159"/>
      <c r="B181" s="381">
        <f t="shared" si="2"/>
        <v>44816</v>
      </c>
      <c r="C181" s="178"/>
      <c r="D181" s="384"/>
      <c r="E181" s="384"/>
      <c r="F181" s="384"/>
      <c r="KJ181" s="159"/>
    </row>
    <row r="182" spans="1:296">
      <c r="A182" s="159"/>
      <c r="B182" s="381">
        <f t="shared" si="2"/>
        <v>44817</v>
      </c>
      <c r="C182" s="178"/>
      <c r="D182" s="384"/>
      <c r="E182" s="384"/>
      <c r="F182" s="384"/>
      <c r="KJ182" s="159"/>
    </row>
    <row r="183" spans="1:296">
      <c r="A183" s="159"/>
      <c r="B183" s="381">
        <f t="shared" si="2"/>
        <v>44818</v>
      </c>
      <c r="C183" s="178"/>
      <c r="D183" s="384"/>
      <c r="E183" s="384"/>
      <c r="F183" s="384"/>
      <c r="KJ183" s="159"/>
    </row>
    <row r="184" spans="1:296">
      <c r="A184" s="159"/>
      <c r="B184" s="381">
        <f t="shared" si="2"/>
        <v>44819</v>
      </c>
      <c r="C184" s="178"/>
      <c r="D184" s="384"/>
      <c r="E184" s="384"/>
      <c r="F184" s="384"/>
      <c r="KJ184" s="159"/>
    </row>
    <row r="185" spans="1:296">
      <c r="A185" s="159"/>
      <c r="B185" s="381">
        <f t="shared" si="2"/>
        <v>44820</v>
      </c>
      <c r="C185" s="178"/>
      <c r="D185" s="384"/>
      <c r="E185" s="384"/>
      <c r="F185" s="384"/>
      <c r="KJ185" s="159"/>
    </row>
    <row r="186" spans="1:296">
      <c r="A186" s="159"/>
      <c r="B186" s="381">
        <f t="shared" si="2"/>
        <v>44821</v>
      </c>
      <c r="C186" s="178"/>
      <c r="D186" s="384"/>
      <c r="E186" s="384"/>
      <c r="F186" s="384"/>
      <c r="KJ186" s="159"/>
    </row>
    <row r="187" spans="1:296">
      <c r="A187" s="159"/>
      <c r="B187" s="381">
        <f t="shared" si="2"/>
        <v>44822</v>
      </c>
      <c r="C187" s="178"/>
      <c r="D187" s="384"/>
      <c r="E187" s="384"/>
      <c r="F187" s="384"/>
      <c r="KJ187" s="159"/>
    </row>
    <row r="188" spans="1:296">
      <c r="A188" s="159"/>
      <c r="B188" s="381">
        <f t="shared" si="2"/>
        <v>44823</v>
      </c>
      <c r="C188" s="178"/>
      <c r="D188" s="384"/>
      <c r="E188" s="384"/>
      <c r="F188" s="384"/>
      <c r="KJ188" s="159"/>
    </row>
    <row r="189" spans="1:296">
      <c r="A189" s="159"/>
      <c r="B189" s="381">
        <f t="shared" si="2"/>
        <v>44824</v>
      </c>
      <c r="C189" s="178"/>
      <c r="D189" s="384"/>
      <c r="E189" s="384"/>
      <c r="F189" s="384"/>
      <c r="KJ189" s="159"/>
    </row>
    <row r="190" spans="1:296">
      <c r="A190" s="159"/>
      <c r="B190" s="381">
        <f t="shared" si="2"/>
        <v>44825</v>
      </c>
      <c r="C190" s="178"/>
      <c r="D190" s="384"/>
      <c r="E190" s="384"/>
      <c r="F190" s="384"/>
      <c r="KJ190" s="159"/>
    </row>
    <row r="191" spans="1:296">
      <c r="A191" s="159"/>
      <c r="B191" s="381">
        <f t="shared" si="2"/>
        <v>44826</v>
      </c>
      <c r="C191" s="178"/>
      <c r="D191" s="384"/>
      <c r="E191" s="384"/>
      <c r="F191" s="384"/>
      <c r="KJ191" s="159"/>
    </row>
    <row r="192" spans="1:296">
      <c r="A192" s="159"/>
      <c r="B192" s="381">
        <f t="shared" si="2"/>
        <v>44827</v>
      </c>
      <c r="C192" s="178"/>
      <c r="D192" s="384"/>
      <c r="E192" s="384"/>
      <c r="F192" s="384"/>
      <c r="KJ192" s="159"/>
    </row>
    <row r="193" spans="1:296">
      <c r="A193" s="159"/>
      <c r="B193" s="381">
        <f t="shared" si="2"/>
        <v>44828</v>
      </c>
      <c r="C193" s="178"/>
      <c r="D193" s="384"/>
      <c r="E193" s="384"/>
      <c r="F193" s="384"/>
      <c r="KJ193" s="159"/>
    </row>
    <row r="194" spans="1:296">
      <c r="A194" s="159"/>
      <c r="B194" s="381">
        <f t="shared" si="2"/>
        <v>44829</v>
      </c>
      <c r="C194" s="178"/>
      <c r="D194" s="384"/>
      <c r="E194" s="384"/>
      <c r="F194" s="384"/>
      <c r="KJ194" s="159"/>
    </row>
    <row r="195" spans="1:296">
      <c r="A195" s="159"/>
      <c r="B195" s="381">
        <f t="shared" si="2"/>
        <v>44830</v>
      </c>
      <c r="C195" s="178"/>
      <c r="D195" s="384"/>
      <c r="E195" s="384"/>
      <c r="F195" s="384"/>
      <c r="KJ195" s="159"/>
    </row>
    <row r="196" spans="1:296">
      <c r="A196" s="159"/>
      <c r="B196" s="381">
        <f t="shared" si="2"/>
        <v>44831</v>
      </c>
      <c r="C196" s="178"/>
      <c r="D196" s="384"/>
      <c r="E196" s="384"/>
      <c r="F196" s="384"/>
      <c r="KJ196" s="159"/>
    </row>
    <row r="197" spans="1:296">
      <c r="A197" s="159"/>
      <c r="B197" s="381">
        <f t="shared" si="2"/>
        <v>44832</v>
      </c>
      <c r="C197" s="178"/>
      <c r="D197" s="384"/>
      <c r="E197" s="384"/>
      <c r="F197" s="384"/>
      <c r="KJ197" s="159"/>
    </row>
    <row r="198" spans="1:296">
      <c r="A198" s="159"/>
      <c r="B198" s="381">
        <f t="shared" si="2"/>
        <v>44833</v>
      </c>
      <c r="C198" s="178"/>
      <c r="D198" s="384"/>
      <c r="E198" s="384"/>
      <c r="F198" s="384"/>
      <c r="KJ198" s="159"/>
    </row>
    <row r="199" spans="1:296" ht="13.15">
      <c r="A199" s="159"/>
      <c r="B199" s="381">
        <f t="shared" si="2"/>
        <v>44834</v>
      </c>
      <c r="D199" s="386"/>
      <c r="E199" s="386"/>
      <c r="F199" s="386"/>
      <c r="KJ199" s="159"/>
    </row>
    <row r="200" spans="1:296" ht="13.15">
      <c r="A200" s="159"/>
      <c r="B200" s="617">
        <v>44835</v>
      </c>
      <c r="C200" s="385" t="s">
        <v>1112</v>
      </c>
      <c r="D200" s="386" t="s">
        <v>1112</v>
      </c>
      <c r="E200" s="386" t="s">
        <v>1112</v>
      </c>
      <c r="F200" s="386" t="s">
        <v>1112</v>
      </c>
      <c r="KJ200" s="159"/>
    </row>
    <row r="201" spans="1:296">
      <c r="A201" s="159"/>
      <c r="B201" s="381">
        <f>B199+1</f>
        <v>44835</v>
      </c>
      <c r="C201" s="178"/>
      <c r="D201" s="384"/>
      <c r="E201" s="384"/>
      <c r="F201" s="384"/>
      <c r="KJ201" s="159"/>
    </row>
    <row r="202" spans="1:296">
      <c r="A202" s="159"/>
      <c r="B202" s="381">
        <f t="shared" si="2"/>
        <v>44836</v>
      </c>
      <c r="C202" s="178"/>
      <c r="D202" s="384"/>
      <c r="E202" s="384"/>
      <c r="F202" s="384"/>
      <c r="KJ202" s="159"/>
    </row>
    <row r="203" spans="1:296">
      <c r="A203" s="159"/>
      <c r="B203" s="381">
        <f t="shared" si="2"/>
        <v>44837</v>
      </c>
      <c r="C203" s="178"/>
      <c r="D203" s="384"/>
      <c r="E203" s="384"/>
      <c r="F203" s="384"/>
      <c r="KJ203" s="159"/>
    </row>
    <row r="204" spans="1:296">
      <c r="A204" s="159"/>
      <c r="B204" s="381">
        <f t="shared" si="2"/>
        <v>44838</v>
      </c>
      <c r="C204" s="178"/>
      <c r="D204" s="384"/>
      <c r="E204" s="384"/>
      <c r="F204" s="384"/>
      <c r="KJ204" s="159"/>
    </row>
    <row r="205" spans="1:296">
      <c r="A205" s="159"/>
      <c r="B205" s="381">
        <f t="shared" ref="B205:B268" si="3">B204+1</f>
        <v>44839</v>
      </c>
      <c r="C205" s="178"/>
      <c r="D205" s="384"/>
      <c r="E205" s="384"/>
      <c r="F205" s="384"/>
      <c r="KJ205" s="159"/>
    </row>
    <row r="206" spans="1:296">
      <c r="A206" s="159"/>
      <c r="B206" s="381">
        <f t="shared" si="3"/>
        <v>44840</v>
      </c>
      <c r="C206" s="178"/>
      <c r="D206" s="384"/>
      <c r="E206" s="384"/>
      <c r="F206" s="384"/>
      <c r="KJ206" s="159"/>
    </row>
    <row r="207" spans="1:296">
      <c r="A207" s="159"/>
      <c r="B207" s="381">
        <f t="shared" si="3"/>
        <v>44841</v>
      </c>
      <c r="C207" s="178"/>
      <c r="D207" s="384"/>
      <c r="E207" s="384"/>
      <c r="F207" s="384"/>
      <c r="KJ207" s="159"/>
    </row>
    <row r="208" spans="1:296">
      <c r="A208" s="159"/>
      <c r="B208" s="381">
        <f t="shared" si="3"/>
        <v>44842</v>
      </c>
      <c r="C208" s="178"/>
      <c r="D208" s="384"/>
      <c r="E208" s="384"/>
      <c r="F208" s="384"/>
      <c r="KJ208" s="159"/>
    </row>
    <row r="209" spans="1:296">
      <c r="A209" s="159"/>
      <c r="B209" s="381">
        <f t="shared" si="3"/>
        <v>44843</v>
      </c>
      <c r="C209" s="178"/>
      <c r="D209" s="384"/>
      <c r="E209" s="384"/>
      <c r="F209" s="384"/>
      <c r="KJ209" s="159"/>
    </row>
    <row r="210" spans="1:296">
      <c r="A210" s="159"/>
      <c r="B210" s="381">
        <f t="shared" si="3"/>
        <v>44844</v>
      </c>
      <c r="C210" s="178"/>
      <c r="D210" s="384"/>
      <c r="E210" s="384"/>
      <c r="F210" s="384"/>
      <c r="KJ210" s="159"/>
    </row>
    <row r="211" spans="1:296">
      <c r="A211" s="159"/>
      <c r="B211" s="381">
        <f t="shared" si="3"/>
        <v>44845</v>
      </c>
      <c r="C211" s="178"/>
      <c r="D211" s="384"/>
      <c r="E211" s="384"/>
      <c r="F211" s="384"/>
      <c r="KJ211" s="159"/>
    </row>
    <row r="212" spans="1:296">
      <c r="A212" s="159"/>
      <c r="B212" s="381">
        <f t="shared" si="3"/>
        <v>44846</v>
      </c>
      <c r="C212" s="178"/>
      <c r="D212" s="384"/>
      <c r="E212" s="384"/>
      <c r="F212" s="384"/>
      <c r="KJ212" s="159"/>
    </row>
    <row r="213" spans="1:296">
      <c r="A213" s="159"/>
      <c r="B213" s="381">
        <f t="shared" si="3"/>
        <v>44847</v>
      </c>
      <c r="C213" s="178"/>
      <c r="D213" s="384"/>
      <c r="E213" s="384"/>
      <c r="F213" s="384"/>
      <c r="KJ213" s="159"/>
    </row>
    <row r="214" spans="1:296">
      <c r="A214" s="159"/>
      <c r="B214" s="381">
        <f t="shared" si="3"/>
        <v>44848</v>
      </c>
      <c r="C214" s="178"/>
      <c r="D214" s="384"/>
      <c r="E214" s="384"/>
      <c r="F214" s="384"/>
      <c r="KJ214" s="159"/>
    </row>
    <row r="215" spans="1:296">
      <c r="A215" s="159"/>
      <c r="B215" s="381">
        <f t="shared" si="3"/>
        <v>44849</v>
      </c>
      <c r="C215" s="178"/>
      <c r="D215" s="384"/>
      <c r="E215" s="384"/>
      <c r="F215" s="384"/>
      <c r="KJ215" s="159"/>
    </row>
    <row r="216" spans="1:296">
      <c r="A216" s="159"/>
      <c r="B216" s="381">
        <f t="shared" si="3"/>
        <v>44850</v>
      </c>
      <c r="C216" s="178"/>
      <c r="D216" s="384"/>
      <c r="E216" s="384"/>
      <c r="F216" s="384"/>
      <c r="KJ216" s="159"/>
    </row>
    <row r="217" spans="1:296">
      <c r="A217" s="159"/>
      <c r="B217" s="381">
        <f t="shared" si="3"/>
        <v>44851</v>
      </c>
      <c r="C217" s="178"/>
      <c r="D217" s="384"/>
      <c r="E217" s="384"/>
      <c r="F217" s="384"/>
      <c r="KJ217" s="159"/>
    </row>
    <row r="218" spans="1:296">
      <c r="A218" s="159"/>
      <c r="B218" s="381">
        <f t="shared" si="3"/>
        <v>44852</v>
      </c>
      <c r="C218" s="178"/>
      <c r="D218" s="384"/>
      <c r="E218" s="384"/>
      <c r="F218" s="384"/>
      <c r="KJ218" s="159"/>
    </row>
    <row r="219" spans="1:296">
      <c r="A219" s="159"/>
      <c r="B219" s="381">
        <f t="shared" si="3"/>
        <v>44853</v>
      </c>
      <c r="C219" s="178"/>
      <c r="D219" s="384"/>
      <c r="E219" s="384"/>
      <c r="F219" s="384"/>
      <c r="KJ219" s="159"/>
    </row>
    <row r="220" spans="1:296">
      <c r="A220" s="159"/>
      <c r="B220" s="381">
        <f t="shared" si="3"/>
        <v>44854</v>
      </c>
      <c r="C220" s="178"/>
      <c r="D220" s="384"/>
      <c r="E220" s="384"/>
      <c r="F220" s="384"/>
      <c r="KJ220" s="159"/>
    </row>
    <row r="221" spans="1:296">
      <c r="A221" s="159"/>
      <c r="B221" s="381">
        <f t="shared" si="3"/>
        <v>44855</v>
      </c>
      <c r="C221" s="178"/>
      <c r="D221" s="384"/>
      <c r="E221" s="384"/>
      <c r="F221" s="384"/>
      <c r="KJ221" s="159"/>
    </row>
    <row r="222" spans="1:296">
      <c r="A222" s="159"/>
      <c r="B222" s="381">
        <f t="shared" si="3"/>
        <v>44856</v>
      </c>
      <c r="C222" s="178"/>
      <c r="D222" s="384"/>
      <c r="E222" s="384"/>
      <c r="F222" s="384"/>
      <c r="KJ222" s="159"/>
    </row>
    <row r="223" spans="1:296">
      <c r="A223" s="159"/>
      <c r="B223" s="381">
        <f t="shared" si="3"/>
        <v>44857</v>
      </c>
      <c r="C223" s="178"/>
      <c r="D223" s="384"/>
      <c r="E223" s="384"/>
      <c r="F223" s="384"/>
      <c r="KJ223" s="159"/>
    </row>
    <row r="224" spans="1:296">
      <c r="A224" s="159"/>
      <c r="B224" s="381">
        <f t="shared" si="3"/>
        <v>44858</v>
      </c>
      <c r="C224" s="178"/>
      <c r="D224" s="384"/>
      <c r="E224" s="384"/>
      <c r="F224" s="384"/>
      <c r="KJ224" s="159"/>
    </row>
    <row r="225" spans="1:296">
      <c r="A225" s="159"/>
      <c r="B225" s="381">
        <f t="shared" si="3"/>
        <v>44859</v>
      </c>
      <c r="C225" s="178"/>
      <c r="D225" s="384"/>
      <c r="E225" s="384"/>
      <c r="F225" s="384"/>
      <c r="KJ225" s="159"/>
    </row>
    <row r="226" spans="1:296">
      <c r="A226" s="159"/>
      <c r="B226" s="381">
        <f t="shared" si="3"/>
        <v>44860</v>
      </c>
      <c r="C226" s="178"/>
      <c r="D226" s="384"/>
      <c r="E226" s="384"/>
      <c r="F226" s="384"/>
      <c r="KJ226" s="159"/>
    </row>
    <row r="227" spans="1:296">
      <c r="A227" s="159"/>
      <c r="B227" s="381">
        <f t="shared" si="3"/>
        <v>44861</v>
      </c>
      <c r="C227" s="178"/>
      <c r="D227" s="384"/>
      <c r="E227" s="384"/>
      <c r="F227" s="384"/>
      <c r="KJ227" s="159"/>
    </row>
    <row r="228" spans="1:296">
      <c r="A228" s="159"/>
      <c r="B228" s="381">
        <f t="shared" si="3"/>
        <v>44862</v>
      </c>
      <c r="C228" s="178"/>
      <c r="D228" s="384"/>
      <c r="E228" s="384"/>
      <c r="F228" s="384"/>
      <c r="KJ228" s="159"/>
    </row>
    <row r="229" spans="1:296">
      <c r="A229" s="159"/>
      <c r="B229" s="381">
        <f t="shared" si="3"/>
        <v>44863</v>
      </c>
      <c r="C229" s="178"/>
      <c r="D229" s="384"/>
      <c r="E229" s="384"/>
      <c r="F229" s="384"/>
      <c r="KJ229" s="159"/>
    </row>
    <row r="230" spans="1:296">
      <c r="A230" s="159"/>
      <c r="B230" s="381">
        <f t="shared" si="3"/>
        <v>44864</v>
      </c>
      <c r="C230" s="178"/>
      <c r="D230" s="384"/>
      <c r="E230" s="384"/>
      <c r="F230" s="384"/>
      <c r="KJ230" s="159"/>
    </row>
    <row r="231" spans="1:296" ht="13.15">
      <c r="A231" s="159"/>
      <c r="B231" s="381">
        <f t="shared" si="3"/>
        <v>44865</v>
      </c>
      <c r="C231" s="385"/>
      <c r="D231" s="386"/>
      <c r="E231" s="386"/>
      <c r="F231" s="386"/>
      <c r="KJ231" s="159"/>
    </row>
    <row r="232" spans="1:296" ht="13.15">
      <c r="A232" s="159"/>
      <c r="B232" s="617">
        <v>44866</v>
      </c>
      <c r="C232" s="385" t="s">
        <v>1112</v>
      </c>
      <c r="D232" s="386" t="s">
        <v>1112</v>
      </c>
      <c r="E232" s="386" t="s">
        <v>1112</v>
      </c>
      <c r="F232" s="386" t="s">
        <v>1112</v>
      </c>
      <c r="KJ232" s="159"/>
    </row>
    <row r="233" spans="1:296">
      <c r="A233" s="159"/>
      <c r="B233" s="381">
        <f>B231+1</f>
        <v>44866</v>
      </c>
      <c r="C233" s="178"/>
      <c r="D233" s="384"/>
      <c r="E233" s="384"/>
      <c r="F233" s="384"/>
      <c r="KJ233" s="159"/>
    </row>
    <row r="234" spans="1:296">
      <c r="A234" s="159"/>
      <c r="B234" s="381">
        <f t="shared" si="3"/>
        <v>44867</v>
      </c>
      <c r="C234" s="178"/>
      <c r="D234" s="384"/>
      <c r="E234" s="384"/>
      <c r="F234" s="384"/>
      <c r="KJ234" s="159"/>
    </row>
    <row r="235" spans="1:296">
      <c r="A235" s="159"/>
      <c r="B235" s="381">
        <f t="shared" si="3"/>
        <v>44868</v>
      </c>
      <c r="C235" s="178"/>
      <c r="D235" s="384"/>
      <c r="E235" s="384"/>
      <c r="F235" s="384"/>
      <c r="KJ235" s="159"/>
    </row>
    <row r="236" spans="1:296">
      <c r="A236" s="159"/>
      <c r="B236" s="381">
        <f t="shared" si="3"/>
        <v>44869</v>
      </c>
      <c r="C236" s="178"/>
      <c r="D236" s="384"/>
      <c r="E236" s="384"/>
      <c r="F236" s="384"/>
      <c r="KJ236" s="159"/>
    </row>
    <row r="237" spans="1:296">
      <c r="A237" s="159"/>
      <c r="B237" s="381">
        <f t="shared" si="3"/>
        <v>44870</v>
      </c>
      <c r="C237" s="178"/>
      <c r="D237" s="384"/>
      <c r="E237" s="384"/>
      <c r="F237" s="384"/>
      <c r="KJ237" s="159"/>
    </row>
    <row r="238" spans="1:296">
      <c r="A238" s="159"/>
      <c r="B238" s="381">
        <f t="shared" si="3"/>
        <v>44871</v>
      </c>
      <c r="C238" s="178"/>
      <c r="D238" s="384"/>
      <c r="E238" s="384"/>
      <c r="F238" s="384"/>
      <c r="KJ238" s="159"/>
    </row>
    <row r="239" spans="1:296">
      <c r="A239" s="159"/>
      <c r="B239" s="381">
        <f t="shared" si="3"/>
        <v>44872</v>
      </c>
      <c r="C239" s="178"/>
      <c r="D239" s="384"/>
      <c r="E239" s="384"/>
      <c r="F239" s="384"/>
      <c r="KJ239" s="159"/>
    </row>
    <row r="240" spans="1:296">
      <c r="A240" s="159"/>
      <c r="B240" s="381">
        <f t="shared" si="3"/>
        <v>44873</v>
      </c>
      <c r="C240" s="178"/>
      <c r="D240" s="384"/>
      <c r="E240" s="384"/>
      <c r="F240" s="384"/>
      <c r="KJ240" s="159"/>
    </row>
    <row r="241" spans="1:296">
      <c r="A241" s="159"/>
      <c r="B241" s="381">
        <f t="shared" si="3"/>
        <v>44874</v>
      </c>
      <c r="C241" s="178"/>
      <c r="D241" s="384"/>
      <c r="E241" s="384"/>
      <c r="F241" s="384"/>
      <c r="KJ241" s="159"/>
    </row>
    <row r="242" spans="1:296">
      <c r="A242" s="159"/>
      <c r="B242" s="381">
        <f t="shared" si="3"/>
        <v>44875</v>
      </c>
      <c r="C242" s="178"/>
      <c r="D242" s="384"/>
      <c r="E242" s="384"/>
      <c r="F242" s="384"/>
      <c r="KJ242" s="159"/>
    </row>
    <row r="243" spans="1:296">
      <c r="A243" s="159"/>
      <c r="B243" s="381">
        <f t="shared" si="3"/>
        <v>44876</v>
      </c>
      <c r="C243" s="178"/>
      <c r="D243" s="384"/>
      <c r="E243" s="384"/>
      <c r="F243" s="384"/>
      <c r="KJ243" s="159"/>
    </row>
    <row r="244" spans="1:296">
      <c r="A244" s="159"/>
      <c r="B244" s="381">
        <f t="shared" si="3"/>
        <v>44877</v>
      </c>
      <c r="C244" s="178"/>
      <c r="D244" s="384"/>
      <c r="E244" s="384"/>
      <c r="F244" s="384"/>
      <c r="KJ244" s="159"/>
    </row>
    <row r="245" spans="1:296">
      <c r="A245" s="159"/>
      <c r="B245" s="381">
        <f t="shared" si="3"/>
        <v>44878</v>
      </c>
      <c r="C245" s="178"/>
      <c r="D245" s="384"/>
      <c r="E245" s="384"/>
      <c r="F245" s="384"/>
      <c r="KJ245" s="159"/>
    </row>
    <row r="246" spans="1:296">
      <c r="A246" s="159"/>
      <c r="B246" s="381">
        <f t="shared" si="3"/>
        <v>44879</v>
      </c>
      <c r="C246" s="178"/>
      <c r="D246" s="384"/>
      <c r="E246" s="384"/>
      <c r="F246" s="384"/>
      <c r="KJ246" s="159"/>
    </row>
    <row r="247" spans="1:296">
      <c r="A247" s="159"/>
      <c r="B247" s="381">
        <f t="shared" si="3"/>
        <v>44880</v>
      </c>
      <c r="C247" s="178"/>
      <c r="D247" s="384"/>
      <c r="E247" s="384"/>
      <c r="F247" s="384"/>
      <c r="KJ247" s="159"/>
    </row>
    <row r="248" spans="1:296">
      <c r="A248" s="159"/>
      <c r="B248" s="381">
        <f t="shared" si="3"/>
        <v>44881</v>
      </c>
      <c r="C248" s="178"/>
      <c r="D248" s="384"/>
      <c r="E248" s="384"/>
      <c r="F248" s="384"/>
      <c r="KJ248" s="159"/>
    </row>
    <row r="249" spans="1:296">
      <c r="A249" s="159"/>
      <c r="B249" s="381">
        <f t="shared" si="3"/>
        <v>44882</v>
      </c>
      <c r="C249" s="178"/>
      <c r="D249" s="384"/>
      <c r="E249" s="384"/>
      <c r="F249" s="384"/>
      <c r="KJ249" s="159"/>
    </row>
    <row r="250" spans="1:296">
      <c r="A250" s="159"/>
      <c r="B250" s="381">
        <f t="shared" si="3"/>
        <v>44883</v>
      </c>
      <c r="C250" s="178"/>
      <c r="D250" s="384"/>
      <c r="E250" s="384"/>
      <c r="F250" s="384"/>
      <c r="KJ250" s="159"/>
    </row>
    <row r="251" spans="1:296">
      <c r="A251" s="159"/>
      <c r="B251" s="381">
        <f t="shared" si="3"/>
        <v>44884</v>
      </c>
      <c r="C251" s="178"/>
      <c r="D251" s="384"/>
      <c r="E251" s="384"/>
      <c r="F251" s="384"/>
      <c r="KJ251" s="159"/>
    </row>
    <row r="252" spans="1:296">
      <c r="A252" s="159"/>
      <c r="B252" s="381">
        <f t="shared" si="3"/>
        <v>44885</v>
      </c>
      <c r="C252" s="178"/>
      <c r="D252" s="384"/>
      <c r="E252" s="384"/>
      <c r="F252" s="384"/>
      <c r="KJ252" s="159"/>
    </row>
    <row r="253" spans="1:296">
      <c r="A253" s="159"/>
      <c r="B253" s="381">
        <f t="shared" si="3"/>
        <v>44886</v>
      </c>
      <c r="C253" s="178"/>
      <c r="D253" s="384"/>
      <c r="E253" s="384"/>
      <c r="F253" s="384"/>
      <c r="KJ253" s="159"/>
    </row>
    <row r="254" spans="1:296">
      <c r="A254" s="159"/>
      <c r="B254" s="381">
        <f t="shared" si="3"/>
        <v>44887</v>
      </c>
      <c r="C254" s="178"/>
      <c r="D254" s="384"/>
      <c r="E254" s="384"/>
      <c r="F254" s="384"/>
      <c r="KJ254" s="159"/>
    </row>
    <row r="255" spans="1:296">
      <c r="A255" s="159"/>
      <c r="B255" s="381">
        <f t="shared" si="3"/>
        <v>44888</v>
      </c>
      <c r="C255" s="178"/>
      <c r="D255" s="384"/>
      <c r="E255" s="384"/>
      <c r="F255" s="384"/>
      <c r="KJ255" s="159"/>
    </row>
    <row r="256" spans="1:296">
      <c r="A256" s="159"/>
      <c r="B256" s="381">
        <f t="shared" si="3"/>
        <v>44889</v>
      </c>
      <c r="C256" s="178"/>
      <c r="D256" s="384"/>
      <c r="E256" s="384"/>
      <c r="F256" s="384"/>
      <c r="KJ256" s="159"/>
    </row>
    <row r="257" spans="1:296">
      <c r="A257" s="159"/>
      <c r="B257" s="381">
        <f t="shared" si="3"/>
        <v>44890</v>
      </c>
      <c r="C257" s="178"/>
      <c r="D257" s="384"/>
      <c r="E257" s="384"/>
      <c r="F257" s="384"/>
      <c r="KJ257" s="159"/>
    </row>
    <row r="258" spans="1:296">
      <c r="A258" s="159"/>
      <c r="B258" s="381">
        <f t="shared" si="3"/>
        <v>44891</v>
      </c>
      <c r="C258" s="178"/>
      <c r="D258" s="384"/>
      <c r="E258" s="384"/>
      <c r="F258" s="384"/>
      <c r="KJ258" s="159"/>
    </row>
    <row r="259" spans="1:296">
      <c r="A259" s="159"/>
      <c r="B259" s="381">
        <f t="shared" si="3"/>
        <v>44892</v>
      </c>
      <c r="C259" s="178"/>
      <c r="D259" s="384"/>
      <c r="E259" s="384"/>
      <c r="F259" s="384"/>
      <c r="KJ259" s="159"/>
    </row>
    <row r="260" spans="1:296">
      <c r="A260" s="159"/>
      <c r="B260" s="381">
        <f t="shared" si="3"/>
        <v>44893</v>
      </c>
      <c r="C260" s="178"/>
      <c r="D260" s="384"/>
      <c r="E260" s="384"/>
      <c r="F260" s="384"/>
      <c r="KJ260" s="159"/>
    </row>
    <row r="261" spans="1:296">
      <c r="A261" s="159"/>
      <c r="B261" s="381">
        <f t="shared" si="3"/>
        <v>44894</v>
      </c>
      <c r="C261" s="178"/>
      <c r="D261" s="384"/>
      <c r="E261" s="384"/>
      <c r="F261" s="384"/>
      <c r="KJ261" s="159"/>
    </row>
    <row r="262" spans="1:296" ht="13.15">
      <c r="A262" s="159"/>
      <c r="B262" s="381">
        <f t="shared" si="3"/>
        <v>44895</v>
      </c>
      <c r="C262" s="385"/>
      <c r="D262" s="386"/>
      <c r="E262" s="386"/>
      <c r="F262" s="386"/>
      <c r="KJ262" s="159"/>
    </row>
    <row r="263" spans="1:296" ht="13.15">
      <c r="A263" s="159"/>
      <c r="B263" s="617">
        <v>44896</v>
      </c>
      <c r="C263" s="385" t="s">
        <v>1112</v>
      </c>
      <c r="D263" s="386" t="s">
        <v>1112</v>
      </c>
      <c r="E263" s="386" t="s">
        <v>1112</v>
      </c>
      <c r="F263" s="386" t="s">
        <v>1112</v>
      </c>
      <c r="KJ263" s="159"/>
    </row>
    <row r="264" spans="1:296">
      <c r="A264" s="159"/>
      <c r="B264" s="381">
        <f>B262+1</f>
        <v>44896</v>
      </c>
      <c r="C264" s="178"/>
      <c r="D264" s="384"/>
      <c r="E264" s="384"/>
      <c r="F264" s="384"/>
      <c r="KJ264" s="159"/>
    </row>
    <row r="265" spans="1:296">
      <c r="A265" s="159"/>
      <c r="B265" s="381">
        <f t="shared" si="3"/>
        <v>44897</v>
      </c>
      <c r="C265" s="178"/>
      <c r="D265" s="384"/>
      <c r="E265" s="384"/>
      <c r="F265" s="384"/>
      <c r="KJ265" s="159"/>
    </row>
    <row r="266" spans="1:296">
      <c r="A266" s="159"/>
      <c r="B266" s="381">
        <f t="shared" si="3"/>
        <v>44898</v>
      </c>
      <c r="C266" s="178"/>
      <c r="D266" s="384"/>
      <c r="E266" s="384"/>
      <c r="F266" s="384"/>
      <c r="KJ266" s="159"/>
    </row>
    <row r="267" spans="1:296">
      <c r="A267" s="159"/>
      <c r="B267" s="381">
        <f t="shared" si="3"/>
        <v>44899</v>
      </c>
      <c r="C267" s="178"/>
      <c r="D267" s="384"/>
      <c r="E267" s="384"/>
      <c r="F267" s="384"/>
      <c r="KJ267" s="159"/>
    </row>
    <row r="268" spans="1:296">
      <c r="A268" s="159"/>
      <c r="B268" s="381">
        <f t="shared" si="3"/>
        <v>44900</v>
      </c>
      <c r="C268" s="178"/>
      <c r="D268" s="384"/>
      <c r="E268" s="384"/>
      <c r="F268" s="384"/>
      <c r="KJ268" s="159"/>
    </row>
    <row r="269" spans="1:296">
      <c r="A269" s="159"/>
      <c r="B269" s="381">
        <f t="shared" ref="B269:B332" si="4">B268+1</f>
        <v>44901</v>
      </c>
      <c r="C269" s="178"/>
      <c r="D269" s="384"/>
      <c r="E269" s="384"/>
      <c r="F269" s="384"/>
      <c r="KJ269" s="159"/>
    </row>
    <row r="270" spans="1:296">
      <c r="A270" s="159"/>
      <c r="B270" s="381">
        <f t="shared" si="4"/>
        <v>44902</v>
      </c>
      <c r="C270" s="178"/>
      <c r="D270" s="384"/>
      <c r="E270" s="384"/>
      <c r="F270" s="384"/>
      <c r="KJ270" s="159"/>
    </row>
    <row r="271" spans="1:296">
      <c r="A271" s="159"/>
      <c r="B271" s="381">
        <f t="shared" si="4"/>
        <v>44903</v>
      </c>
      <c r="C271" s="178"/>
      <c r="D271" s="384"/>
      <c r="E271" s="384"/>
      <c r="F271" s="384"/>
      <c r="KJ271" s="159"/>
    </row>
    <row r="272" spans="1:296">
      <c r="A272" s="159"/>
      <c r="B272" s="381">
        <f t="shared" si="4"/>
        <v>44904</v>
      </c>
      <c r="C272" s="178"/>
      <c r="D272" s="384"/>
      <c r="E272" s="384"/>
      <c r="F272" s="384"/>
      <c r="KJ272" s="159"/>
    </row>
    <row r="273" spans="1:296">
      <c r="A273" s="159"/>
      <c r="B273" s="381">
        <f t="shared" si="4"/>
        <v>44905</v>
      </c>
      <c r="C273" s="178"/>
      <c r="D273" s="384"/>
      <c r="E273" s="384"/>
      <c r="F273" s="384"/>
      <c r="KJ273" s="159"/>
    </row>
    <row r="274" spans="1:296">
      <c r="A274" s="159"/>
      <c r="B274" s="381">
        <f t="shared" si="4"/>
        <v>44906</v>
      </c>
      <c r="C274" s="178"/>
      <c r="D274" s="384"/>
      <c r="E274" s="384"/>
      <c r="F274" s="384"/>
      <c r="KJ274" s="159"/>
    </row>
    <row r="275" spans="1:296">
      <c r="A275" s="159"/>
      <c r="B275" s="381">
        <f t="shared" si="4"/>
        <v>44907</v>
      </c>
      <c r="C275" s="178"/>
      <c r="D275" s="384"/>
      <c r="E275" s="384"/>
      <c r="F275" s="384"/>
      <c r="KJ275" s="159"/>
    </row>
    <row r="276" spans="1:296">
      <c r="A276" s="159"/>
      <c r="B276" s="381">
        <f t="shared" si="4"/>
        <v>44908</v>
      </c>
      <c r="C276" s="178"/>
      <c r="D276" s="384"/>
      <c r="E276" s="384"/>
      <c r="F276" s="384"/>
      <c r="KJ276" s="159"/>
    </row>
    <row r="277" spans="1:296">
      <c r="A277" s="159"/>
      <c r="B277" s="381">
        <f t="shared" si="4"/>
        <v>44909</v>
      </c>
      <c r="C277" s="178"/>
      <c r="D277" s="384"/>
      <c r="E277" s="384"/>
      <c r="F277" s="384"/>
      <c r="KJ277" s="159"/>
    </row>
    <row r="278" spans="1:296">
      <c r="A278" s="159"/>
      <c r="B278" s="381">
        <f t="shared" si="4"/>
        <v>44910</v>
      </c>
      <c r="C278" s="178"/>
      <c r="D278" s="384"/>
      <c r="E278" s="384"/>
      <c r="F278" s="384"/>
      <c r="KJ278" s="159"/>
    </row>
    <row r="279" spans="1:296">
      <c r="A279" s="159"/>
      <c r="B279" s="381">
        <f t="shared" si="4"/>
        <v>44911</v>
      </c>
      <c r="C279" s="178"/>
      <c r="D279" s="384"/>
      <c r="E279" s="384"/>
      <c r="F279" s="384"/>
      <c r="KJ279" s="159"/>
    </row>
    <row r="280" spans="1:296">
      <c r="A280" s="159"/>
      <c r="B280" s="381">
        <f t="shared" si="4"/>
        <v>44912</v>
      </c>
      <c r="C280" s="178"/>
      <c r="D280" s="384"/>
      <c r="E280" s="384"/>
      <c r="F280" s="384"/>
      <c r="KJ280" s="159"/>
    </row>
    <row r="281" spans="1:296">
      <c r="A281" s="159"/>
      <c r="B281" s="381">
        <f t="shared" si="4"/>
        <v>44913</v>
      </c>
      <c r="C281" s="178"/>
      <c r="D281" s="384"/>
      <c r="E281" s="384"/>
      <c r="F281" s="384"/>
      <c r="KJ281" s="159"/>
    </row>
    <row r="282" spans="1:296">
      <c r="A282" s="159"/>
      <c r="B282" s="381">
        <f t="shared" si="4"/>
        <v>44914</v>
      </c>
      <c r="C282" s="178"/>
      <c r="D282" s="384"/>
      <c r="E282" s="384"/>
      <c r="F282" s="384"/>
      <c r="KJ282" s="159"/>
    </row>
    <row r="283" spans="1:296">
      <c r="A283" s="159"/>
      <c r="B283" s="381">
        <f t="shared" si="4"/>
        <v>44915</v>
      </c>
      <c r="C283" s="178"/>
      <c r="D283" s="384"/>
      <c r="E283" s="384"/>
      <c r="F283" s="384"/>
      <c r="KJ283" s="159"/>
    </row>
    <row r="284" spans="1:296">
      <c r="A284" s="159"/>
      <c r="B284" s="381">
        <f t="shared" si="4"/>
        <v>44916</v>
      </c>
      <c r="C284" s="178"/>
      <c r="D284" s="384"/>
      <c r="E284" s="384"/>
      <c r="F284" s="384"/>
      <c r="KJ284" s="159"/>
    </row>
    <row r="285" spans="1:296">
      <c r="A285" s="159"/>
      <c r="B285" s="381">
        <f t="shared" si="4"/>
        <v>44917</v>
      </c>
      <c r="C285" s="178"/>
      <c r="D285" s="384"/>
      <c r="E285" s="384"/>
      <c r="F285" s="384"/>
      <c r="KJ285" s="159"/>
    </row>
    <row r="286" spans="1:296">
      <c r="A286" s="159"/>
      <c r="B286" s="381">
        <f t="shared" si="4"/>
        <v>44918</v>
      </c>
      <c r="C286" s="178"/>
      <c r="D286" s="384"/>
      <c r="E286" s="384"/>
      <c r="F286" s="384"/>
      <c r="KJ286" s="159"/>
    </row>
    <row r="287" spans="1:296">
      <c r="A287" s="159"/>
      <c r="B287" s="381">
        <f t="shared" si="4"/>
        <v>44919</v>
      </c>
      <c r="C287" s="178"/>
      <c r="D287" s="384"/>
      <c r="E287" s="384"/>
      <c r="F287" s="384"/>
      <c r="KJ287" s="159"/>
    </row>
    <row r="288" spans="1:296">
      <c r="A288" s="159"/>
      <c r="B288" s="381">
        <f t="shared" si="4"/>
        <v>44920</v>
      </c>
      <c r="C288" s="178"/>
      <c r="D288" s="384"/>
      <c r="E288" s="384"/>
      <c r="F288" s="384"/>
      <c r="KJ288" s="159"/>
    </row>
    <row r="289" spans="1:296">
      <c r="A289" s="159"/>
      <c r="B289" s="381">
        <f t="shared" si="4"/>
        <v>44921</v>
      </c>
      <c r="C289" s="178"/>
      <c r="D289" s="384"/>
      <c r="E289" s="384"/>
      <c r="F289" s="384"/>
      <c r="KJ289" s="159"/>
    </row>
    <row r="290" spans="1:296">
      <c r="A290" s="159"/>
      <c r="B290" s="381">
        <f t="shared" si="4"/>
        <v>44922</v>
      </c>
      <c r="C290" s="178"/>
      <c r="D290" s="384"/>
      <c r="E290" s="384"/>
      <c r="F290" s="384"/>
      <c r="KJ290" s="159"/>
    </row>
    <row r="291" spans="1:296">
      <c r="A291" s="159"/>
      <c r="B291" s="381">
        <f t="shared" si="4"/>
        <v>44923</v>
      </c>
      <c r="C291" s="178"/>
      <c r="D291" s="384"/>
      <c r="E291" s="384"/>
      <c r="F291" s="384"/>
      <c r="KJ291" s="159"/>
    </row>
    <row r="292" spans="1:296">
      <c r="A292" s="159"/>
      <c r="B292" s="381">
        <f t="shared" si="4"/>
        <v>44924</v>
      </c>
      <c r="C292" s="178"/>
      <c r="D292" s="384"/>
      <c r="E292" s="384"/>
      <c r="F292" s="384"/>
      <c r="KJ292" s="159"/>
    </row>
    <row r="293" spans="1:296">
      <c r="A293" s="159"/>
      <c r="B293" s="381">
        <f t="shared" si="4"/>
        <v>44925</v>
      </c>
      <c r="C293" s="178"/>
      <c r="D293" s="384"/>
      <c r="E293" s="384"/>
      <c r="F293" s="384"/>
      <c r="KJ293" s="159"/>
    </row>
    <row r="294" spans="1:296" ht="13.15">
      <c r="A294" s="159"/>
      <c r="B294" s="381">
        <f t="shared" si="4"/>
        <v>44926</v>
      </c>
      <c r="C294" s="385"/>
      <c r="D294" s="386"/>
      <c r="E294" s="386"/>
      <c r="F294" s="386"/>
      <c r="KJ294" s="159"/>
    </row>
    <row r="295" spans="1:296" ht="13.15">
      <c r="A295" s="159"/>
      <c r="B295" s="617">
        <v>44927</v>
      </c>
      <c r="C295" s="385" t="s">
        <v>1112</v>
      </c>
      <c r="D295" s="386" t="s">
        <v>1112</v>
      </c>
      <c r="E295" s="386" t="s">
        <v>1112</v>
      </c>
      <c r="F295" s="386" t="s">
        <v>1112</v>
      </c>
      <c r="KJ295" s="159"/>
    </row>
    <row r="296" spans="1:296">
      <c r="A296" s="159"/>
      <c r="B296" s="381">
        <f>B294+1</f>
        <v>44927</v>
      </c>
      <c r="C296" s="178"/>
      <c r="D296" s="384"/>
      <c r="E296" s="384"/>
      <c r="F296" s="384"/>
      <c r="KJ296" s="159"/>
    </row>
    <row r="297" spans="1:296">
      <c r="A297" s="159"/>
      <c r="B297" s="381">
        <f t="shared" si="4"/>
        <v>44928</v>
      </c>
      <c r="C297" s="178"/>
      <c r="D297" s="384"/>
      <c r="E297" s="384"/>
      <c r="F297" s="384"/>
      <c r="KJ297" s="159"/>
    </row>
    <row r="298" spans="1:296">
      <c r="A298" s="159"/>
      <c r="B298" s="381">
        <f t="shared" si="4"/>
        <v>44929</v>
      </c>
      <c r="C298" s="178"/>
      <c r="D298" s="384"/>
      <c r="E298" s="384"/>
      <c r="F298" s="384"/>
      <c r="KJ298" s="159"/>
    </row>
    <row r="299" spans="1:296">
      <c r="A299" s="159"/>
      <c r="B299" s="381">
        <f t="shared" si="4"/>
        <v>44930</v>
      </c>
      <c r="C299" s="178"/>
      <c r="D299" s="384"/>
      <c r="E299" s="384"/>
      <c r="F299" s="384"/>
      <c r="KJ299" s="159"/>
    </row>
    <row r="300" spans="1:296">
      <c r="A300" s="159"/>
      <c r="B300" s="381">
        <f t="shared" si="4"/>
        <v>44931</v>
      </c>
      <c r="C300" s="178"/>
      <c r="D300" s="384"/>
      <c r="E300" s="384"/>
      <c r="F300" s="384"/>
      <c r="KJ300" s="159"/>
    </row>
    <row r="301" spans="1:296">
      <c r="A301" s="159"/>
      <c r="B301" s="381">
        <f t="shared" si="4"/>
        <v>44932</v>
      </c>
      <c r="C301" s="178"/>
      <c r="D301" s="384"/>
      <c r="E301" s="384"/>
      <c r="F301" s="384"/>
      <c r="KJ301" s="159"/>
    </row>
    <row r="302" spans="1:296">
      <c r="A302" s="159"/>
      <c r="B302" s="381">
        <f t="shared" si="4"/>
        <v>44933</v>
      </c>
      <c r="C302" s="178"/>
      <c r="D302" s="384"/>
      <c r="E302" s="384"/>
      <c r="F302" s="384"/>
      <c r="KJ302" s="159"/>
    </row>
    <row r="303" spans="1:296">
      <c r="A303" s="159"/>
      <c r="B303" s="381">
        <f t="shared" si="4"/>
        <v>44934</v>
      </c>
      <c r="C303" s="178"/>
      <c r="D303" s="384"/>
      <c r="E303" s="384"/>
      <c r="F303" s="384"/>
      <c r="KJ303" s="159"/>
    </row>
    <row r="304" spans="1:296">
      <c r="A304" s="159"/>
      <c r="B304" s="381">
        <f t="shared" si="4"/>
        <v>44935</v>
      </c>
      <c r="C304" s="178"/>
      <c r="D304" s="384"/>
      <c r="E304" s="384"/>
      <c r="F304" s="384"/>
      <c r="KJ304" s="159"/>
    </row>
    <row r="305" spans="1:296">
      <c r="A305" s="159"/>
      <c r="B305" s="381">
        <f t="shared" si="4"/>
        <v>44936</v>
      </c>
      <c r="C305" s="178"/>
      <c r="D305" s="384"/>
      <c r="E305" s="384"/>
      <c r="F305" s="384"/>
      <c r="KJ305" s="159"/>
    </row>
    <row r="306" spans="1:296">
      <c r="A306" s="159"/>
      <c r="B306" s="381">
        <f t="shared" si="4"/>
        <v>44937</v>
      </c>
      <c r="C306" s="178"/>
      <c r="D306" s="384"/>
      <c r="E306" s="384"/>
      <c r="F306" s="384"/>
      <c r="KJ306" s="159"/>
    </row>
    <row r="307" spans="1:296">
      <c r="A307" s="159"/>
      <c r="B307" s="381">
        <f t="shared" si="4"/>
        <v>44938</v>
      </c>
      <c r="C307" s="178"/>
      <c r="D307" s="384"/>
      <c r="E307" s="384"/>
      <c r="F307" s="384"/>
      <c r="KJ307" s="159"/>
    </row>
    <row r="308" spans="1:296">
      <c r="A308" s="159"/>
      <c r="B308" s="381">
        <f t="shared" si="4"/>
        <v>44939</v>
      </c>
      <c r="C308" s="178"/>
      <c r="D308" s="384"/>
      <c r="E308" s="384"/>
      <c r="F308" s="384"/>
      <c r="KJ308" s="159"/>
    </row>
    <row r="309" spans="1:296">
      <c r="A309" s="159"/>
      <c r="B309" s="381">
        <f t="shared" si="4"/>
        <v>44940</v>
      </c>
      <c r="C309" s="178"/>
      <c r="D309" s="384"/>
      <c r="E309" s="384"/>
      <c r="F309" s="384"/>
      <c r="KJ309" s="159"/>
    </row>
    <row r="310" spans="1:296">
      <c r="A310" s="159"/>
      <c r="B310" s="381">
        <f t="shared" si="4"/>
        <v>44941</v>
      </c>
      <c r="C310" s="178"/>
      <c r="D310" s="384"/>
      <c r="E310" s="384"/>
      <c r="F310" s="384"/>
      <c r="KJ310" s="159"/>
    </row>
    <row r="311" spans="1:296">
      <c r="A311" s="159"/>
      <c r="B311" s="381">
        <f t="shared" si="4"/>
        <v>44942</v>
      </c>
      <c r="C311" s="178"/>
      <c r="D311" s="384"/>
      <c r="E311" s="384"/>
      <c r="F311" s="384"/>
      <c r="KJ311" s="159"/>
    </row>
    <row r="312" spans="1:296">
      <c r="A312" s="159"/>
      <c r="B312" s="381">
        <f t="shared" si="4"/>
        <v>44943</v>
      </c>
      <c r="C312" s="178"/>
      <c r="D312" s="384"/>
      <c r="E312" s="384"/>
      <c r="F312" s="384"/>
      <c r="KJ312" s="159"/>
    </row>
    <row r="313" spans="1:296">
      <c r="A313" s="159"/>
      <c r="B313" s="381">
        <f t="shared" si="4"/>
        <v>44944</v>
      </c>
      <c r="C313" s="178"/>
      <c r="D313" s="384"/>
      <c r="E313" s="384"/>
      <c r="F313" s="384"/>
      <c r="KJ313" s="159"/>
    </row>
    <row r="314" spans="1:296">
      <c r="A314" s="159"/>
      <c r="B314" s="381">
        <f t="shared" si="4"/>
        <v>44945</v>
      </c>
      <c r="C314" s="178"/>
      <c r="D314" s="384"/>
      <c r="E314" s="384"/>
      <c r="F314" s="384"/>
      <c r="KJ314" s="159"/>
    </row>
    <row r="315" spans="1:296">
      <c r="A315" s="159"/>
      <c r="B315" s="381">
        <f t="shared" si="4"/>
        <v>44946</v>
      </c>
      <c r="C315" s="178"/>
      <c r="D315" s="384"/>
      <c r="E315" s="384"/>
      <c r="F315" s="384"/>
      <c r="KJ315" s="159"/>
    </row>
    <row r="316" spans="1:296">
      <c r="A316" s="159"/>
      <c r="B316" s="381">
        <f t="shared" si="4"/>
        <v>44947</v>
      </c>
      <c r="C316" s="178"/>
      <c r="D316" s="384"/>
      <c r="E316" s="384"/>
      <c r="F316" s="384"/>
      <c r="KJ316" s="159"/>
    </row>
    <row r="317" spans="1:296">
      <c r="A317" s="159"/>
      <c r="B317" s="381">
        <f t="shared" si="4"/>
        <v>44948</v>
      </c>
      <c r="C317" s="178"/>
      <c r="D317" s="384"/>
      <c r="E317" s="384"/>
      <c r="F317" s="384"/>
      <c r="KJ317" s="159"/>
    </row>
    <row r="318" spans="1:296">
      <c r="A318" s="159"/>
      <c r="B318" s="381">
        <f t="shared" si="4"/>
        <v>44949</v>
      </c>
      <c r="C318" s="178"/>
      <c r="D318" s="384"/>
      <c r="E318" s="384"/>
      <c r="F318" s="384"/>
      <c r="KJ318" s="159"/>
    </row>
    <row r="319" spans="1:296">
      <c r="A319" s="159"/>
      <c r="B319" s="381">
        <f t="shared" si="4"/>
        <v>44950</v>
      </c>
      <c r="C319" s="178"/>
      <c r="D319" s="384"/>
      <c r="E319" s="384"/>
      <c r="F319" s="384"/>
      <c r="KJ319" s="159"/>
    </row>
    <row r="320" spans="1:296">
      <c r="A320" s="159"/>
      <c r="B320" s="381">
        <f t="shared" si="4"/>
        <v>44951</v>
      </c>
      <c r="C320" s="178"/>
      <c r="D320" s="384"/>
      <c r="E320" s="384"/>
      <c r="F320" s="384"/>
      <c r="KJ320" s="159"/>
    </row>
    <row r="321" spans="1:296">
      <c r="A321" s="159"/>
      <c r="B321" s="381">
        <f t="shared" si="4"/>
        <v>44952</v>
      </c>
      <c r="C321" s="178"/>
      <c r="D321" s="384"/>
      <c r="E321" s="384"/>
      <c r="F321" s="384"/>
      <c r="KJ321" s="159"/>
    </row>
    <row r="322" spans="1:296">
      <c r="A322" s="159"/>
      <c r="B322" s="381">
        <f t="shared" si="4"/>
        <v>44953</v>
      </c>
      <c r="C322" s="178"/>
      <c r="D322" s="384"/>
      <c r="E322" s="384"/>
      <c r="F322" s="384"/>
      <c r="KJ322" s="159"/>
    </row>
    <row r="323" spans="1:296">
      <c r="A323" s="159"/>
      <c r="B323" s="381">
        <f t="shared" si="4"/>
        <v>44954</v>
      </c>
      <c r="C323" s="178"/>
      <c r="D323" s="384"/>
      <c r="E323" s="384"/>
      <c r="F323" s="384"/>
      <c r="KJ323" s="159"/>
    </row>
    <row r="324" spans="1:296">
      <c r="A324" s="159"/>
      <c r="B324" s="381">
        <f t="shared" si="4"/>
        <v>44955</v>
      </c>
      <c r="C324" s="178"/>
      <c r="D324" s="384"/>
      <c r="E324" s="384"/>
      <c r="F324" s="384"/>
      <c r="KJ324" s="159"/>
    </row>
    <row r="325" spans="1:296">
      <c r="A325" s="159"/>
      <c r="B325" s="381">
        <f t="shared" si="4"/>
        <v>44956</v>
      </c>
      <c r="C325" s="178"/>
      <c r="D325" s="384"/>
      <c r="E325" s="384"/>
      <c r="F325" s="384"/>
      <c r="KJ325" s="159"/>
    </row>
    <row r="326" spans="1:296" ht="13.15">
      <c r="A326" s="159"/>
      <c r="B326" s="381">
        <f t="shared" si="4"/>
        <v>44957</v>
      </c>
      <c r="C326" s="385"/>
      <c r="D326" s="386"/>
      <c r="E326" s="386"/>
      <c r="F326" s="386"/>
      <c r="KJ326" s="159"/>
    </row>
    <row r="327" spans="1:296" ht="13.15">
      <c r="A327" s="159"/>
      <c r="B327" s="617">
        <v>44958</v>
      </c>
      <c r="C327" s="385" t="s">
        <v>1112</v>
      </c>
      <c r="D327" s="386" t="s">
        <v>1112</v>
      </c>
      <c r="E327" s="386" t="s">
        <v>1112</v>
      </c>
      <c r="F327" s="386" t="s">
        <v>1112</v>
      </c>
      <c r="KJ327" s="159"/>
    </row>
    <row r="328" spans="1:296">
      <c r="A328" s="159"/>
      <c r="B328" s="381">
        <f>B326+1</f>
        <v>44958</v>
      </c>
      <c r="C328" s="178"/>
      <c r="D328" s="384"/>
      <c r="E328" s="384"/>
      <c r="F328" s="384"/>
      <c r="KJ328" s="159"/>
    </row>
    <row r="329" spans="1:296">
      <c r="A329" s="159"/>
      <c r="B329" s="381">
        <f t="shared" si="4"/>
        <v>44959</v>
      </c>
      <c r="C329" s="178"/>
      <c r="D329" s="384"/>
      <c r="E329" s="384"/>
      <c r="F329" s="384"/>
      <c r="KJ329" s="159"/>
    </row>
    <row r="330" spans="1:296">
      <c r="A330" s="159"/>
      <c r="B330" s="381">
        <f t="shared" si="4"/>
        <v>44960</v>
      </c>
      <c r="C330" s="178"/>
      <c r="D330" s="384"/>
      <c r="E330" s="384"/>
      <c r="F330" s="384"/>
      <c r="KJ330" s="159"/>
    </row>
    <row r="331" spans="1:296">
      <c r="A331" s="159"/>
      <c r="B331" s="381">
        <f t="shared" si="4"/>
        <v>44961</v>
      </c>
      <c r="C331" s="178"/>
      <c r="D331" s="384"/>
      <c r="E331" s="384"/>
      <c r="F331" s="384"/>
      <c r="KJ331" s="159"/>
    </row>
    <row r="332" spans="1:296">
      <c r="A332" s="159"/>
      <c r="B332" s="381">
        <f t="shared" si="4"/>
        <v>44962</v>
      </c>
      <c r="C332" s="178"/>
      <c r="D332" s="384"/>
      <c r="E332" s="384"/>
      <c r="F332" s="384"/>
      <c r="KJ332" s="159"/>
    </row>
    <row r="333" spans="1:296">
      <c r="A333" s="159"/>
      <c r="B333" s="381">
        <f t="shared" ref="B333:B386" si="5">B332+1</f>
        <v>44963</v>
      </c>
      <c r="C333" s="178"/>
      <c r="D333" s="384"/>
      <c r="E333" s="384"/>
      <c r="F333" s="384"/>
      <c r="KJ333" s="159"/>
    </row>
    <row r="334" spans="1:296">
      <c r="A334" s="159"/>
      <c r="B334" s="381">
        <f t="shared" si="5"/>
        <v>44964</v>
      </c>
      <c r="C334" s="178"/>
      <c r="D334" s="384"/>
      <c r="E334" s="384"/>
      <c r="F334" s="384"/>
      <c r="KJ334" s="159"/>
    </row>
    <row r="335" spans="1:296">
      <c r="A335" s="159"/>
      <c r="B335" s="381">
        <f t="shared" si="5"/>
        <v>44965</v>
      </c>
      <c r="C335" s="178"/>
      <c r="D335" s="384"/>
      <c r="E335" s="384"/>
      <c r="F335" s="384"/>
      <c r="KJ335" s="159"/>
    </row>
    <row r="336" spans="1:296">
      <c r="A336" s="159"/>
      <c r="B336" s="381">
        <f t="shared" si="5"/>
        <v>44966</v>
      </c>
      <c r="C336" s="178"/>
      <c r="D336" s="384"/>
      <c r="E336" s="384"/>
      <c r="F336" s="384"/>
      <c r="KJ336" s="159"/>
    </row>
    <row r="337" spans="1:296">
      <c r="A337" s="159"/>
      <c r="B337" s="381">
        <f t="shared" si="5"/>
        <v>44967</v>
      </c>
      <c r="C337" s="178"/>
      <c r="D337" s="384"/>
      <c r="E337" s="384"/>
      <c r="F337" s="384"/>
      <c r="KJ337" s="159"/>
    </row>
    <row r="338" spans="1:296">
      <c r="A338" s="159"/>
      <c r="B338" s="381">
        <f t="shared" si="5"/>
        <v>44968</v>
      </c>
      <c r="C338" s="178"/>
      <c r="D338" s="384"/>
      <c r="E338" s="384"/>
      <c r="F338" s="384"/>
      <c r="KJ338" s="159"/>
    </row>
    <row r="339" spans="1:296">
      <c r="A339" s="159"/>
      <c r="B339" s="381">
        <f t="shared" si="5"/>
        <v>44969</v>
      </c>
      <c r="C339" s="178"/>
      <c r="D339" s="384"/>
      <c r="E339" s="384"/>
      <c r="F339" s="384"/>
      <c r="KJ339" s="159"/>
    </row>
    <row r="340" spans="1:296">
      <c r="A340" s="159"/>
      <c r="B340" s="381">
        <f t="shared" si="5"/>
        <v>44970</v>
      </c>
      <c r="C340" s="178"/>
      <c r="D340" s="384"/>
      <c r="E340" s="384"/>
      <c r="F340" s="384"/>
      <c r="KJ340" s="159"/>
    </row>
    <row r="341" spans="1:296">
      <c r="A341" s="159"/>
      <c r="B341" s="381">
        <f t="shared" si="5"/>
        <v>44971</v>
      </c>
      <c r="C341" s="178"/>
      <c r="D341" s="384"/>
      <c r="E341" s="384"/>
      <c r="F341" s="384"/>
      <c r="KJ341" s="159"/>
    </row>
    <row r="342" spans="1:296">
      <c r="A342" s="159"/>
      <c r="B342" s="381">
        <f t="shared" si="5"/>
        <v>44972</v>
      </c>
      <c r="C342" s="178"/>
      <c r="D342" s="384"/>
      <c r="E342" s="384"/>
      <c r="F342" s="384"/>
      <c r="KJ342" s="159"/>
    </row>
    <row r="343" spans="1:296">
      <c r="A343" s="159"/>
      <c r="B343" s="381">
        <f t="shared" si="5"/>
        <v>44973</v>
      </c>
      <c r="C343" s="178"/>
      <c r="D343" s="384"/>
      <c r="E343" s="384"/>
      <c r="F343" s="384"/>
      <c r="KJ343" s="159"/>
    </row>
    <row r="344" spans="1:296">
      <c r="A344" s="159"/>
      <c r="B344" s="381">
        <f t="shared" si="5"/>
        <v>44974</v>
      </c>
      <c r="C344" s="178"/>
      <c r="D344" s="384"/>
      <c r="E344" s="384"/>
      <c r="F344" s="384"/>
      <c r="KJ344" s="159"/>
    </row>
    <row r="345" spans="1:296">
      <c r="A345" s="159"/>
      <c r="B345" s="381">
        <f t="shared" si="5"/>
        <v>44975</v>
      </c>
      <c r="C345" s="178"/>
      <c r="D345" s="384"/>
      <c r="E345" s="384"/>
      <c r="F345" s="384"/>
      <c r="KJ345" s="159"/>
    </row>
    <row r="346" spans="1:296">
      <c r="A346" s="159"/>
      <c r="B346" s="381">
        <f t="shared" si="5"/>
        <v>44976</v>
      </c>
      <c r="C346" s="178"/>
      <c r="D346" s="384"/>
      <c r="E346" s="384"/>
      <c r="F346" s="384"/>
      <c r="KJ346" s="159"/>
    </row>
    <row r="347" spans="1:296">
      <c r="A347" s="159"/>
      <c r="B347" s="381">
        <f t="shared" si="5"/>
        <v>44977</v>
      </c>
      <c r="C347" s="178"/>
      <c r="D347" s="384"/>
      <c r="E347" s="384"/>
      <c r="F347" s="384"/>
      <c r="KJ347" s="159"/>
    </row>
    <row r="348" spans="1:296">
      <c r="A348" s="159"/>
      <c r="B348" s="381">
        <f t="shared" si="5"/>
        <v>44978</v>
      </c>
      <c r="C348" s="178"/>
      <c r="D348" s="384"/>
      <c r="E348" s="384"/>
      <c r="F348" s="384"/>
      <c r="KJ348" s="159"/>
    </row>
    <row r="349" spans="1:296">
      <c r="A349" s="159"/>
      <c r="B349" s="381">
        <f t="shared" si="5"/>
        <v>44979</v>
      </c>
      <c r="C349" s="178"/>
      <c r="D349" s="384"/>
      <c r="E349" s="384"/>
      <c r="F349" s="384"/>
      <c r="KJ349" s="159"/>
    </row>
    <row r="350" spans="1:296">
      <c r="A350" s="159"/>
      <c r="B350" s="381">
        <f t="shared" si="5"/>
        <v>44980</v>
      </c>
      <c r="C350" s="178"/>
      <c r="D350" s="384"/>
      <c r="E350" s="384"/>
      <c r="F350" s="384"/>
      <c r="KJ350" s="159"/>
    </row>
    <row r="351" spans="1:296">
      <c r="A351" s="159"/>
      <c r="B351" s="381">
        <f t="shared" si="5"/>
        <v>44981</v>
      </c>
      <c r="C351" s="178"/>
      <c r="D351" s="384"/>
      <c r="E351" s="384"/>
      <c r="F351" s="384"/>
      <c r="KJ351" s="159"/>
    </row>
    <row r="352" spans="1:296">
      <c r="A352" s="159"/>
      <c r="B352" s="381">
        <f t="shared" si="5"/>
        <v>44982</v>
      </c>
      <c r="C352" s="178"/>
      <c r="D352" s="384"/>
      <c r="E352" s="384"/>
      <c r="F352" s="384"/>
      <c r="KJ352" s="159"/>
    </row>
    <row r="353" spans="1:296">
      <c r="A353" s="159"/>
      <c r="B353" s="381">
        <f t="shared" si="5"/>
        <v>44983</v>
      </c>
      <c r="C353" s="178"/>
      <c r="D353" s="384"/>
      <c r="E353" s="384"/>
      <c r="F353" s="384"/>
      <c r="KJ353" s="159"/>
    </row>
    <row r="354" spans="1:296">
      <c r="A354" s="159"/>
      <c r="B354" s="381">
        <f t="shared" si="5"/>
        <v>44984</v>
      </c>
      <c r="C354" s="178"/>
      <c r="D354" s="384"/>
      <c r="E354" s="384"/>
      <c r="F354" s="384"/>
      <c r="KJ354" s="159"/>
    </row>
    <row r="355" spans="1:296" ht="13.15">
      <c r="A355" s="159"/>
      <c r="B355" s="381">
        <f t="shared" si="5"/>
        <v>44985</v>
      </c>
      <c r="C355" s="385"/>
      <c r="D355" s="386"/>
      <c r="E355" s="386"/>
      <c r="F355" s="386"/>
      <c r="KJ355" s="159"/>
    </row>
    <row r="356" spans="1:296" ht="13.15">
      <c r="A356" s="159"/>
      <c r="B356" s="617">
        <v>44986</v>
      </c>
      <c r="C356" s="385" t="s">
        <v>1112</v>
      </c>
      <c r="D356" s="386" t="s">
        <v>1112</v>
      </c>
      <c r="E356" s="386" t="s">
        <v>1112</v>
      </c>
      <c r="F356" s="386" t="s">
        <v>1112</v>
      </c>
      <c r="KJ356" s="159"/>
    </row>
    <row r="357" spans="1:296">
      <c r="A357" s="159"/>
      <c r="B357" s="381">
        <f>B355+1</f>
        <v>44986</v>
      </c>
      <c r="C357" s="178"/>
      <c r="D357" s="384"/>
      <c r="E357" s="384"/>
      <c r="F357" s="384"/>
      <c r="KJ357" s="159"/>
    </row>
    <row r="358" spans="1:296">
      <c r="A358" s="159"/>
      <c r="B358" s="381">
        <f t="shared" si="5"/>
        <v>44987</v>
      </c>
      <c r="C358" s="178"/>
      <c r="D358" s="384"/>
      <c r="E358" s="384"/>
      <c r="F358" s="384"/>
      <c r="KJ358" s="159"/>
    </row>
    <row r="359" spans="1:296">
      <c r="A359" s="159"/>
      <c r="B359" s="381">
        <f t="shared" si="5"/>
        <v>44988</v>
      </c>
      <c r="C359" s="178"/>
      <c r="D359" s="384"/>
      <c r="E359" s="384"/>
      <c r="F359" s="384"/>
      <c r="KJ359" s="159"/>
    </row>
    <row r="360" spans="1:296">
      <c r="A360" s="159"/>
      <c r="B360" s="381">
        <f t="shared" si="5"/>
        <v>44989</v>
      </c>
      <c r="C360" s="178"/>
      <c r="D360" s="384"/>
      <c r="E360" s="384"/>
      <c r="F360" s="384"/>
      <c r="KJ360" s="159"/>
    </row>
    <row r="361" spans="1:296">
      <c r="A361" s="159"/>
      <c r="B361" s="381">
        <f t="shared" si="5"/>
        <v>44990</v>
      </c>
      <c r="C361" s="178"/>
      <c r="D361" s="384"/>
      <c r="E361" s="384"/>
      <c r="F361" s="384"/>
      <c r="KJ361" s="159"/>
    </row>
    <row r="362" spans="1:296">
      <c r="A362" s="159"/>
      <c r="B362" s="381">
        <f t="shared" si="5"/>
        <v>44991</v>
      </c>
      <c r="C362" s="178"/>
      <c r="D362" s="384"/>
      <c r="E362" s="384"/>
      <c r="F362" s="384"/>
      <c r="KJ362" s="159"/>
    </row>
    <row r="363" spans="1:296">
      <c r="A363" s="159"/>
      <c r="B363" s="381">
        <f t="shared" si="5"/>
        <v>44992</v>
      </c>
      <c r="C363" s="178"/>
      <c r="D363" s="384"/>
      <c r="E363" s="384"/>
      <c r="F363" s="384"/>
      <c r="KJ363" s="159"/>
    </row>
    <row r="364" spans="1:296">
      <c r="A364" s="159"/>
      <c r="B364" s="381">
        <f t="shared" si="5"/>
        <v>44993</v>
      </c>
      <c r="C364" s="178"/>
      <c r="D364" s="384"/>
      <c r="E364" s="384"/>
      <c r="F364" s="384"/>
      <c r="KJ364" s="159"/>
    </row>
    <row r="365" spans="1:296">
      <c r="A365" s="159"/>
      <c r="B365" s="381">
        <f t="shared" si="5"/>
        <v>44994</v>
      </c>
      <c r="C365" s="178"/>
      <c r="D365" s="384"/>
      <c r="E365" s="384"/>
      <c r="F365" s="384"/>
      <c r="KJ365" s="159"/>
    </row>
    <row r="366" spans="1:296">
      <c r="A366" s="159"/>
      <c r="B366" s="381">
        <f t="shared" si="5"/>
        <v>44995</v>
      </c>
      <c r="C366" s="178"/>
      <c r="D366" s="384"/>
      <c r="E366" s="384"/>
      <c r="F366" s="384"/>
      <c r="KJ366" s="159"/>
    </row>
    <row r="367" spans="1:296">
      <c r="A367" s="159"/>
      <c r="B367" s="381">
        <f t="shared" si="5"/>
        <v>44996</v>
      </c>
      <c r="C367" s="178"/>
      <c r="D367" s="384"/>
      <c r="E367" s="384"/>
      <c r="F367" s="384"/>
      <c r="KJ367" s="159"/>
    </row>
    <row r="368" spans="1:296">
      <c r="A368" s="159"/>
      <c r="B368" s="381">
        <f t="shared" si="5"/>
        <v>44997</v>
      </c>
      <c r="C368" s="178"/>
      <c r="D368" s="384"/>
      <c r="E368" s="384"/>
      <c r="F368" s="384"/>
      <c r="KJ368" s="159"/>
    </row>
    <row r="369" spans="1:296">
      <c r="A369" s="159"/>
      <c r="B369" s="381">
        <f t="shared" si="5"/>
        <v>44998</v>
      </c>
      <c r="C369" s="178"/>
      <c r="D369" s="384"/>
      <c r="E369" s="384"/>
      <c r="F369" s="384"/>
      <c r="KJ369" s="159"/>
    </row>
    <row r="370" spans="1:296">
      <c r="A370" s="159"/>
      <c r="B370" s="381">
        <f t="shared" si="5"/>
        <v>44999</v>
      </c>
      <c r="C370" s="178"/>
      <c r="D370" s="384"/>
      <c r="E370" s="384"/>
      <c r="F370" s="384"/>
      <c r="KJ370" s="159"/>
    </row>
    <row r="371" spans="1:296">
      <c r="A371" s="159"/>
      <c r="B371" s="381">
        <f t="shared" si="5"/>
        <v>45000</v>
      </c>
      <c r="C371" s="178"/>
      <c r="D371" s="384"/>
      <c r="E371" s="384"/>
      <c r="F371" s="384"/>
      <c r="KJ371" s="159"/>
    </row>
    <row r="372" spans="1:296">
      <c r="A372" s="159"/>
      <c r="B372" s="381">
        <f t="shared" si="5"/>
        <v>45001</v>
      </c>
      <c r="C372" s="178"/>
      <c r="D372" s="384"/>
      <c r="E372" s="384"/>
      <c r="F372" s="384"/>
      <c r="KJ372" s="159"/>
    </row>
    <row r="373" spans="1:296">
      <c r="A373" s="159"/>
      <c r="B373" s="381">
        <f t="shared" si="5"/>
        <v>45002</v>
      </c>
      <c r="C373" s="178"/>
      <c r="D373" s="384"/>
      <c r="E373" s="384"/>
      <c r="F373" s="384"/>
      <c r="KJ373" s="159"/>
    </row>
    <row r="374" spans="1:296">
      <c r="A374" s="159"/>
      <c r="B374" s="381">
        <f t="shared" si="5"/>
        <v>45003</v>
      </c>
      <c r="C374" s="178"/>
      <c r="D374" s="384"/>
      <c r="E374" s="384"/>
      <c r="F374" s="384"/>
      <c r="KJ374" s="159"/>
    </row>
    <row r="375" spans="1:296">
      <c r="A375" s="159"/>
      <c r="B375" s="381">
        <f t="shared" si="5"/>
        <v>45004</v>
      </c>
      <c r="C375" s="178"/>
      <c r="D375" s="384"/>
      <c r="E375" s="384"/>
      <c r="F375" s="384"/>
      <c r="KJ375" s="159"/>
    </row>
    <row r="376" spans="1:296">
      <c r="A376" s="159"/>
      <c r="B376" s="381">
        <f t="shared" si="5"/>
        <v>45005</v>
      </c>
      <c r="C376" s="178"/>
      <c r="D376" s="384"/>
      <c r="E376" s="384"/>
      <c r="F376" s="384"/>
      <c r="KJ376" s="159"/>
    </row>
    <row r="377" spans="1:296">
      <c r="A377" s="159"/>
      <c r="B377" s="381">
        <f t="shared" si="5"/>
        <v>45006</v>
      </c>
      <c r="C377" s="178"/>
      <c r="D377" s="384"/>
      <c r="E377" s="384"/>
      <c r="F377" s="384"/>
      <c r="KJ377" s="159"/>
    </row>
    <row r="378" spans="1:296">
      <c r="A378" s="159"/>
      <c r="B378" s="381">
        <f t="shared" si="5"/>
        <v>45007</v>
      </c>
      <c r="C378" s="178"/>
      <c r="D378" s="384"/>
      <c r="E378" s="384"/>
      <c r="F378" s="384"/>
      <c r="KJ378" s="159"/>
    </row>
    <row r="379" spans="1:296">
      <c r="A379" s="159"/>
      <c r="B379" s="381">
        <f t="shared" si="5"/>
        <v>45008</v>
      </c>
      <c r="C379" s="178"/>
      <c r="D379" s="384"/>
      <c r="E379" s="384"/>
      <c r="F379" s="384"/>
      <c r="KJ379" s="159"/>
    </row>
    <row r="380" spans="1:296">
      <c r="A380" s="159"/>
      <c r="B380" s="381">
        <f t="shared" si="5"/>
        <v>45009</v>
      </c>
      <c r="C380" s="178"/>
      <c r="D380" s="384"/>
      <c r="E380" s="384"/>
      <c r="F380" s="384"/>
      <c r="KJ380" s="159"/>
    </row>
    <row r="381" spans="1:296">
      <c r="A381" s="159"/>
      <c r="B381" s="381">
        <f t="shared" si="5"/>
        <v>45010</v>
      </c>
      <c r="C381" s="178"/>
      <c r="D381" s="384"/>
      <c r="E381" s="384"/>
      <c r="F381" s="384"/>
      <c r="KJ381" s="159"/>
    </row>
    <row r="382" spans="1:296">
      <c r="A382" s="159"/>
      <c r="B382" s="381">
        <f t="shared" si="5"/>
        <v>45011</v>
      </c>
      <c r="C382" s="178"/>
      <c r="D382" s="384"/>
      <c r="E382" s="384"/>
      <c r="F382" s="384"/>
      <c r="KJ382" s="159"/>
    </row>
    <row r="383" spans="1:296">
      <c r="A383" s="159"/>
      <c r="B383" s="381">
        <f t="shared" si="5"/>
        <v>45012</v>
      </c>
      <c r="C383" s="178"/>
      <c r="D383" s="384"/>
      <c r="E383" s="384"/>
      <c r="F383" s="384"/>
      <c r="KJ383" s="159"/>
    </row>
    <row r="384" spans="1:296">
      <c r="A384" s="159"/>
      <c r="B384" s="381">
        <f t="shared" si="5"/>
        <v>45013</v>
      </c>
      <c r="C384" s="178"/>
      <c r="D384" s="384"/>
      <c r="E384" s="384"/>
      <c r="F384" s="384"/>
      <c r="KJ384" s="159"/>
    </row>
    <row r="385" spans="1:296">
      <c r="A385" s="159"/>
      <c r="B385" s="381">
        <f t="shared" si="5"/>
        <v>45014</v>
      </c>
      <c r="C385" s="178"/>
      <c r="D385" s="384"/>
      <c r="E385" s="384"/>
      <c r="F385" s="384"/>
      <c r="KJ385" s="159"/>
    </row>
    <row r="386" spans="1:296">
      <c r="A386" s="159"/>
      <c r="B386" s="381">
        <f t="shared" si="5"/>
        <v>45015</v>
      </c>
      <c r="C386" s="178"/>
      <c r="D386" s="384"/>
      <c r="E386" s="384"/>
      <c r="F386" s="384"/>
      <c r="KJ386" s="159"/>
    </row>
    <row r="387" spans="1:296" ht="13.15">
      <c r="A387" s="159"/>
      <c r="B387" s="621">
        <f>B386+1</f>
        <v>45016</v>
      </c>
      <c r="C387" s="385"/>
      <c r="D387" s="618"/>
      <c r="E387" s="618"/>
      <c r="F387" s="386"/>
      <c r="KJ387" s="159"/>
    </row>
    <row r="388" spans="1:296" s="159" customFormat="1" ht="13.15">
      <c r="B388" s="622">
        <v>45017</v>
      </c>
      <c r="C388" s="388" t="s">
        <v>1112</v>
      </c>
      <c r="D388" s="389" t="s">
        <v>1112</v>
      </c>
      <c r="E388" s="389" t="s">
        <v>1112</v>
      </c>
      <c r="F388" s="389" t="s">
        <v>1112</v>
      </c>
    </row>
    <row r="389" spans="1:296" s="159" customFormat="1">
      <c r="B389" s="387"/>
    </row>
    <row r="390" spans="1:296" s="159" customFormat="1"/>
    <row r="391" spans="1:296" s="159" customFormat="1"/>
    <row r="392" spans="1:296" s="159" customFormat="1"/>
    <row r="393" spans="1:296" s="159" customFormat="1"/>
    <row r="394" spans="1:296" s="159" customFormat="1"/>
    <row r="395" spans="1:296" s="159" customFormat="1"/>
    <row r="396" spans="1:296" s="159" customFormat="1"/>
    <row r="397" spans="1:296" s="159" customFormat="1"/>
    <row r="398" spans="1:296" s="159" customFormat="1"/>
    <row r="399" spans="1:296" s="159" customFormat="1"/>
    <row r="400" spans="1:296" s="159" customFormat="1"/>
    <row r="401" s="159" customFormat="1"/>
    <row r="402" s="159" customFormat="1"/>
    <row r="403" s="159" customFormat="1"/>
    <row r="404" s="159" customFormat="1"/>
    <row r="405" s="159" customFormat="1"/>
    <row r="406" s="159" customFormat="1"/>
    <row r="407" s="159" customFormat="1"/>
    <row r="408" s="159" customFormat="1"/>
    <row r="409" s="159" customFormat="1"/>
    <row r="410" s="159" customFormat="1"/>
    <row r="411" s="159" customFormat="1"/>
    <row r="412" s="159" customFormat="1"/>
    <row r="413" s="159" customFormat="1"/>
    <row r="414" s="159" customFormat="1"/>
    <row r="415" s="159" customFormat="1"/>
    <row r="416" s="159" customFormat="1"/>
    <row r="417" s="159" customFormat="1"/>
    <row r="418" s="159" customFormat="1"/>
    <row r="419" s="159" customFormat="1"/>
    <row r="420" s="159" customFormat="1"/>
    <row r="421" s="159" customFormat="1"/>
    <row r="422" s="159" customFormat="1"/>
    <row r="423" s="159" customFormat="1"/>
    <row r="424" s="159" customFormat="1"/>
    <row r="425" s="159" customFormat="1"/>
    <row r="426" s="159" customFormat="1"/>
    <row r="427" s="159" customFormat="1"/>
    <row r="428" s="159" customFormat="1"/>
    <row r="429" s="159" customFormat="1"/>
    <row r="430" s="159" customFormat="1"/>
    <row r="431" s="159" customFormat="1"/>
    <row r="432" s="159" customFormat="1"/>
    <row r="433" s="159" customFormat="1"/>
    <row r="434" s="159" customFormat="1"/>
    <row r="435" s="159" customFormat="1"/>
    <row r="436" s="159" customFormat="1"/>
    <row r="437" s="159" customFormat="1"/>
    <row r="438" s="159" customFormat="1"/>
    <row r="439" s="159" customFormat="1"/>
    <row r="440" s="159" customFormat="1"/>
    <row r="441" s="159" customFormat="1"/>
    <row r="442" s="159" customFormat="1"/>
    <row r="443" s="159" customFormat="1"/>
    <row r="444" s="159" customFormat="1"/>
    <row r="445" s="159" customFormat="1"/>
    <row r="446" s="159" customFormat="1"/>
    <row r="447" s="159" customFormat="1"/>
    <row r="448" s="159" customFormat="1"/>
    <row r="449" s="159" customFormat="1"/>
    <row r="450" s="159" customFormat="1"/>
    <row r="451" s="159" customFormat="1"/>
    <row r="452" s="159" customFormat="1"/>
    <row r="453" s="159" customFormat="1"/>
    <row r="454" s="159" customFormat="1"/>
    <row r="455" s="159" customFormat="1"/>
    <row r="456" s="159" customFormat="1"/>
    <row r="457" s="159" customFormat="1"/>
    <row r="458" s="159" customFormat="1"/>
    <row r="459" s="159" customFormat="1"/>
    <row r="460" s="159" customFormat="1"/>
    <row r="461" s="159" customFormat="1"/>
    <row r="462" s="159" customFormat="1"/>
    <row r="463" s="159" customFormat="1"/>
    <row r="464" s="159" customFormat="1"/>
    <row r="465" s="159" customFormat="1"/>
    <row r="466" s="159" customFormat="1"/>
    <row r="467" s="159" customFormat="1"/>
    <row r="468" s="159" customFormat="1"/>
    <row r="469" s="159" customFormat="1"/>
    <row r="470" s="159" customFormat="1"/>
    <row r="471" s="159" customFormat="1"/>
    <row r="472" s="159" customFormat="1"/>
    <row r="473" s="159" customFormat="1"/>
    <row r="474" s="159" customFormat="1"/>
    <row r="475" s="159" customFormat="1"/>
    <row r="476" s="159" customFormat="1"/>
    <row r="477" s="159" customFormat="1"/>
    <row r="478" s="159" customFormat="1"/>
    <row r="479" s="159" customFormat="1"/>
    <row r="480" s="159" customFormat="1"/>
    <row r="481" s="159" customFormat="1"/>
    <row r="482" s="159" customFormat="1"/>
    <row r="483" s="159" customFormat="1"/>
    <row r="484" s="159" customFormat="1"/>
    <row r="485" s="159" customFormat="1"/>
    <row r="486" s="159" customFormat="1"/>
    <row r="487" s="159" customFormat="1"/>
    <row r="488" s="159" customFormat="1"/>
    <row r="489" s="159" customFormat="1"/>
    <row r="490" s="159" customFormat="1"/>
    <row r="491" s="159" customFormat="1"/>
    <row r="492" s="159" customFormat="1"/>
    <row r="493" s="159" customFormat="1"/>
    <row r="494" s="159" customFormat="1"/>
    <row r="495" s="159" customFormat="1"/>
    <row r="496" s="159" customFormat="1"/>
    <row r="497" s="159" customFormat="1"/>
    <row r="498" s="159" customFormat="1"/>
    <row r="499" s="159" customFormat="1"/>
    <row r="500" s="159" customFormat="1"/>
    <row r="501" s="159" customFormat="1"/>
    <row r="502" s="159" customFormat="1"/>
    <row r="503" s="159" customFormat="1"/>
    <row r="504" s="159" customFormat="1"/>
    <row r="505" s="159" customFormat="1"/>
    <row r="506" s="159" customFormat="1"/>
    <row r="507" s="159" customFormat="1"/>
    <row r="508" s="159" customFormat="1"/>
    <row r="509" s="159" customFormat="1"/>
    <row r="510" s="159" customFormat="1"/>
    <row r="511" s="159" customFormat="1"/>
    <row r="512" s="159" customFormat="1"/>
    <row r="513" s="159" customFormat="1"/>
    <row r="514" s="159" customFormat="1"/>
    <row r="515" s="159" customFormat="1"/>
    <row r="516" s="159" customFormat="1"/>
    <row r="517" s="159" customFormat="1"/>
    <row r="518" s="159" customFormat="1"/>
    <row r="519" s="159" customFormat="1"/>
    <row r="520" s="159" customFormat="1"/>
    <row r="521" s="159" customFormat="1"/>
    <row r="522" s="159" customFormat="1"/>
    <row r="523" s="159" customFormat="1"/>
    <row r="524" s="159" customFormat="1"/>
    <row r="525" s="159" customFormat="1"/>
    <row r="526" s="159" customFormat="1"/>
    <row r="527" s="159" customFormat="1"/>
    <row r="528" s="159" customFormat="1"/>
    <row r="529" s="159" customFormat="1"/>
    <row r="530" s="159" customFormat="1"/>
    <row r="531" s="159" customFormat="1"/>
    <row r="532" s="159" customFormat="1"/>
    <row r="533" s="159" customFormat="1"/>
    <row r="534" s="159" customFormat="1"/>
    <row r="535" s="159" customFormat="1"/>
    <row r="536" s="159" customFormat="1"/>
    <row r="537" s="159" customFormat="1"/>
    <row r="538" s="159" customFormat="1"/>
    <row r="539" s="159" customFormat="1"/>
    <row r="540" s="159" customFormat="1"/>
    <row r="541" s="159" customFormat="1"/>
    <row r="542" s="159" customFormat="1"/>
    <row r="543" s="159" customFormat="1"/>
    <row r="544" s="159" customFormat="1"/>
    <row r="545" s="159" customFormat="1"/>
    <row r="546" s="159" customFormat="1"/>
    <row r="547" s="159" customFormat="1"/>
    <row r="548" s="159" customFormat="1"/>
    <row r="549" s="159" customFormat="1"/>
    <row r="550" s="159" customFormat="1"/>
    <row r="551" s="159" customFormat="1"/>
    <row r="552" s="159" customFormat="1"/>
    <row r="553" s="159" customFormat="1"/>
    <row r="554" s="159" customFormat="1"/>
    <row r="555" s="159" customFormat="1"/>
    <row r="556" s="159" customFormat="1"/>
    <row r="557" s="159" customFormat="1"/>
    <row r="558" s="159" customFormat="1"/>
    <row r="559" s="159" customFormat="1"/>
    <row r="560" s="159" customFormat="1"/>
    <row r="561" s="159" customFormat="1"/>
    <row r="562" s="159" customFormat="1"/>
    <row r="563" s="159" customFormat="1"/>
    <row r="564" s="159" customFormat="1"/>
    <row r="565" s="159" customFormat="1"/>
    <row r="566" s="159" customFormat="1"/>
    <row r="567" s="159" customFormat="1"/>
    <row r="568" s="159" customFormat="1"/>
    <row r="569" s="159" customFormat="1"/>
    <row r="570" s="159" customFormat="1"/>
    <row r="571" s="159" customFormat="1"/>
    <row r="572" s="159" customFormat="1"/>
    <row r="573" s="159" customFormat="1"/>
    <row r="574" s="159" customFormat="1"/>
    <row r="575" s="159" customFormat="1"/>
    <row r="576" s="159" customFormat="1"/>
    <row r="577" s="159" customFormat="1"/>
    <row r="578" s="159" customFormat="1"/>
    <row r="579" s="159" customFormat="1"/>
    <row r="580" s="159" customFormat="1"/>
    <row r="581" s="159" customFormat="1"/>
    <row r="582" s="159" customFormat="1"/>
    <row r="583" s="159" customFormat="1"/>
    <row r="584" s="159" customFormat="1"/>
    <row r="585" s="159" customFormat="1"/>
    <row r="586" s="159" customFormat="1"/>
    <row r="587" s="159" customFormat="1"/>
    <row r="588" s="159" customFormat="1"/>
    <row r="589" s="159" customFormat="1"/>
    <row r="590" s="159" customFormat="1"/>
    <row r="591" s="159" customFormat="1"/>
    <row r="592" s="159" customFormat="1"/>
    <row r="593" s="159" customFormat="1"/>
    <row r="594" s="159" customFormat="1"/>
    <row r="595" s="159" customFormat="1"/>
    <row r="596" s="159" customFormat="1"/>
    <row r="597" s="159" customFormat="1"/>
    <row r="598" s="159" customFormat="1"/>
    <row r="599" s="159" customFormat="1"/>
    <row r="600" s="159" customFormat="1"/>
    <row r="601" s="159" customFormat="1"/>
    <row r="602" s="159" customFormat="1"/>
    <row r="603" s="159" customFormat="1"/>
    <row r="604" s="159" customFormat="1"/>
    <row r="605" s="159" customFormat="1"/>
    <row r="606" s="159" customFormat="1"/>
    <row r="607" s="159" customFormat="1"/>
    <row r="608" s="159" customFormat="1"/>
    <row r="609" s="159" customFormat="1"/>
    <row r="610" s="159" customFormat="1"/>
    <row r="611" s="159" customFormat="1"/>
    <row r="612" s="159" customFormat="1"/>
    <row r="613" s="159" customFormat="1"/>
    <row r="614" s="159" customFormat="1"/>
    <row r="615" s="159" customFormat="1"/>
    <row r="616" s="159" customFormat="1"/>
    <row r="617" s="159" customFormat="1"/>
    <row r="618" s="159" customFormat="1"/>
    <row r="619" s="159" customFormat="1"/>
    <row r="620" s="159" customFormat="1"/>
    <row r="621" s="159" customFormat="1"/>
    <row r="622" s="159" customFormat="1"/>
    <row r="623" s="159" customFormat="1"/>
    <row r="624" s="159" customFormat="1"/>
    <row r="625" s="159" customFormat="1"/>
    <row r="626" s="159" customFormat="1"/>
    <row r="627" s="159" customFormat="1"/>
    <row r="628" s="159" customFormat="1"/>
    <row r="629" s="159" customFormat="1"/>
    <row r="630" s="159" customFormat="1"/>
    <row r="631" s="159" customFormat="1"/>
    <row r="632" s="159" customFormat="1"/>
    <row r="633" s="159" customFormat="1"/>
    <row r="634" s="159" customFormat="1"/>
    <row r="635" s="159" customFormat="1"/>
    <row r="636" s="159" customFormat="1"/>
    <row r="637" s="159" customFormat="1"/>
    <row r="638" s="159" customFormat="1"/>
    <row r="639" s="159" customFormat="1"/>
    <row r="640" s="159" customFormat="1"/>
    <row r="641" s="159" customFormat="1"/>
    <row r="642" s="159" customFormat="1"/>
    <row r="643" s="159" customFormat="1"/>
    <row r="644" s="159" customFormat="1"/>
    <row r="645" s="159" customFormat="1"/>
    <row r="646" s="159" customFormat="1"/>
    <row r="647" s="159" customFormat="1"/>
    <row r="648" s="159" customFormat="1"/>
    <row r="649" s="159" customFormat="1"/>
    <row r="650" s="159" customFormat="1"/>
    <row r="651" s="159"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S1223"/>
  <sheetViews>
    <sheetView zoomScale="80" zoomScaleNormal="80" workbookViewId="0">
      <pane ySplit="4" topLeftCell="A5" activePane="bottomLeft" state="frozen"/>
      <selection activeCell="D31" sqref="D31"/>
      <selection pane="bottomLeft"/>
    </sheetView>
  </sheetViews>
  <sheetFormatPr defaultColWidth="10.265625" defaultRowHeight="12.75"/>
  <cols>
    <col min="1" max="1" width="5.86328125" style="364" customWidth="1"/>
    <col min="2" max="2" width="19.1328125" style="364" hidden="1" customWidth="1"/>
    <col min="3" max="3" width="13.265625" style="364" bestFit="1" customWidth="1"/>
    <col min="4" max="4" width="13.59765625" style="179" bestFit="1" customWidth="1"/>
    <col min="5" max="5" width="11.3984375" style="179" bestFit="1" customWidth="1"/>
    <col min="6" max="6" width="11.1328125" style="179" bestFit="1" customWidth="1"/>
    <col min="7" max="7" width="10.1328125" style="179" bestFit="1" customWidth="1"/>
    <col min="8" max="8" width="8" style="179" bestFit="1" customWidth="1"/>
    <col min="9" max="9" width="10.265625" style="179" bestFit="1" customWidth="1"/>
    <col min="10" max="11" width="9.73046875" style="179" bestFit="1" customWidth="1"/>
    <col min="12" max="12" width="19.265625" style="179" bestFit="1" customWidth="1"/>
    <col min="13" max="13" width="4.59765625" style="364" customWidth="1"/>
    <col min="14" max="14" width="18.59765625" style="364" customWidth="1"/>
    <col min="15" max="15" width="14" style="364" customWidth="1"/>
    <col min="16" max="16" width="10.265625" style="364"/>
    <col min="17" max="17" width="10.265625" style="179"/>
    <col min="18" max="18" width="11.265625" style="179" bestFit="1" customWidth="1"/>
    <col min="19" max="19" width="10.3984375" style="179" bestFit="1" customWidth="1"/>
    <col min="20" max="29" width="10.265625" style="179" bestFit="1" customWidth="1"/>
    <col min="30" max="30" width="11.265625" style="179" bestFit="1" customWidth="1"/>
    <col min="31" max="45" width="10.265625" style="364"/>
    <col min="46" max="16384" width="10.265625" style="179"/>
  </cols>
  <sheetData>
    <row r="1" spans="1:30" s="73" customFormat="1" ht="23.25">
      <c r="A1" s="89" t="str">
        <f>'1.1 Cover'!A2</f>
        <v>Regulatory Reporting Pack</v>
      </c>
    </row>
    <row r="2" spans="1:30" s="73" customFormat="1" ht="23.25">
      <c r="A2" s="89" t="str">
        <f>'1.1 Cover'!A3</f>
        <v>Price base - 2018/19</v>
      </c>
    </row>
    <row r="3" spans="1:30" s="73" customFormat="1" ht="23.25">
      <c r="A3" s="89" t="str">
        <f>'1.1 Cover'!A4</f>
        <v>Regulatory Year: April 2021 - March 2022</v>
      </c>
    </row>
    <row r="4" spans="1:30" s="73" customFormat="1" ht="23.25">
      <c r="A4" s="89" t="s">
        <v>1075</v>
      </c>
    </row>
    <row r="5" spans="1:30" s="310" customFormat="1" ht="15">
      <c r="F5" s="311"/>
      <c r="G5" s="312"/>
      <c r="H5" s="313"/>
      <c r="I5" s="313"/>
      <c r="J5" s="313"/>
      <c r="K5" s="313"/>
      <c r="L5" s="313"/>
      <c r="M5" s="313"/>
      <c r="N5" s="313"/>
      <c r="O5" s="313"/>
      <c r="P5" s="313"/>
      <c r="Q5" s="313"/>
      <c r="R5" s="313"/>
      <c r="S5" s="313"/>
      <c r="T5" s="313"/>
      <c r="U5" s="313"/>
      <c r="V5" s="313"/>
      <c r="W5" s="313"/>
    </row>
    <row r="6" spans="1:30" s="310" customFormat="1" ht="15">
      <c r="F6" s="311"/>
      <c r="G6" s="312"/>
      <c r="H6" s="313"/>
      <c r="I6" s="313"/>
      <c r="J6" s="313"/>
      <c r="K6" s="313"/>
      <c r="L6" s="313"/>
      <c r="M6" s="313"/>
      <c r="N6" s="313"/>
      <c r="O6" s="313"/>
      <c r="P6" s="313"/>
      <c r="Q6" s="313"/>
      <c r="R6" s="313"/>
      <c r="S6" s="313"/>
      <c r="T6" s="313"/>
      <c r="U6" s="313"/>
      <c r="V6" s="313"/>
      <c r="W6" s="313"/>
    </row>
    <row r="7" spans="1:30" s="310" customFormat="1" ht="15.4" thickBot="1">
      <c r="F7" s="313"/>
      <c r="H7" s="313"/>
      <c r="I7" s="313"/>
      <c r="J7" s="313"/>
      <c r="K7" s="313"/>
      <c r="L7" s="313"/>
      <c r="M7" s="313"/>
      <c r="N7" s="313"/>
      <c r="O7" s="313"/>
      <c r="P7" s="313"/>
      <c r="Q7" s="313"/>
      <c r="R7" s="313"/>
      <c r="S7" s="313"/>
      <c r="T7" s="313"/>
      <c r="U7" s="313"/>
      <c r="V7" s="313"/>
      <c r="W7" s="313"/>
    </row>
    <row r="8" spans="1:30" ht="26.45" customHeight="1">
      <c r="B8" s="372"/>
      <c r="C8" s="373"/>
      <c r="D8" s="1405" t="s">
        <v>1165</v>
      </c>
      <c r="E8" s="1406"/>
      <c r="F8" s="1406"/>
      <c r="G8" s="1406"/>
      <c r="H8" s="1406"/>
      <c r="I8" s="1406"/>
      <c r="J8" s="1406"/>
      <c r="K8" s="1406"/>
      <c r="L8" s="1407"/>
      <c r="Q8" s="192" t="s">
        <v>1164</v>
      </c>
      <c r="R8" s="199"/>
      <c r="S8" s="199"/>
      <c r="T8" s="199"/>
      <c r="U8" s="199"/>
      <c r="V8" s="199"/>
      <c r="W8" s="199"/>
      <c r="X8" s="199"/>
      <c r="Y8" s="199"/>
      <c r="Z8" s="199"/>
      <c r="AA8" s="199"/>
      <c r="AB8" s="199"/>
      <c r="AC8" s="199"/>
      <c r="AD8" s="199"/>
    </row>
    <row r="9" spans="1:30" ht="13.15">
      <c r="B9" s="374" t="s">
        <v>1163</v>
      </c>
      <c r="D9" s="198" t="s">
        <v>1162</v>
      </c>
      <c r="E9" s="198" t="s">
        <v>1161</v>
      </c>
      <c r="F9" s="198" t="s">
        <v>1160</v>
      </c>
      <c r="G9" s="198" t="s">
        <v>1159</v>
      </c>
      <c r="H9" s="198" t="s">
        <v>1158</v>
      </c>
      <c r="I9" s="198" t="s">
        <v>1157</v>
      </c>
      <c r="J9" s="198" t="s">
        <v>1156</v>
      </c>
      <c r="K9" s="198" t="s">
        <v>1155</v>
      </c>
      <c r="L9" s="198" t="s">
        <v>1154</v>
      </c>
      <c r="M9" s="365"/>
      <c r="N9" s="366" t="s">
        <v>1153</v>
      </c>
      <c r="O9" s="366" t="s">
        <v>1152</v>
      </c>
      <c r="Q9" s="196"/>
      <c r="R9" s="190">
        <v>43556</v>
      </c>
      <c r="S9" s="190">
        <v>43586</v>
      </c>
      <c r="T9" s="190">
        <v>43617</v>
      </c>
      <c r="U9" s="190">
        <v>43647</v>
      </c>
      <c r="V9" s="190">
        <v>43678</v>
      </c>
      <c r="W9" s="190">
        <v>43709</v>
      </c>
      <c r="X9" s="190">
        <v>43739</v>
      </c>
      <c r="Y9" s="190">
        <v>43770</v>
      </c>
      <c r="Z9" s="190">
        <v>43800</v>
      </c>
      <c r="AA9" s="190">
        <v>43831</v>
      </c>
      <c r="AB9" s="190">
        <v>43862</v>
      </c>
      <c r="AC9" s="190">
        <v>43891</v>
      </c>
      <c r="AD9" s="189" t="s">
        <v>1411</v>
      </c>
    </row>
    <row r="10" spans="1:30" ht="13.15">
      <c r="B10" s="367">
        <f t="shared" ref="B10:B73" si="0">IF(G10="buy",1,-1)</f>
        <v>-1</v>
      </c>
      <c r="D10" s="182"/>
      <c r="E10" s="182"/>
      <c r="F10" s="184"/>
      <c r="G10" s="182"/>
      <c r="H10" s="182"/>
      <c r="I10" s="182"/>
      <c r="J10" s="183"/>
      <c r="K10" s="183"/>
      <c r="L10" s="182"/>
      <c r="N10" s="367">
        <f t="shared" ref="N10:N73" si="1">+H10*((K10-J10)+1)*B10</f>
        <v>0</v>
      </c>
      <c r="O10" s="368">
        <f t="shared" ref="O10:O73" si="2">N10*L10/100</f>
        <v>0</v>
      </c>
      <c r="Q10" s="195"/>
      <c r="R10" s="194"/>
      <c r="S10" s="194"/>
      <c r="T10" s="194"/>
      <c r="U10" s="194"/>
      <c r="V10" s="194"/>
      <c r="W10" s="194"/>
      <c r="X10" s="194"/>
      <c r="Y10" s="194"/>
      <c r="Z10" s="194"/>
      <c r="AA10" s="194"/>
      <c r="AB10" s="194"/>
      <c r="AC10" s="194"/>
      <c r="AD10" s="194"/>
    </row>
    <row r="11" spans="1:30" ht="13.15">
      <c r="B11" s="367">
        <f t="shared" si="0"/>
        <v>-1</v>
      </c>
      <c r="D11" s="182"/>
      <c r="E11" s="182"/>
      <c r="F11" s="184"/>
      <c r="G11" s="182"/>
      <c r="H11" s="182"/>
      <c r="I11" s="182"/>
      <c r="J11" s="183"/>
      <c r="K11" s="183"/>
      <c r="L11" s="182"/>
      <c r="N11" s="367">
        <f t="shared" si="1"/>
        <v>0</v>
      </c>
      <c r="O11" s="368">
        <f t="shared" si="2"/>
        <v>0</v>
      </c>
      <c r="Q11" s="195"/>
      <c r="R11" s="194"/>
      <c r="S11" s="194"/>
      <c r="T11" s="194"/>
      <c r="U11" s="194"/>
      <c r="V11" s="194"/>
      <c r="W11" s="194"/>
      <c r="X11" s="194"/>
      <c r="Y11" s="194"/>
      <c r="Z11" s="194"/>
      <c r="AA11" s="194"/>
      <c r="AB11" s="194"/>
      <c r="AC11" s="194"/>
      <c r="AD11" s="194"/>
    </row>
    <row r="12" spans="1:30" ht="13.15">
      <c r="B12" s="367">
        <f t="shared" si="0"/>
        <v>-1</v>
      </c>
      <c r="D12" s="182"/>
      <c r="E12" s="182"/>
      <c r="F12" s="184"/>
      <c r="G12" s="182"/>
      <c r="H12" s="182"/>
      <c r="I12" s="182"/>
      <c r="J12" s="183"/>
      <c r="K12" s="183"/>
      <c r="L12" s="182"/>
      <c r="N12" s="367">
        <f t="shared" si="1"/>
        <v>0</v>
      </c>
      <c r="O12" s="368">
        <f t="shared" si="2"/>
        <v>0</v>
      </c>
      <c r="Q12" s="187" t="s">
        <v>1150</v>
      </c>
      <c r="R12" s="193"/>
      <c r="S12" s="193"/>
      <c r="T12" s="193"/>
      <c r="U12" s="193"/>
      <c r="V12" s="193"/>
      <c r="W12" s="193"/>
      <c r="X12" s="193"/>
      <c r="Y12" s="193"/>
      <c r="Z12" s="193"/>
      <c r="AA12" s="193"/>
      <c r="AB12" s="193"/>
      <c r="AC12" s="193"/>
      <c r="AD12" s="193"/>
    </row>
    <row r="13" spans="1:30">
      <c r="B13" s="367">
        <f t="shared" si="0"/>
        <v>-1</v>
      </c>
      <c r="D13" s="182"/>
      <c r="E13" s="182"/>
      <c r="F13" s="184"/>
      <c r="G13" s="182"/>
      <c r="H13" s="182"/>
      <c r="I13" s="182"/>
      <c r="J13" s="183"/>
      <c r="K13" s="183"/>
      <c r="L13" s="182"/>
      <c r="N13" s="367">
        <f t="shared" si="1"/>
        <v>0</v>
      </c>
      <c r="O13" s="368">
        <f t="shared" si="2"/>
        <v>0</v>
      </c>
      <c r="Q13" s="364"/>
      <c r="R13" s="364"/>
      <c r="S13" s="364"/>
      <c r="T13" s="364"/>
      <c r="U13" s="364"/>
      <c r="V13" s="364"/>
      <c r="W13" s="364"/>
      <c r="X13" s="364"/>
      <c r="Y13" s="364"/>
      <c r="Z13" s="364"/>
      <c r="AA13" s="364"/>
      <c r="AB13" s="364"/>
      <c r="AC13" s="364"/>
      <c r="AD13" s="364"/>
    </row>
    <row r="14" spans="1:30">
      <c r="B14" s="367">
        <f t="shared" si="0"/>
        <v>-1</v>
      </c>
      <c r="D14" s="182"/>
      <c r="E14" s="182"/>
      <c r="F14" s="184"/>
      <c r="G14" s="182"/>
      <c r="H14" s="182"/>
      <c r="I14" s="182"/>
      <c r="J14" s="183"/>
      <c r="K14" s="183"/>
      <c r="L14" s="182"/>
      <c r="N14" s="367">
        <f t="shared" si="1"/>
        <v>0</v>
      </c>
      <c r="O14" s="368">
        <f t="shared" si="2"/>
        <v>0</v>
      </c>
      <c r="Q14" s="364"/>
      <c r="R14" s="364"/>
      <c r="S14" s="364"/>
      <c r="T14" s="364"/>
      <c r="U14" s="364"/>
      <c r="V14" s="364"/>
      <c r="W14" s="364"/>
      <c r="X14" s="364"/>
      <c r="Y14" s="364"/>
      <c r="Z14" s="364"/>
      <c r="AA14" s="364"/>
      <c r="AB14" s="364"/>
      <c r="AC14" s="364"/>
      <c r="AD14" s="364"/>
    </row>
    <row r="15" spans="1:30">
      <c r="B15" s="367">
        <f t="shared" si="0"/>
        <v>-1</v>
      </c>
      <c r="D15" s="182"/>
      <c r="E15" s="182"/>
      <c r="F15" s="184"/>
      <c r="G15" s="182"/>
      <c r="H15" s="182"/>
      <c r="I15" s="182"/>
      <c r="J15" s="183"/>
      <c r="K15" s="183"/>
      <c r="L15" s="182"/>
      <c r="N15" s="367">
        <f t="shared" si="1"/>
        <v>0</v>
      </c>
      <c r="O15" s="368">
        <f t="shared" si="2"/>
        <v>0</v>
      </c>
      <c r="Q15" s="364"/>
      <c r="R15" s="364"/>
      <c r="S15" s="364"/>
      <c r="T15" s="364"/>
      <c r="U15" s="364"/>
      <c r="V15" s="364"/>
      <c r="W15" s="364"/>
      <c r="X15" s="364"/>
      <c r="Y15" s="364"/>
      <c r="Z15" s="364"/>
      <c r="AA15" s="364"/>
      <c r="AB15" s="364"/>
      <c r="AC15" s="364"/>
      <c r="AD15" s="364"/>
    </row>
    <row r="16" spans="1:30">
      <c r="B16" s="367">
        <f t="shared" si="0"/>
        <v>-1</v>
      </c>
      <c r="D16" s="182"/>
      <c r="E16" s="182"/>
      <c r="F16" s="184"/>
      <c r="G16" s="182"/>
      <c r="H16" s="182"/>
      <c r="I16" s="182"/>
      <c r="J16" s="183"/>
      <c r="K16" s="183"/>
      <c r="L16" s="182"/>
      <c r="N16" s="367">
        <f t="shared" si="1"/>
        <v>0</v>
      </c>
      <c r="O16" s="368">
        <f t="shared" si="2"/>
        <v>0</v>
      </c>
      <c r="Q16" s="364"/>
      <c r="R16" s="364"/>
      <c r="S16" s="364"/>
      <c r="T16" s="364"/>
      <c r="U16" s="364"/>
      <c r="V16" s="364"/>
      <c r="W16" s="364"/>
      <c r="X16" s="364"/>
      <c r="Y16" s="364"/>
      <c r="Z16" s="364"/>
      <c r="AA16" s="364"/>
      <c r="AB16" s="364"/>
      <c r="AC16" s="364"/>
      <c r="AD16" s="364"/>
    </row>
    <row r="17" spans="1:30">
      <c r="A17" s="606"/>
      <c r="B17" s="606">
        <f t="shared" si="0"/>
        <v>-1</v>
      </c>
      <c r="C17" s="606"/>
      <c r="D17" s="182"/>
      <c r="E17" s="182"/>
      <c r="F17" s="184"/>
      <c r="G17" s="182"/>
      <c r="H17" s="182"/>
      <c r="I17" s="182"/>
      <c r="J17" s="183"/>
      <c r="K17" s="183"/>
      <c r="L17" s="182"/>
      <c r="N17" s="367">
        <f t="shared" si="1"/>
        <v>0</v>
      </c>
      <c r="O17" s="368">
        <f t="shared" si="2"/>
        <v>0</v>
      </c>
      <c r="Q17" s="364"/>
      <c r="R17" s="364"/>
      <c r="S17" s="364"/>
      <c r="T17" s="364"/>
      <c r="U17" s="364"/>
      <c r="V17" s="364"/>
      <c r="W17" s="364"/>
      <c r="X17" s="364"/>
      <c r="Y17" s="364"/>
      <c r="Z17" s="364"/>
      <c r="AA17" s="364"/>
      <c r="AB17" s="364"/>
      <c r="AC17" s="364"/>
      <c r="AD17" s="364"/>
    </row>
    <row r="18" spans="1:30">
      <c r="A18" s="606"/>
      <c r="B18" s="606">
        <f t="shared" si="0"/>
        <v>-1</v>
      </c>
      <c r="C18" s="606"/>
      <c r="D18" s="182"/>
      <c r="E18" s="182"/>
      <c r="F18" s="184"/>
      <c r="G18" s="182"/>
      <c r="H18" s="182"/>
      <c r="I18" s="182"/>
      <c r="J18" s="183"/>
      <c r="K18" s="183"/>
      <c r="L18" s="182"/>
      <c r="N18" s="367">
        <f t="shared" si="1"/>
        <v>0</v>
      </c>
      <c r="O18" s="368">
        <f t="shared" si="2"/>
        <v>0</v>
      </c>
      <c r="Q18" s="364"/>
      <c r="R18" s="364"/>
      <c r="S18" s="364"/>
      <c r="T18" s="364"/>
      <c r="U18" s="364"/>
      <c r="V18" s="364"/>
      <c r="W18" s="364"/>
      <c r="X18" s="364"/>
      <c r="Y18" s="364"/>
      <c r="Z18" s="364"/>
      <c r="AA18" s="364"/>
      <c r="AB18" s="364"/>
      <c r="AC18" s="364"/>
      <c r="AD18" s="364"/>
    </row>
    <row r="19" spans="1:30" ht="13.15">
      <c r="A19" s="606"/>
      <c r="B19" s="606">
        <f t="shared" si="0"/>
        <v>-1</v>
      </c>
      <c r="C19" s="606"/>
      <c r="D19" s="182"/>
      <c r="E19" s="182"/>
      <c r="F19" s="184"/>
      <c r="G19" s="182"/>
      <c r="H19" s="182"/>
      <c r="I19" s="182"/>
      <c r="J19" s="183"/>
      <c r="K19" s="183"/>
      <c r="L19" s="182"/>
      <c r="N19" s="367">
        <f t="shared" si="1"/>
        <v>0</v>
      </c>
      <c r="O19" s="368">
        <f t="shared" si="2"/>
        <v>0</v>
      </c>
      <c r="Q19" s="192" t="s">
        <v>1151</v>
      </c>
      <c r="R19" s="191"/>
      <c r="S19" s="191"/>
      <c r="T19" s="191"/>
      <c r="U19" s="191"/>
      <c r="V19" s="191"/>
      <c r="W19" s="191"/>
      <c r="X19" s="191"/>
      <c r="Y19" s="191"/>
      <c r="Z19" s="191"/>
      <c r="AA19" s="191"/>
      <c r="AB19" s="191"/>
      <c r="AC19" s="191"/>
      <c r="AD19" s="191"/>
    </row>
    <row r="20" spans="1:30" ht="13.15">
      <c r="B20" s="367">
        <f t="shared" si="0"/>
        <v>-1</v>
      </c>
      <c r="D20" s="182"/>
      <c r="E20" s="182"/>
      <c r="F20" s="184"/>
      <c r="G20" s="182"/>
      <c r="H20" s="182"/>
      <c r="I20" s="182"/>
      <c r="J20" s="183"/>
      <c r="K20" s="183"/>
      <c r="L20" s="182"/>
      <c r="N20" s="367">
        <f t="shared" si="1"/>
        <v>0</v>
      </c>
      <c r="O20" s="368">
        <f t="shared" si="2"/>
        <v>0</v>
      </c>
      <c r="Q20" s="185"/>
      <c r="R20" s="190">
        <v>43556</v>
      </c>
      <c r="S20" s="190">
        <v>43586</v>
      </c>
      <c r="T20" s="190">
        <v>43617</v>
      </c>
      <c r="U20" s="190">
        <v>43647</v>
      </c>
      <c r="V20" s="190">
        <v>43678</v>
      </c>
      <c r="W20" s="190">
        <v>43709</v>
      </c>
      <c r="X20" s="190">
        <v>43739</v>
      </c>
      <c r="Y20" s="190">
        <v>43770</v>
      </c>
      <c r="Z20" s="190">
        <v>43800</v>
      </c>
      <c r="AA20" s="190">
        <v>43831</v>
      </c>
      <c r="AB20" s="190">
        <v>43862</v>
      </c>
      <c r="AC20" s="190">
        <v>43891</v>
      </c>
      <c r="AD20" s="189" t="s">
        <v>1411</v>
      </c>
    </row>
    <row r="21" spans="1:30">
      <c r="B21" s="367">
        <f t="shared" si="0"/>
        <v>-1</v>
      </c>
      <c r="D21" s="182"/>
      <c r="E21" s="182"/>
      <c r="F21" s="184"/>
      <c r="G21" s="182"/>
      <c r="H21" s="182"/>
      <c r="I21" s="182"/>
      <c r="J21" s="183"/>
      <c r="K21" s="183"/>
      <c r="L21" s="182"/>
      <c r="N21" s="367">
        <f t="shared" si="1"/>
        <v>0</v>
      </c>
      <c r="O21" s="368">
        <f t="shared" si="2"/>
        <v>0</v>
      </c>
      <c r="Q21" s="185"/>
      <c r="R21" s="182"/>
      <c r="S21" s="188"/>
      <c r="T21" s="188"/>
      <c r="U21" s="182"/>
      <c r="V21" s="182"/>
      <c r="W21" s="182"/>
      <c r="X21" s="182"/>
      <c r="Y21" s="182"/>
      <c r="Z21" s="182"/>
      <c r="AA21" s="182"/>
      <c r="AB21" s="182"/>
      <c r="AC21" s="182"/>
      <c r="AD21" s="182"/>
    </row>
    <row r="22" spans="1:30">
      <c r="B22" s="367">
        <f t="shared" si="0"/>
        <v>-1</v>
      </c>
      <c r="D22" s="182"/>
      <c r="E22" s="182"/>
      <c r="F22" s="184"/>
      <c r="G22" s="182"/>
      <c r="H22" s="182"/>
      <c r="I22" s="182"/>
      <c r="J22" s="183"/>
      <c r="K22" s="183"/>
      <c r="L22" s="182"/>
      <c r="N22" s="367">
        <f t="shared" si="1"/>
        <v>0</v>
      </c>
      <c r="O22" s="368">
        <f t="shared" si="2"/>
        <v>0</v>
      </c>
      <c r="Q22" s="185"/>
      <c r="R22" s="182"/>
      <c r="S22" s="188"/>
      <c r="T22" s="188"/>
      <c r="U22" s="188"/>
      <c r="V22" s="188"/>
      <c r="W22" s="188"/>
      <c r="X22" s="188"/>
      <c r="Y22" s="188"/>
      <c r="Z22" s="188"/>
      <c r="AA22" s="188"/>
      <c r="AB22" s="188"/>
      <c r="AC22" s="188"/>
      <c r="AD22" s="188"/>
    </row>
    <row r="23" spans="1:30" ht="13.15">
      <c r="B23" s="367">
        <f t="shared" si="0"/>
        <v>-1</v>
      </c>
      <c r="D23" s="182"/>
      <c r="E23" s="182"/>
      <c r="F23" s="184"/>
      <c r="G23" s="182"/>
      <c r="H23" s="182"/>
      <c r="I23" s="182"/>
      <c r="J23" s="183"/>
      <c r="K23" s="183"/>
      <c r="L23" s="182"/>
      <c r="N23" s="367">
        <f t="shared" si="1"/>
        <v>0</v>
      </c>
      <c r="O23" s="368">
        <f t="shared" si="2"/>
        <v>0</v>
      </c>
      <c r="Q23" s="187" t="s">
        <v>1150</v>
      </c>
      <c r="R23" s="186"/>
      <c r="S23" s="186"/>
      <c r="T23" s="186"/>
      <c r="U23" s="186"/>
      <c r="V23" s="186"/>
      <c r="W23" s="186"/>
      <c r="X23" s="186"/>
      <c r="Y23" s="186"/>
      <c r="Z23" s="186"/>
      <c r="AA23" s="186"/>
      <c r="AB23" s="186"/>
      <c r="AC23" s="186"/>
      <c r="AD23" s="186"/>
    </row>
    <row r="24" spans="1:30">
      <c r="B24" s="367">
        <f t="shared" si="0"/>
        <v>-1</v>
      </c>
      <c r="D24" s="182"/>
      <c r="E24" s="182"/>
      <c r="F24" s="184"/>
      <c r="G24" s="182"/>
      <c r="H24" s="182"/>
      <c r="I24" s="182"/>
      <c r="J24" s="183"/>
      <c r="K24" s="183"/>
      <c r="L24" s="182"/>
      <c r="N24" s="367">
        <f t="shared" si="1"/>
        <v>0</v>
      </c>
      <c r="O24" s="368">
        <f t="shared" si="2"/>
        <v>0</v>
      </c>
      <c r="P24" s="606"/>
      <c r="Q24" s="606"/>
      <c r="R24" s="606"/>
      <c r="S24" s="606"/>
      <c r="T24" s="606"/>
      <c r="U24" s="606"/>
      <c r="V24" s="606"/>
      <c r="W24" s="606"/>
      <c r="X24" s="606"/>
      <c r="Y24" s="606"/>
      <c r="Z24" s="606"/>
      <c r="AA24" s="606"/>
      <c r="AB24" s="606"/>
      <c r="AC24" s="606"/>
      <c r="AD24" s="606"/>
    </row>
    <row r="25" spans="1:30">
      <c r="B25" s="367">
        <f t="shared" si="0"/>
        <v>-1</v>
      </c>
      <c r="D25" s="182"/>
      <c r="E25" s="182"/>
      <c r="F25" s="184"/>
      <c r="G25" s="182"/>
      <c r="H25" s="182"/>
      <c r="I25" s="182"/>
      <c r="J25" s="183"/>
      <c r="K25" s="183"/>
      <c r="L25" s="182"/>
      <c r="N25" s="367">
        <f t="shared" si="1"/>
        <v>0</v>
      </c>
      <c r="O25" s="368">
        <f t="shared" si="2"/>
        <v>0</v>
      </c>
      <c r="P25" s="606"/>
      <c r="Q25" s="606"/>
      <c r="R25" s="606"/>
      <c r="S25" s="606"/>
      <c r="T25" s="606"/>
      <c r="U25" s="606"/>
      <c r="V25" s="606"/>
      <c r="W25" s="606"/>
      <c r="X25" s="606"/>
      <c r="Y25" s="606"/>
      <c r="Z25" s="606"/>
      <c r="AA25" s="606"/>
      <c r="AB25" s="606"/>
      <c r="AC25" s="606"/>
      <c r="AD25" s="606"/>
    </row>
    <row r="26" spans="1:30" ht="12.75" customHeight="1">
      <c r="B26" s="367">
        <f t="shared" si="0"/>
        <v>-1</v>
      </c>
      <c r="D26" s="182"/>
      <c r="E26" s="182"/>
      <c r="F26" s="184"/>
      <c r="G26" s="182"/>
      <c r="H26" s="182"/>
      <c r="I26" s="182"/>
      <c r="J26" s="183"/>
      <c r="K26" s="183"/>
      <c r="L26" s="182"/>
      <c r="N26" s="367">
        <f t="shared" si="1"/>
        <v>0</v>
      </c>
      <c r="O26" s="368">
        <f t="shared" si="2"/>
        <v>0</v>
      </c>
      <c r="P26" s="606"/>
      <c r="Q26" s="606"/>
      <c r="R26" s="606"/>
      <c r="S26" s="606"/>
      <c r="T26" s="606"/>
      <c r="U26" s="606"/>
      <c r="V26" s="606"/>
      <c r="W26" s="606"/>
      <c r="X26" s="606"/>
      <c r="Y26" s="606"/>
      <c r="Z26" s="606"/>
      <c r="AA26" s="606"/>
      <c r="AB26" s="606"/>
      <c r="AC26" s="606"/>
      <c r="AD26" s="606"/>
    </row>
    <row r="27" spans="1:30">
      <c r="B27" s="367">
        <f t="shared" si="0"/>
        <v>-1</v>
      </c>
      <c r="D27" s="182"/>
      <c r="E27" s="182"/>
      <c r="F27" s="184"/>
      <c r="G27" s="182"/>
      <c r="H27" s="182"/>
      <c r="I27" s="182"/>
      <c r="J27" s="183"/>
      <c r="K27" s="183"/>
      <c r="L27" s="182"/>
      <c r="N27" s="367">
        <f t="shared" si="1"/>
        <v>0</v>
      </c>
      <c r="O27" s="368">
        <f t="shared" si="2"/>
        <v>0</v>
      </c>
      <c r="P27" s="606"/>
      <c r="Q27" s="606"/>
      <c r="R27" s="606"/>
      <c r="S27" s="606"/>
      <c r="T27" s="606"/>
      <c r="U27" s="606"/>
      <c r="V27" s="606"/>
      <c r="W27" s="606"/>
      <c r="X27" s="606"/>
      <c r="Y27" s="606"/>
      <c r="Z27" s="606"/>
      <c r="AA27" s="606"/>
      <c r="AB27" s="606"/>
      <c r="AC27" s="606"/>
      <c r="AD27" s="606"/>
    </row>
    <row r="28" spans="1:30">
      <c r="B28" s="367">
        <f t="shared" si="0"/>
        <v>-1</v>
      </c>
      <c r="D28" s="182"/>
      <c r="E28" s="182"/>
      <c r="F28" s="184"/>
      <c r="G28" s="182"/>
      <c r="H28" s="182"/>
      <c r="I28" s="182"/>
      <c r="J28" s="183"/>
      <c r="K28" s="183"/>
      <c r="L28" s="182"/>
      <c r="N28" s="367">
        <f t="shared" si="1"/>
        <v>0</v>
      </c>
      <c r="O28" s="368">
        <f t="shared" si="2"/>
        <v>0</v>
      </c>
      <c r="P28" s="606"/>
      <c r="Q28" s="606"/>
      <c r="R28" s="606"/>
      <c r="S28" s="606"/>
      <c r="T28" s="606"/>
      <c r="U28" s="606"/>
      <c r="V28" s="606"/>
      <c r="W28" s="606"/>
      <c r="X28" s="606"/>
      <c r="Y28" s="606"/>
      <c r="Z28" s="606"/>
      <c r="AA28" s="606"/>
      <c r="AB28" s="606"/>
      <c r="AC28" s="606"/>
      <c r="AD28" s="606"/>
    </row>
    <row r="29" spans="1:30">
      <c r="B29" s="367">
        <f t="shared" si="0"/>
        <v>-1</v>
      </c>
      <c r="D29" s="182"/>
      <c r="E29" s="182"/>
      <c r="F29" s="184"/>
      <c r="G29" s="182"/>
      <c r="H29" s="182"/>
      <c r="I29" s="182"/>
      <c r="J29" s="183"/>
      <c r="K29" s="183"/>
      <c r="L29" s="182"/>
      <c r="N29" s="367">
        <f t="shared" si="1"/>
        <v>0</v>
      </c>
      <c r="O29" s="368">
        <f t="shared" si="2"/>
        <v>0</v>
      </c>
      <c r="P29" s="606"/>
      <c r="Q29" s="606"/>
      <c r="R29" s="606"/>
      <c r="S29" s="606"/>
      <c r="T29" s="606"/>
      <c r="U29" s="606"/>
      <c r="V29" s="606"/>
      <c r="W29" s="606"/>
      <c r="X29" s="606"/>
      <c r="Y29" s="606"/>
      <c r="Z29" s="606"/>
      <c r="AA29" s="606"/>
      <c r="AB29" s="606"/>
      <c r="AC29" s="606"/>
      <c r="AD29" s="606"/>
    </row>
    <row r="30" spans="1:30">
      <c r="B30" s="367">
        <f t="shared" si="0"/>
        <v>-1</v>
      </c>
      <c r="D30" s="182"/>
      <c r="E30" s="182"/>
      <c r="F30" s="184"/>
      <c r="G30" s="182"/>
      <c r="H30" s="182"/>
      <c r="I30" s="182"/>
      <c r="J30" s="183"/>
      <c r="K30" s="183"/>
      <c r="L30" s="182"/>
      <c r="N30" s="367">
        <f t="shared" si="1"/>
        <v>0</v>
      </c>
      <c r="O30" s="368">
        <f t="shared" si="2"/>
        <v>0</v>
      </c>
      <c r="P30" s="606"/>
      <c r="Q30" s="606"/>
      <c r="R30" s="606"/>
      <c r="S30" s="606"/>
      <c r="T30" s="606"/>
      <c r="U30" s="606"/>
      <c r="V30" s="606"/>
      <c r="W30" s="606"/>
      <c r="X30" s="606"/>
      <c r="Y30" s="606"/>
      <c r="Z30" s="606"/>
      <c r="AA30" s="606"/>
      <c r="AB30" s="606"/>
      <c r="AC30" s="606"/>
      <c r="AD30" s="606"/>
    </row>
    <row r="31" spans="1:30">
      <c r="B31" s="367">
        <f t="shared" si="0"/>
        <v>-1</v>
      </c>
      <c r="D31" s="182"/>
      <c r="E31" s="182"/>
      <c r="F31" s="184"/>
      <c r="G31" s="182"/>
      <c r="H31" s="182"/>
      <c r="I31" s="182"/>
      <c r="J31" s="183"/>
      <c r="K31" s="183"/>
      <c r="L31" s="182"/>
      <c r="N31" s="367">
        <f t="shared" si="1"/>
        <v>0</v>
      </c>
      <c r="O31" s="368">
        <f t="shared" si="2"/>
        <v>0</v>
      </c>
      <c r="P31" s="606"/>
      <c r="Q31" s="606"/>
      <c r="R31" s="606"/>
      <c r="S31" s="606"/>
      <c r="T31" s="606"/>
      <c r="U31" s="606"/>
      <c r="V31" s="606"/>
      <c r="W31" s="606"/>
      <c r="X31" s="606"/>
      <c r="Y31" s="606"/>
      <c r="Z31" s="606"/>
      <c r="AA31" s="606"/>
      <c r="AB31" s="606"/>
      <c r="AC31" s="606"/>
      <c r="AD31" s="606"/>
    </row>
    <row r="32" spans="1:30">
      <c r="B32" s="367">
        <f t="shared" si="0"/>
        <v>-1</v>
      </c>
      <c r="D32" s="182"/>
      <c r="E32" s="182"/>
      <c r="F32" s="184"/>
      <c r="G32" s="182"/>
      <c r="H32" s="182"/>
      <c r="I32" s="182"/>
      <c r="J32" s="183"/>
      <c r="K32" s="183"/>
      <c r="L32" s="182"/>
      <c r="N32" s="367">
        <f t="shared" si="1"/>
        <v>0</v>
      </c>
      <c r="O32" s="368">
        <f t="shared" si="2"/>
        <v>0</v>
      </c>
      <c r="P32" s="606"/>
      <c r="Q32" s="606"/>
      <c r="R32" s="606"/>
      <c r="S32" s="606"/>
      <c r="T32" s="606"/>
      <c r="U32" s="606"/>
      <c r="V32" s="606"/>
      <c r="W32" s="606"/>
      <c r="X32" s="606"/>
      <c r="Y32" s="606"/>
      <c r="Z32" s="606"/>
      <c r="AA32" s="606"/>
      <c r="AB32" s="606"/>
      <c r="AC32" s="606"/>
      <c r="AD32" s="606"/>
    </row>
    <row r="33" spans="2:30">
      <c r="B33" s="367">
        <f t="shared" si="0"/>
        <v>-1</v>
      </c>
      <c r="D33" s="182"/>
      <c r="E33" s="182"/>
      <c r="F33" s="184"/>
      <c r="G33" s="182"/>
      <c r="H33" s="182"/>
      <c r="I33" s="182"/>
      <c r="J33" s="183"/>
      <c r="K33" s="183"/>
      <c r="L33" s="182"/>
      <c r="N33" s="367">
        <f t="shared" si="1"/>
        <v>0</v>
      </c>
      <c r="O33" s="368">
        <f t="shared" si="2"/>
        <v>0</v>
      </c>
      <c r="P33" s="606"/>
      <c r="Q33" s="606"/>
      <c r="R33" s="606"/>
      <c r="S33" s="606"/>
      <c r="T33" s="606"/>
      <c r="U33" s="606"/>
      <c r="V33" s="606"/>
      <c r="W33" s="606"/>
      <c r="X33" s="606"/>
      <c r="Y33" s="606"/>
      <c r="Z33" s="606"/>
      <c r="AA33" s="606"/>
      <c r="AB33" s="606"/>
      <c r="AC33" s="606"/>
      <c r="AD33" s="606"/>
    </row>
    <row r="34" spans="2:30">
      <c r="B34" s="367">
        <f t="shared" si="0"/>
        <v>-1</v>
      </c>
      <c r="D34" s="182"/>
      <c r="E34" s="182"/>
      <c r="F34" s="184"/>
      <c r="G34" s="182"/>
      <c r="H34" s="182"/>
      <c r="I34" s="182"/>
      <c r="J34" s="183"/>
      <c r="K34" s="183"/>
      <c r="L34" s="182"/>
      <c r="N34" s="367">
        <f t="shared" si="1"/>
        <v>0</v>
      </c>
      <c r="O34" s="368">
        <f t="shared" si="2"/>
        <v>0</v>
      </c>
      <c r="P34" s="606"/>
      <c r="Q34" s="606"/>
      <c r="R34" s="606"/>
      <c r="S34" s="606"/>
      <c r="T34" s="606"/>
      <c r="U34" s="606"/>
      <c r="V34" s="606"/>
      <c r="W34" s="606"/>
      <c r="X34" s="606"/>
      <c r="Y34" s="606"/>
      <c r="Z34" s="606"/>
      <c r="AA34" s="606"/>
      <c r="AB34" s="606"/>
      <c r="AC34" s="606"/>
      <c r="AD34" s="606"/>
    </row>
    <row r="35" spans="2:30">
      <c r="B35" s="367">
        <f t="shared" si="0"/>
        <v>-1</v>
      </c>
      <c r="D35" s="182"/>
      <c r="E35" s="182"/>
      <c r="F35" s="184"/>
      <c r="G35" s="182"/>
      <c r="H35" s="182"/>
      <c r="I35" s="182"/>
      <c r="J35" s="183"/>
      <c r="K35" s="183"/>
      <c r="L35" s="182"/>
      <c r="N35" s="367">
        <f t="shared" si="1"/>
        <v>0</v>
      </c>
      <c r="O35" s="368">
        <f t="shared" si="2"/>
        <v>0</v>
      </c>
      <c r="P35" s="606"/>
      <c r="Q35" s="606"/>
      <c r="R35" s="606"/>
      <c r="S35" s="606"/>
      <c r="T35" s="606"/>
      <c r="U35" s="606"/>
      <c r="V35" s="606"/>
      <c r="W35" s="606"/>
      <c r="X35" s="606"/>
      <c r="Y35" s="606"/>
      <c r="Z35" s="606"/>
      <c r="AA35" s="606"/>
      <c r="AB35" s="606"/>
      <c r="AC35" s="606"/>
      <c r="AD35" s="606"/>
    </row>
    <row r="36" spans="2:30">
      <c r="B36" s="367">
        <f t="shared" si="0"/>
        <v>-1</v>
      </c>
      <c r="D36" s="182"/>
      <c r="E36" s="182"/>
      <c r="F36" s="184"/>
      <c r="G36" s="182"/>
      <c r="H36" s="182"/>
      <c r="I36" s="182"/>
      <c r="J36" s="183"/>
      <c r="K36" s="183"/>
      <c r="L36" s="182"/>
      <c r="N36" s="367">
        <f t="shared" si="1"/>
        <v>0</v>
      </c>
      <c r="O36" s="368">
        <f t="shared" si="2"/>
        <v>0</v>
      </c>
      <c r="P36" s="606"/>
      <c r="Q36" s="606"/>
      <c r="R36" s="606"/>
      <c r="S36" s="606"/>
      <c r="T36" s="606"/>
      <c r="U36" s="606"/>
      <c r="V36" s="606"/>
      <c r="W36" s="606"/>
      <c r="X36" s="606"/>
      <c r="Y36" s="606"/>
      <c r="Z36" s="606"/>
      <c r="AA36" s="606"/>
      <c r="AB36" s="606"/>
      <c r="AC36" s="606"/>
      <c r="AD36" s="606"/>
    </row>
    <row r="37" spans="2:30">
      <c r="B37" s="367">
        <f t="shared" si="0"/>
        <v>-1</v>
      </c>
      <c r="D37" s="182"/>
      <c r="E37" s="182"/>
      <c r="F37" s="184"/>
      <c r="G37" s="182"/>
      <c r="H37" s="182"/>
      <c r="I37" s="182"/>
      <c r="J37" s="183"/>
      <c r="K37" s="183"/>
      <c r="L37" s="182"/>
      <c r="N37" s="367">
        <f t="shared" si="1"/>
        <v>0</v>
      </c>
      <c r="O37" s="368">
        <f t="shared" si="2"/>
        <v>0</v>
      </c>
      <c r="P37" s="606"/>
      <c r="Q37" s="606"/>
      <c r="R37" s="606"/>
      <c r="S37" s="606"/>
      <c r="T37" s="606"/>
      <c r="U37" s="606"/>
      <c r="V37" s="606"/>
      <c r="W37" s="606"/>
      <c r="X37" s="606"/>
      <c r="Y37" s="606"/>
      <c r="Z37" s="606"/>
      <c r="AA37" s="606"/>
      <c r="AB37" s="606"/>
      <c r="AC37" s="606"/>
      <c r="AD37" s="606"/>
    </row>
    <row r="38" spans="2:30">
      <c r="B38" s="367">
        <f t="shared" si="0"/>
        <v>-1</v>
      </c>
      <c r="D38" s="182"/>
      <c r="E38" s="182"/>
      <c r="F38" s="184"/>
      <c r="G38" s="182"/>
      <c r="H38" s="182"/>
      <c r="I38" s="182"/>
      <c r="J38" s="183"/>
      <c r="K38" s="183"/>
      <c r="L38" s="182"/>
      <c r="N38" s="367">
        <f t="shared" si="1"/>
        <v>0</v>
      </c>
      <c r="O38" s="368">
        <f t="shared" si="2"/>
        <v>0</v>
      </c>
      <c r="P38" s="606"/>
      <c r="Q38" s="606"/>
      <c r="R38" s="606"/>
      <c r="S38" s="606"/>
      <c r="T38" s="606"/>
      <c r="U38" s="606"/>
      <c r="V38" s="606"/>
      <c r="W38" s="606"/>
      <c r="X38" s="606"/>
      <c r="Y38" s="606"/>
      <c r="Z38" s="606"/>
      <c r="AA38" s="606"/>
      <c r="AB38" s="606"/>
      <c r="AC38" s="606"/>
      <c r="AD38" s="606"/>
    </row>
    <row r="39" spans="2:30">
      <c r="B39" s="367">
        <f t="shared" si="0"/>
        <v>-1</v>
      </c>
      <c r="D39" s="182"/>
      <c r="E39" s="182"/>
      <c r="F39" s="184"/>
      <c r="G39" s="182"/>
      <c r="H39" s="182"/>
      <c r="I39" s="182"/>
      <c r="J39" s="183"/>
      <c r="K39" s="183"/>
      <c r="L39" s="182"/>
      <c r="N39" s="367">
        <f t="shared" si="1"/>
        <v>0</v>
      </c>
      <c r="O39" s="368">
        <f t="shared" si="2"/>
        <v>0</v>
      </c>
      <c r="P39" s="606"/>
      <c r="Q39" s="606"/>
      <c r="R39" s="606"/>
      <c r="S39" s="606"/>
      <c r="T39" s="606"/>
      <c r="U39" s="606"/>
      <c r="V39" s="606"/>
      <c r="W39" s="606"/>
      <c r="X39" s="606"/>
      <c r="Y39" s="606"/>
      <c r="Z39" s="606"/>
      <c r="AA39" s="606"/>
      <c r="AB39" s="606"/>
      <c r="AC39" s="606"/>
      <c r="AD39" s="606"/>
    </row>
    <row r="40" spans="2:30">
      <c r="B40" s="367">
        <f t="shared" si="0"/>
        <v>-1</v>
      </c>
      <c r="D40" s="182"/>
      <c r="E40" s="182"/>
      <c r="F40" s="184"/>
      <c r="G40" s="182"/>
      <c r="H40" s="182"/>
      <c r="I40" s="182"/>
      <c r="J40" s="183"/>
      <c r="K40" s="183"/>
      <c r="L40" s="182"/>
      <c r="N40" s="367">
        <f t="shared" si="1"/>
        <v>0</v>
      </c>
      <c r="O40" s="368">
        <f t="shared" si="2"/>
        <v>0</v>
      </c>
      <c r="P40" s="606"/>
      <c r="Q40" s="606"/>
      <c r="R40" s="606"/>
      <c r="S40" s="606"/>
      <c r="T40" s="606"/>
      <c r="U40" s="606"/>
      <c r="V40" s="606"/>
      <c r="W40" s="606"/>
      <c r="X40" s="606"/>
      <c r="Y40" s="606"/>
      <c r="Z40" s="606"/>
      <c r="AA40" s="606"/>
      <c r="AB40" s="606"/>
      <c r="AC40" s="606"/>
      <c r="AD40" s="606"/>
    </row>
    <row r="41" spans="2:30">
      <c r="B41" s="367">
        <f t="shared" si="0"/>
        <v>-1</v>
      </c>
      <c r="D41" s="182"/>
      <c r="E41" s="182"/>
      <c r="F41" s="184"/>
      <c r="G41" s="182"/>
      <c r="H41" s="182"/>
      <c r="I41" s="182"/>
      <c r="J41" s="183"/>
      <c r="K41" s="183"/>
      <c r="L41" s="182"/>
      <c r="N41" s="367">
        <f t="shared" si="1"/>
        <v>0</v>
      </c>
      <c r="O41" s="368">
        <f t="shared" si="2"/>
        <v>0</v>
      </c>
      <c r="P41" s="606"/>
      <c r="Q41" s="606"/>
      <c r="R41" s="606"/>
      <c r="S41" s="606"/>
      <c r="T41" s="606"/>
      <c r="U41" s="606"/>
      <c r="V41" s="606"/>
      <c r="W41" s="606"/>
      <c r="X41" s="606"/>
      <c r="Y41" s="606"/>
      <c r="Z41" s="606"/>
      <c r="AA41" s="606"/>
      <c r="AB41" s="606"/>
      <c r="AC41" s="606"/>
      <c r="AD41" s="606"/>
    </row>
    <row r="42" spans="2:30">
      <c r="B42" s="367">
        <f t="shared" si="0"/>
        <v>-1</v>
      </c>
      <c r="D42" s="182"/>
      <c r="E42" s="182"/>
      <c r="F42" s="184"/>
      <c r="G42" s="182"/>
      <c r="H42" s="182"/>
      <c r="I42" s="182"/>
      <c r="J42" s="183"/>
      <c r="K42" s="183"/>
      <c r="L42" s="182"/>
      <c r="N42" s="367">
        <f t="shared" si="1"/>
        <v>0</v>
      </c>
      <c r="O42" s="368">
        <f t="shared" si="2"/>
        <v>0</v>
      </c>
      <c r="P42" s="606"/>
      <c r="Q42" s="606"/>
      <c r="R42" s="606"/>
      <c r="S42" s="606"/>
      <c r="T42" s="606"/>
      <c r="U42" s="606"/>
      <c r="V42" s="606"/>
      <c r="W42" s="606"/>
      <c r="X42" s="606"/>
      <c r="Y42" s="606"/>
      <c r="Z42" s="606"/>
      <c r="AA42" s="606"/>
      <c r="AB42" s="606"/>
      <c r="AC42" s="606"/>
      <c r="AD42" s="606"/>
    </row>
    <row r="43" spans="2:30">
      <c r="B43" s="367">
        <f t="shared" si="0"/>
        <v>-1</v>
      </c>
      <c r="D43" s="182"/>
      <c r="E43" s="182"/>
      <c r="F43" s="184"/>
      <c r="G43" s="182"/>
      <c r="H43" s="182"/>
      <c r="I43" s="182"/>
      <c r="J43" s="183"/>
      <c r="K43" s="183"/>
      <c r="L43" s="182"/>
      <c r="N43" s="367">
        <f t="shared" si="1"/>
        <v>0</v>
      </c>
      <c r="O43" s="368">
        <f t="shared" si="2"/>
        <v>0</v>
      </c>
      <c r="P43" s="606"/>
      <c r="Q43" s="606"/>
      <c r="R43" s="606"/>
      <c r="S43" s="606"/>
      <c r="T43" s="606"/>
      <c r="U43" s="606"/>
      <c r="V43" s="606"/>
      <c r="W43" s="606"/>
      <c r="X43" s="606"/>
      <c r="Y43" s="606"/>
      <c r="Z43" s="606"/>
      <c r="AA43" s="606"/>
      <c r="AB43" s="606"/>
      <c r="AC43" s="606"/>
      <c r="AD43" s="606"/>
    </row>
    <row r="44" spans="2:30">
      <c r="B44" s="367">
        <f t="shared" si="0"/>
        <v>-1</v>
      </c>
      <c r="D44" s="182"/>
      <c r="E44" s="182"/>
      <c r="F44" s="184"/>
      <c r="G44" s="182"/>
      <c r="H44" s="182"/>
      <c r="I44" s="182"/>
      <c r="J44" s="183"/>
      <c r="K44" s="183"/>
      <c r="L44" s="182"/>
      <c r="N44" s="367">
        <f t="shared" si="1"/>
        <v>0</v>
      </c>
      <c r="O44" s="368">
        <f t="shared" si="2"/>
        <v>0</v>
      </c>
      <c r="P44" s="606"/>
      <c r="Q44" s="606"/>
      <c r="R44" s="606"/>
      <c r="S44" s="606"/>
      <c r="T44" s="606"/>
      <c r="U44" s="606"/>
      <c r="V44" s="606"/>
      <c r="W44" s="606"/>
      <c r="X44" s="606"/>
      <c r="Y44" s="606"/>
      <c r="Z44" s="606"/>
      <c r="AA44" s="606"/>
      <c r="AB44" s="606"/>
      <c r="AC44" s="606"/>
      <c r="AD44" s="606"/>
    </row>
    <row r="45" spans="2:30">
      <c r="B45" s="367">
        <f t="shared" si="0"/>
        <v>-1</v>
      </c>
      <c r="D45" s="182"/>
      <c r="E45" s="182"/>
      <c r="F45" s="184"/>
      <c r="G45" s="182"/>
      <c r="H45" s="182"/>
      <c r="I45" s="182"/>
      <c r="J45" s="183"/>
      <c r="K45" s="183"/>
      <c r="L45" s="182"/>
      <c r="N45" s="367">
        <f t="shared" si="1"/>
        <v>0</v>
      </c>
      <c r="O45" s="368">
        <f t="shared" si="2"/>
        <v>0</v>
      </c>
      <c r="P45" s="606"/>
      <c r="Q45" s="606"/>
      <c r="R45" s="606"/>
      <c r="S45" s="606"/>
      <c r="T45" s="606"/>
      <c r="U45" s="606"/>
      <c r="V45" s="606"/>
      <c r="W45" s="606"/>
      <c r="X45" s="606"/>
      <c r="Y45" s="606"/>
      <c r="Z45" s="606"/>
      <c r="AA45" s="606"/>
      <c r="AB45" s="606"/>
      <c r="AC45" s="606"/>
      <c r="AD45" s="606"/>
    </row>
    <row r="46" spans="2:30">
      <c r="B46" s="367">
        <f t="shared" si="0"/>
        <v>-1</v>
      </c>
      <c r="D46" s="182"/>
      <c r="E46" s="182"/>
      <c r="F46" s="184"/>
      <c r="G46" s="182"/>
      <c r="H46" s="182"/>
      <c r="I46" s="182"/>
      <c r="J46" s="183"/>
      <c r="K46" s="183"/>
      <c r="L46" s="182"/>
      <c r="N46" s="367">
        <f t="shared" si="1"/>
        <v>0</v>
      </c>
      <c r="O46" s="368">
        <f t="shared" si="2"/>
        <v>0</v>
      </c>
      <c r="P46" s="606"/>
      <c r="Q46" s="606"/>
      <c r="R46" s="606"/>
      <c r="S46" s="606"/>
      <c r="T46" s="606"/>
      <c r="U46" s="606"/>
      <c r="V46" s="606"/>
      <c r="W46" s="606"/>
      <c r="X46" s="606"/>
      <c r="Y46" s="606"/>
      <c r="Z46" s="606"/>
      <c r="AA46" s="606"/>
      <c r="AB46" s="606"/>
      <c r="AC46" s="606"/>
      <c r="AD46" s="606"/>
    </row>
    <row r="47" spans="2:30">
      <c r="B47" s="367">
        <f t="shared" si="0"/>
        <v>-1</v>
      </c>
      <c r="D47" s="182"/>
      <c r="E47" s="182"/>
      <c r="F47" s="184"/>
      <c r="G47" s="182"/>
      <c r="H47" s="182"/>
      <c r="I47" s="182"/>
      <c r="J47" s="183"/>
      <c r="K47" s="183"/>
      <c r="L47" s="182"/>
      <c r="N47" s="367">
        <f t="shared" si="1"/>
        <v>0</v>
      </c>
      <c r="O47" s="368">
        <f t="shared" si="2"/>
        <v>0</v>
      </c>
      <c r="P47" s="606"/>
      <c r="Q47" s="606"/>
      <c r="R47" s="606"/>
      <c r="S47" s="606"/>
      <c r="T47" s="606"/>
      <c r="U47" s="606"/>
      <c r="V47" s="606"/>
      <c r="W47" s="606"/>
      <c r="X47" s="606"/>
      <c r="Y47" s="606"/>
      <c r="Z47" s="606"/>
      <c r="AA47" s="606"/>
      <c r="AB47" s="606"/>
      <c r="AC47" s="606"/>
      <c r="AD47" s="606"/>
    </row>
    <row r="48" spans="2:30">
      <c r="B48" s="367">
        <f t="shared" si="0"/>
        <v>-1</v>
      </c>
      <c r="D48" s="182"/>
      <c r="E48" s="182"/>
      <c r="F48" s="184"/>
      <c r="G48" s="182"/>
      <c r="H48" s="182"/>
      <c r="I48" s="182"/>
      <c r="J48" s="183"/>
      <c r="K48" s="183"/>
      <c r="L48" s="182"/>
      <c r="N48" s="367">
        <f t="shared" si="1"/>
        <v>0</v>
      </c>
      <c r="O48" s="368">
        <f t="shared" si="2"/>
        <v>0</v>
      </c>
      <c r="P48" s="606"/>
      <c r="Q48" s="606"/>
      <c r="R48" s="606"/>
      <c r="S48" s="606"/>
      <c r="T48" s="606"/>
      <c r="U48" s="606"/>
      <c r="V48" s="606"/>
      <c r="W48" s="606"/>
      <c r="X48" s="606"/>
      <c r="Y48" s="606"/>
      <c r="Z48" s="606"/>
      <c r="AA48" s="606"/>
      <c r="AB48" s="606"/>
      <c r="AC48" s="606"/>
      <c r="AD48" s="606"/>
    </row>
    <row r="49" spans="2:30">
      <c r="B49" s="367">
        <f t="shared" si="0"/>
        <v>-1</v>
      </c>
      <c r="D49" s="182"/>
      <c r="E49" s="182"/>
      <c r="F49" s="184"/>
      <c r="G49" s="182"/>
      <c r="H49" s="182"/>
      <c r="I49" s="182"/>
      <c r="J49" s="183"/>
      <c r="K49" s="183"/>
      <c r="L49" s="182"/>
      <c r="N49" s="367">
        <f t="shared" si="1"/>
        <v>0</v>
      </c>
      <c r="O49" s="368">
        <f t="shared" si="2"/>
        <v>0</v>
      </c>
      <c r="P49" s="606"/>
      <c r="Q49" s="606"/>
      <c r="R49" s="606"/>
      <c r="S49" s="606"/>
      <c r="T49" s="606"/>
      <c r="U49" s="606"/>
      <c r="V49" s="606"/>
      <c r="W49" s="606"/>
      <c r="X49" s="606"/>
      <c r="Y49" s="606"/>
      <c r="Z49" s="606"/>
      <c r="AA49" s="606"/>
      <c r="AB49" s="606"/>
      <c r="AC49" s="606"/>
      <c r="AD49" s="606"/>
    </row>
    <row r="50" spans="2:30">
      <c r="B50" s="367">
        <f t="shared" si="0"/>
        <v>-1</v>
      </c>
      <c r="D50" s="182"/>
      <c r="E50" s="182"/>
      <c r="F50" s="184"/>
      <c r="G50" s="182"/>
      <c r="H50" s="182"/>
      <c r="I50" s="182"/>
      <c r="J50" s="183"/>
      <c r="K50" s="183"/>
      <c r="L50" s="182"/>
      <c r="N50" s="367">
        <f t="shared" si="1"/>
        <v>0</v>
      </c>
      <c r="O50" s="368">
        <f t="shared" si="2"/>
        <v>0</v>
      </c>
      <c r="P50" s="606"/>
      <c r="Q50" s="606"/>
      <c r="R50" s="606"/>
      <c r="S50" s="606"/>
      <c r="T50" s="606"/>
      <c r="U50" s="606"/>
      <c r="V50" s="606"/>
      <c r="W50" s="606"/>
      <c r="X50" s="606"/>
      <c r="Y50" s="606"/>
      <c r="Z50" s="606"/>
      <c r="AA50" s="606"/>
      <c r="AB50" s="606"/>
      <c r="AC50" s="606"/>
      <c r="AD50" s="606"/>
    </row>
    <row r="51" spans="2:30">
      <c r="B51" s="367">
        <f t="shared" si="0"/>
        <v>-1</v>
      </c>
      <c r="D51" s="182"/>
      <c r="E51" s="182"/>
      <c r="F51" s="184"/>
      <c r="G51" s="182"/>
      <c r="H51" s="182"/>
      <c r="I51" s="182"/>
      <c r="J51" s="183"/>
      <c r="K51" s="183"/>
      <c r="L51" s="182"/>
      <c r="N51" s="367">
        <f t="shared" si="1"/>
        <v>0</v>
      </c>
      <c r="O51" s="368">
        <f t="shared" si="2"/>
        <v>0</v>
      </c>
      <c r="P51" s="606"/>
      <c r="Q51" s="606"/>
      <c r="R51" s="606"/>
      <c r="S51" s="606"/>
      <c r="T51" s="606"/>
      <c r="U51" s="606"/>
      <c r="V51" s="606"/>
      <c r="W51" s="606"/>
      <c r="X51" s="606"/>
      <c r="Y51" s="606"/>
      <c r="Z51" s="606"/>
      <c r="AA51" s="606"/>
      <c r="AB51" s="606"/>
      <c r="AC51" s="606"/>
      <c r="AD51" s="606"/>
    </row>
    <row r="52" spans="2:30">
      <c r="B52" s="367">
        <f t="shared" si="0"/>
        <v>-1</v>
      </c>
      <c r="D52" s="182"/>
      <c r="E52" s="182"/>
      <c r="F52" s="184"/>
      <c r="G52" s="182"/>
      <c r="H52" s="182"/>
      <c r="I52" s="182"/>
      <c r="J52" s="183"/>
      <c r="K52" s="183"/>
      <c r="L52" s="182"/>
      <c r="N52" s="367">
        <f t="shared" si="1"/>
        <v>0</v>
      </c>
      <c r="O52" s="368">
        <f t="shared" si="2"/>
        <v>0</v>
      </c>
      <c r="P52" s="606"/>
      <c r="Q52" s="606"/>
      <c r="R52" s="606"/>
      <c r="S52" s="606"/>
      <c r="T52" s="606"/>
      <c r="U52" s="606"/>
      <c r="V52" s="606"/>
      <c r="W52" s="606"/>
      <c r="X52" s="606"/>
      <c r="Y52" s="606"/>
      <c r="Z52" s="606"/>
      <c r="AA52" s="606"/>
      <c r="AB52" s="606"/>
      <c r="AC52" s="606"/>
      <c r="AD52" s="606"/>
    </row>
    <row r="53" spans="2:30">
      <c r="B53" s="367">
        <f t="shared" si="0"/>
        <v>-1</v>
      </c>
      <c r="D53" s="182"/>
      <c r="E53" s="182"/>
      <c r="F53" s="184"/>
      <c r="G53" s="182"/>
      <c r="H53" s="182"/>
      <c r="I53" s="182"/>
      <c r="J53" s="183"/>
      <c r="K53" s="183"/>
      <c r="L53" s="182"/>
      <c r="N53" s="367">
        <f t="shared" si="1"/>
        <v>0</v>
      </c>
      <c r="O53" s="368">
        <f t="shared" si="2"/>
        <v>0</v>
      </c>
      <c r="P53" s="606"/>
      <c r="Q53" s="606"/>
      <c r="R53" s="606"/>
      <c r="S53" s="606"/>
      <c r="T53" s="606"/>
      <c r="U53" s="606"/>
      <c r="V53" s="606"/>
      <c r="W53" s="606"/>
      <c r="X53" s="606"/>
      <c r="Y53" s="606"/>
      <c r="Z53" s="606"/>
      <c r="AA53" s="606"/>
      <c r="AB53" s="606"/>
      <c r="AC53" s="606"/>
      <c r="AD53" s="606"/>
    </row>
    <row r="54" spans="2:30">
      <c r="B54" s="367">
        <f t="shared" si="0"/>
        <v>-1</v>
      </c>
      <c r="D54" s="182"/>
      <c r="E54" s="182"/>
      <c r="F54" s="184"/>
      <c r="G54" s="182"/>
      <c r="H54" s="182"/>
      <c r="I54" s="182"/>
      <c r="J54" s="183"/>
      <c r="K54" s="183"/>
      <c r="L54" s="182"/>
      <c r="N54" s="367">
        <f t="shared" si="1"/>
        <v>0</v>
      </c>
      <c r="O54" s="368">
        <f t="shared" si="2"/>
        <v>0</v>
      </c>
      <c r="P54" s="606"/>
      <c r="Q54" s="606"/>
      <c r="R54" s="606"/>
      <c r="S54" s="606"/>
      <c r="T54" s="606"/>
      <c r="U54" s="606"/>
      <c r="V54" s="606"/>
      <c r="W54" s="606"/>
      <c r="X54" s="606"/>
      <c r="Y54" s="606"/>
      <c r="Z54" s="606"/>
      <c r="AA54" s="606"/>
      <c r="AB54" s="606"/>
      <c r="AC54" s="606"/>
      <c r="AD54" s="606"/>
    </row>
    <row r="55" spans="2:30">
      <c r="B55" s="367">
        <f t="shared" si="0"/>
        <v>-1</v>
      </c>
      <c r="D55" s="182"/>
      <c r="E55" s="182"/>
      <c r="F55" s="184"/>
      <c r="G55" s="182"/>
      <c r="H55" s="182"/>
      <c r="I55" s="182"/>
      <c r="J55" s="183"/>
      <c r="K55" s="183"/>
      <c r="L55" s="182"/>
      <c r="N55" s="367">
        <f t="shared" si="1"/>
        <v>0</v>
      </c>
      <c r="O55" s="368">
        <f t="shared" si="2"/>
        <v>0</v>
      </c>
      <c r="P55" s="606"/>
      <c r="Q55" s="606"/>
      <c r="R55" s="606"/>
      <c r="S55" s="606"/>
      <c r="T55" s="606"/>
      <c r="U55" s="606"/>
      <c r="V55" s="606"/>
      <c r="W55" s="606"/>
      <c r="X55" s="606"/>
      <c r="Y55" s="606"/>
      <c r="Z55" s="606"/>
      <c r="AA55" s="606"/>
      <c r="AB55" s="606"/>
      <c r="AC55" s="606"/>
      <c r="AD55" s="606"/>
    </row>
    <row r="56" spans="2:30">
      <c r="B56" s="367">
        <f t="shared" si="0"/>
        <v>-1</v>
      </c>
      <c r="D56" s="182"/>
      <c r="E56" s="182"/>
      <c r="F56" s="184"/>
      <c r="G56" s="182"/>
      <c r="H56" s="182"/>
      <c r="I56" s="182"/>
      <c r="J56" s="183"/>
      <c r="K56" s="183"/>
      <c r="L56" s="182"/>
      <c r="N56" s="367">
        <f t="shared" si="1"/>
        <v>0</v>
      </c>
      <c r="O56" s="368">
        <f t="shared" si="2"/>
        <v>0</v>
      </c>
      <c r="P56" s="606"/>
      <c r="Q56" s="606"/>
      <c r="R56" s="606"/>
      <c r="S56" s="606"/>
      <c r="T56" s="606"/>
      <c r="U56" s="606"/>
      <c r="V56" s="606"/>
      <c r="W56" s="606"/>
      <c r="X56" s="606"/>
      <c r="Y56" s="606"/>
      <c r="Z56" s="606"/>
      <c r="AA56" s="606"/>
      <c r="AB56" s="606"/>
      <c r="AC56" s="606"/>
      <c r="AD56" s="606"/>
    </row>
    <row r="57" spans="2:30">
      <c r="B57" s="367">
        <f t="shared" si="0"/>
        <v>-1</v>
      </c>
      <c r="D57" s="182"/>
      <c r="E57" s="182"/>
      <c r="F57" s="184"/>
      <c r="G57" s="182"/>
      <c r="H57" s="182"/>
      <c r="I57" s="182"/>
      <c r="J57" s="183"/>
      <c r="K57" s="183"/>
      <c r="L57" s="182"/>
      <c r="N57" s="367">
        <f t="shared" si="1"/>
        <v>0</v>
      </c>
      <c r="O57" s="368">
        <f t="shared" si="2"/>
        <v>0</v>
      </c>
      <c r="P57" s="606"/>
      <c r="Q57" s="606"/>
      <c r="R57" s="606"/>
      <c r="S57" s="606"/>
      <c r="T57" s="606"/>
      <c r="U57" s="606"/>
      <c r="V57" s="606"/>
      <c r="W57" s="606"/>
      <c r="X57" s="606"/>
      <c r="Y57" s="606"/>
      <c r="Z57" s="606"/>
      <c r="AA57" s="606"/>
      <c r="AB57" s="606"/>
      <c r="AC57" s="606"/>
      <c r="AD57" s="606"/>
    </row>
    <row r="58" spans="2:30">
      <c r="B58" s="367">
        <f t="shared" si="0"/>
        <v>-1</v>
      </c>
      <c r="D58" s="182"/>
      <c r="E58" s="182"/>
      <c r="F58" s="184"/>
      <c r="G58" s="182"/>
      <c r="H58" s="182"/>
      <c r="I58" s="182"/>
      <c r="J58" s="183"/>
      <c r="K58" s="183"/>
      <c r="L58" s="182"/>
      <c r="N58" s="367">
        <f t="shared" si="1"/>
        <v>0</v>
      </c>
      <c r="O58" s="368">
        <f t="shared" si="2"/>
        <v>0</v>
      </c>
      <c r="P58" s="606"/>
      <c r="Q58" s="606"/>
      <c r="R58" s="606"/>
      <c r="S58" s="606"/>
      <c r="T58" s="606"/>
      <c r="U58" s="606"/>
      <c r="V58" s="606"/>
      <c r="W58" s="606"/>
      <c r="X58" s="606"/>
      <c r="Y58" s="606"/>
      <c r="Z58" s="606"/>
      <c r="AA58" s="606"/>
      <c r="AB58" s="606"/>
      <c r="AC58" s="606"/>
      <c r="AD58" s="606"/>
    </row>
    <row r="59" spans="2:30">
      <c r="B59" s="367">
        <f t="shared" si="0"/>
        <v>-1</v>
      </c>
      <c r="D59" s="182"/>
      <c r="E59" s="182"/>
      <c r="F59" s="184"/>
      <c r="G59" s="182"/>
      <c r="H59" s="182"/>
      <c r="I59" s="182"/>
      <c r="J59" s="183"/>
      <c r="K59" s="183"/>
      <c r="L59" s="182"/>
      <c r="N59" s="367">
        <f t="shared" si="1"/>
        <v>0</v>
      </c>
      <c r="O59" s="368">
        <f t="shared" si="2"/>
        <v>0</v>
      </c>
      <c r="P59" s="606"/>
      <c r="Q59" s="606"/>
      <c r="R59" s="606"/>
      <c r="S59" s="606"/>
      <c r="T59" s="606"/>
      <c r="U59" s="606"/>
      <c r="V59" s="606"/>
      <c r="W59" s="606"/>
      <c r="X59" s="606"/>
      <c r="Y59" s="606"/>
      <c r="Z59" s="606"/>
      <c r="AA59" s="606"/>
      <c r="AB59" s="606"/>
      <c r="AC59" s="606"/>
      <c r="AD59" s="606"/>
    </row>
    <row r="60" spans="2:30">
      <c r="B60" s="367">
        <f t="shared" si="0"/>
        <v>-1</v>
      </c>
      <c r="D60" s="182"/>
      <c r="E60" s="182"/>
      <c r="F60" s="184"/>
      <c r="G60" s="182"/>
      <c r="H60" s="182"/>
      <c r="I60" s="182"/>
      <c r="J60" s="183"/>
      <c r="K60" s="183"/>
      <c r="L60" s="182"/>
      <c r="N60" s="367">
        <f t="shared" si="1"/>
        <v>0</v>
      </c>
      <c r="O60" s="368">
        <f t="shared" si="2"/>
        <v>0</v>
      </c>
      <c r="P60" s="606"/>
      <c r="Q60" s="606"/>
      <c r="R60" s="606"/>
      <c r="S60" s="606"/>
      <c r="T60" s="606"/>
      <c r="U60" s="606"/>
      <c r="V60" s="606"/>
      <c r="W60" s="606"/>
      <c r="X60" s="606"/>
      <c r="Y60" s="606"/>
      <c r="Z60" s="606"/>
      <c r="AA60" s="606"/>
      <c r="AB60" s="606"/>
      <c r="AC60" s="606"/>
      <c r="AD60" s="606"/>
    </row>
    <row r="61" spans="2:30">
      <c r="B61" s="367">
        <f t="shared" si="0"/>
        <v>-1</v>
      </c>
      <c r="D61" s="182"/>
      <c r="E61" s="182"/>
      <c r="F61" s="184"/>
      <c r="G61" s="182"/>
      <c r="H61" s="182"/>
      <c r="I61" s="182"/>
      <c r="J61" s="183"/>
      <c r="K61" s="183"/>
      <c r="L61" s="182"/>
      <c r="N61" s="367">
        <f t="shared" si="1"/>
        <v>0</v>
      </c>
      <c r="O61" s="368">
        <f t="shared" si="2"/>
        <v>0</v>
      </c>
      <c r="P61" s="606"/>
      <c r="Q61" s="606"/>
      <c r="R61" s="606"/>
      <c r="S61" s="606"/>
      <c r="T61" s="606"/>
      <c r="U61" s="606"/>
      <c r="V61" s="606"/>
      <c r="W61" s="606"/>
      <c r="X61" s="606"/>
      <c r="Y61" s="606"/>
      <c r="Z61" s="606"/>
      <c r="AA61" s="606"/>
      <c r="AB61" s="606"/>
      <c r="AC61" s="606"/>
      <c r="AD61" s="606"/>
    </row>
    <row r="62" spans="2:30">
      <c r="B62" s="367">
        <f t="shared" si="0"/>
        <v>-1</v>
      </c>
      <c r="D62" s="182"/>
      <c r="E62" s="182"/>
      <c r="F62" s="184"/>
      <c r="G62" s="182"/>
      <c r="H62" s="182"/>
      <c r="I62" s="182"/>
      <c r="J62" s="183"/>
      <c r="K62" s="183"/>
      <c r="L62" s="182"/>
      <c r="N62" s="367">
        <f t="shared" si="1"/>
        <v>0</v>
      </c>
      <c r="O62" s="368">
        <f t="shared" si="2"/>
        <v>0</v>
      </c>
      <c r="P62" s="606"/>
      <c r="Q62" s="606"/>
      <c r="R62" s="606"/>
      <c r="S62" s="606"/>
      <c r="T62" s="606"/>
      <c r="U62" s="606"/>
      <c r="V62" s="606"/>
      <c r="W62" s="606"/>
      <c r="X62" s="606"/>
      <c r="Y62" s="606"/>
      <c r="Z62" s="606"/>
      <c r="AA62" s="606"/>
      <c r="AB62" s="606"/>
      <c r="AC62" s="606"/>
      <c r="AD62" s="606"/>
    </row>
    <row r="63" spans="2:30">
      <c r="B63" s="367">
        <f t="shared" si="0"/>
        <v>-1</v>
      </c>
      <c r="D63" s="182"/>
      <c r="E63" s="182"/>
      <c r="F63" s="184"/>
      <c r="G63" s="182"/>
      <c r="H63" s="182"/>
      <c r="I63" s="182"/>
      <c r="J63" s="183"/>
      <c r="K63" s="183"/>
      <c r="L63" s="182"/>
      <c r="N63" s="367">
        <f t="shared" si="1"/>
        <v>0</v>
      </c>
      <c r="O63" s="368">
        <f t="shared" si="2"/>
        <v>0</v>
      </c>
      <c r="P63" s="606"/>
      <c r="Q63" s="606"/>
      <c r="R63" s="606"/>
      <c r="S63" s="606"/>
      <c r="T63" s="606"/>
      <c r="U63" s="606"/>
      <c r="V63" s="606"/>
      <c r="W63" s="606"/>
      <c r="X63" s="606"/>
      <c r="Y63" s="606"/>
      <c r="Z63" s="606"/>
      <c r="AA63" s="606"/>
      <c r="AB63" s="606"/>
      <c r="AC63" s="606"/>
      <c r="AD63" s="606"/>
    </row>
    <row r="64" spans="2:30">
      <c r="B64" s="367">
        <f t="shared" si="0"/>
        <v>-1</v>
      </c>
      <c r="D64" s="182"/>
      <c r="E64" s="182"/>
      <c r="F64" s="184"/>
      <c r="G64" s="182"/>
      <c r="H64" s="182"/>
      <c r="I64" s="182"/>
      <c r="J64" s="183"/>
      <c r="K64" s="183"/>
      <c r="L64" s="182"/>
      <c r="N64" s="367">
        <f t="shared" si="1"/>
        <v>0</v>
      </c>
      <c r="O64" s="368">
        <f t="shared" si="2"/>
        <v>0</v>
      </c>
      <c r="P64" s="606"/>
      <c r="Q64" s="606"/>
      <c r="R64" s="606"/>
      <c r="S64" s="606"/>
      <c r="T64" s="606"/>
      <c r="U64" s="606"/>
      <c r="V64" s="606"/>
      <c r="W64" s="606"/>
      <c r="X64" s="606"/>
      <c r="Y64" s="606"/>
      <c r="Z64" s="606"/>
      <c r="AA64" s="606"/>
      <c r="AB64" s="606"/>
      <c r="AC64" s="606"/>
      <c r="AD64" s="606"/>
    </row>
    <row r="65" spans="2:30">
      <c r="B65" s="367">
        <f t="shared" si="0"/>
        <v>-1</v>
      </c>
      <c r="D65" s="182"/>
      <c r="E65" s="182"/>
      <c r="F65" s="184"/>
      <c r="G65" s="182"/>
      <c r="H65" s="182"/>
      <c r="I65" s="182"/>
      <c r="J65" s="183"/>
      <c r="K65" s="183"/>
      <c r="L65" s="182"/>
      <c r="N65" s="367">
        <f t="shared" si="1"/>
        <v>0</v>
      </c>
      <c r="O65" s="368">
        <f t="shared" si="2"/>
        <v>0</v>
      </c>
      <c r="P65" s="606"/>
      <c r="Q65" s="606"/>
      <c r="R65" s="606"/>
      <c r="S65" s="606"/>
      <c r="T65" s="606"/>
      <c r="U65" s="606"/>
      <c r="V65" s="606"/>
      <c r="W65" s="606"/>
      <c r="X65" s="606"/>
      <c r="Y65" s="606"/>
      <c r="Z65" s="606"/>
      <c r="AA65" s="606"/>
      <c r="AB65" s="606"/>
      <c r="AC65" s="606"/>
      <c r="AD65" s="606"/>
    </row>
    <row r="66" spans="2:30">
      <c r="B66" s="367">
        <f t="shared" si="0"/>
        <v>-1</v>
      </c>
      <c r="D66" s="182"/>
      <c r="E66" s="182"/>
      <c r="F66" s="184"/>
      <c r="G66" s="182"/>
      <c r="H66" s="182"/>
      <c r="I66" s="182"/>
      <c r="J66" s="183"/>
      <c r="K66" s="183"/>
      <c r="L66" s="182"/>
      <c r="N66" s="367">
        <f t="shared" si="1"/>
        <v>0</v>
      </c>
      <c r="O66" s="368">
        <f t="shared" si="2"/>
        <v>0</v>
      </c>
      <c r="P66" s="606"/>
      <c r="Q66" s="606"/>
      <c r="R66" s="606"/>
      <c r="S66" s="606"/>
      <c r="T66" s="606"/>
      <c r="U66" s="606"/>
      <c r="V66" s="606"/>
      <c r="W66" s="606"/>
      <c r="X66" s="606"/>
      <c r="Y66" s="606"/>
      <c r="Z66" s="606"/>
      <c r="AA66" s="606"/>
      <c r="AB66" s="606"/>
      <c r="AC66" s="606"/>
      <c r="AD66" s="606"/>
    </row>
    <row r="67" spans="2:30">
      <c r="B67" s="367">
        <f t="shared" si="0"/>
        <v>-1</v>
      </c>
      <c r="D67" s="182"/>
      <c r="E67" s="182"/>
      <c r="F67" s="184"/>
      <c r="G67" s="182"/>
      <c r="H67" s="182"/>
      <c r="I67" s="182"/>
      <c r="J67" s="183"/>
      <c r="K67" s="183"/>
      <c r="L67" s="182"/>
      <c r="N67" s="367">
        <f t="shared" si="1"/>
        <v>0</v>
      </c>
      <c r="O67" s="368">
        <f t="shared" si="2"/>
        <v>0</v>
      </c>
      <c r="P67" s="606"/>
      <c r="Q67" s="606"/>
      <c r="R67" s="606"/>
      <c r="S67" s="606"/>
      <c r="T67" s="606"/>
      <c r="U67" s="606"/>
      <c r="V67" s="606"/>
      <c r="W67" s="606"/>
      <c r="X67" s="606"/>
      <c r="Y67" s="606"/>
      <c r="Z67" s="606"/>
      <c r="AA67" s="606"/>
      <c r="AB67" s="606"/>
      <c r="AC67" s="606"/>
      <c r="AD67" s="606"/>
    </row>
    <row r="68" spans="2:30">
      <c r="B68" s="367">
        <f t="shared" si="0"/>
        <v>-1</v>
      </c>
      <c r="D68" s="182"/>
      <c r="E68" s="182"/>
      <c r="F68" s="184"/>
      <c r="G68" s="182"/>
      <c r="H68" s="182"/>
      <c r="I68" s="182"/>
      <c r="J68" s="183"/>
      <c r="K68" s="183"/>
      <c r="L68" s="182"/>
      <c r="N68" s="367">
        <f t="shared" si="1"/>
        <v>0</v>
      </c>
      <c r="O68" s="368">
        <f t="shared" si="2"/>
        <v>0</v>
      </c>
      <c r="P68" s="606"/>
      <c r="Q68" s="606"/>
      <c r="R68" s="606"/>
      <c r="S68" s="606"/>
      <c r="T68" s="606"/>
      <c r="U68" s="606"/>
      <c r="V68" s="606"/>
      <c r="W68" s="606"/>
      <c r="X68" s="606"/>
      <c r="Y68" s="606"/>
      <c r="Z68" s="606"/>
      <c r="AA68" s="606"/>
      <c r="AB68" s="606"/>
      <c r="AC68" s="606"/>
      <c r="AD68" s="606"/>
    </row>
    <row r="69" spans="2:30">
      <c r="B69" s="367">
        <f t="shared" si="0"/>
        <v>-1</v>
      </c>
      <c r="D69" s="182"/>
      <c r="E69" s="182"/>
      <c r="F69" s="184"/>
      <c r="G69" s="182"/>
      <c r="H69" s="182"/>
      <c r="I69" s="182"/>
      <c r="J69" s="183"/>
      <c r="K69" s="183"/>
      <c r="L69" s="182"/>
      <c r="N69" s="367">
        <f t="shared" si="1"/>
        <v>0</v>
      </c>
      <c r="O69" s="368">
        <f t="shared" si="2"/>
        <v>0</v>
      </c>
      <c r="P69" s="606"/>
      <c r="Q69" s="606"/>
      <c r="R69" s="606"/>
      <c r="S69" s="606"/>
      <c r="T69" s="606"/>
      <c r="U69" s="606"/>
      <c r="V69" s="606"/>
      <c r="W69" s="606"/>
      <c r="X69" s="606"/>
      <c r="Y69" s="606"/>
      <c r="Z69" s="606"/>
      <c r="AA69" s="606"/>
      <c r="AB69" s="606"/>
      <c r="AC69" s="606"/>
      <c r="AD69" s="606"/>
    </row>
    <row r="70" spans="2:30">
      <c r="B70" s="367">
        <f t="shared" si="0"/>
        <v>-1</v>
      </c>
      <c r="D70" s="182"/>
      <c r="E70" s="182"/>
      <c r="F70" s="184"/>
      <c r="G70" s="182"/>
      <c r="H70" s="182"/>
      <c r="I70" s="182"/>
      <c r="J70" s="183"/>
      <c r="K70" s="183"/>
      <c r="L70" s="182"/>
      <c r="N70" s="367">
        <f t="shared" si="1"/>
        <v>0</v>
      </c>
      <c r="O70" s="368">
        <f t="shared" si="2"/>
        <v>0</v>
      </c>
      <c r="P70" s="606"/>
      <c r="Q70" s="606"/>
      <c r="R70" s="606"/>
      <c r="S70" s="606"/>
      <c r="T70" s="606"/>
      <c r="U70" s="606"/>
      <c r="V70" s="606"/>
      <c r="W70" s="606"/>
      <c r="X70" s="606"/>
      <c r="Y70" s="606"/>
      <c r="Z70" s="606"/>
      <c r="AA70" s="606"/>
      <c r="AB70" s="606"/>
      <c r="AC70" s="606"/>
      <c r="AD70" s="606"/>
    </row>
    <row r="71" spans="2:30">
      <c r="B71" s="367">
        <f t="shared" si="0"/>
        <v>-1</v>
      </c>
      <c r="D71" s="182"/>
      <c r="E71" s="182"/>
      <c r="F71" s="184"/>
      <c r="G71" s="182"/>
      <c r="H71" s="182"/>
      <c r="I71" s="182"/>
      <c r="J71" s="183"/>
      <c r="K71" s="183"/>
      <c r="L71" s="182"/>
      <c r="N71" s="367">
        <f t="shared" si="1"/>
        <v>0</v>
      </c>
      <c r="O71" s="368">
        <f t="shared" si="2"/>
        <v>0</v>
      </c>
      <c r="P71" s="606"/>
      <c r="Q71" s="606"/>
      <c r="R71" s="606"/>
      <c r="S71" s="606"/>
      <c r="T71" s="606"/>
      <c r="U71" s="606"/>
      <c r="V71" s="606"/>
      <c r="W71" s="606"/>
      <c r="X71" s="606"/>
      <c r="Y71" s="606"/>
      <c r="Z71" s="606"/>
      <c r="AA71" s="606"/>
      <c r="AB71" s="606"/>
      <c r="AC71" s="606"/>
      <c r="AD71" s="606"/>
    </row>
    <row r="72" spans="2:30">
      <c r="B72" s="367">
        <f t="shared" si="0"/>
        <v>-1</v>
      </c>
      <c r="D72" s="182"/>
      <c r="E72" s="182"/>
      <c r="F72" s="184"/>
      <c r="G72" s="182"/>
      <c r="H72" s="182"/>
      <c r="I72" s="182"/>
      <c r="J72" s="183"/>
      <c r="K72" s="183"/>
      <c r="L72" s="182"/>
      <c r="N72" s="367">
        <f t="shared" si="1"/>
        <v>0</v>
      </c>
      <c r="O72" s="368">
        <f t="shared" si="2"/>
        <v>0</v>
      </c>
      <c r="P72" s="606"/>
      <c r="Q72" s="606"/>
      <c r="R72" s="606"/>
      <c r="S72" s="606"/>
      <c r="T72" s="606"/>
      <c r="U72" s="606"/>
      <c r="V72" s="606"/>
      <c r="W72" s="606"/>
      <c r="X72" s="606"/>
      <c r="Y72" s="606"/>
      <c r="Z72" s="606"/>
      <c r="AA72" s="606"/>
      <c r="AB72" s="606"/>
      <c r="AC72" s="606"/>
      <c r="AD72" s="606"/>
    </row>
    <row r="73" spans="2:30">
      <c r="B73" s="367">
        <f t="shared" si="0"/>
        <v>-1</v>
      </c>
      <c r="D73" s="182"/>
      <c r="E73" s="182"/>
      <c r="F73" s="184"/>
      <c r="G73" s="182"/>
      <c r="H73" s="182"/>
      <c r="I73" s="182"/>
      <c r="J73" s="183"/>
      <c r="K73" s="183"/>
      <c r="L73" s="182"/>
      <c r="N73" s="367">
        <f t="shared" si="1"/>
        <v>0</v>
      </c>
      <c r="O73" s="368">
        <f t="shared" si="2"/>
        <v>0</v>
      </c>
      <c r="P73" s="606"/>
      <c r="Q73" s="606"/>
      <c r="R73" s="606"/>
      <c r="S73" s="606"/>
      <c r="T73" s="606"/>
      <c r="U73" s="606"/>
      <c r="V73" s="606"/>
      <c r="W73" s="606"/>
      <c r="X73" s="606"/>
      <c r="Y73" s="606"/>
      <c r="Z73" s="606"/>
      <c r="AA73" s="606"/>
      <c r="AB73" s="606"/>
      <c r="AC73" s="606"/>
      <c r="AD73" s="606"/>
    </row>
    <row r="74" spans="2:30">
      <c r="B74" s="367">
        <f t="shared" ref="B74:B137" si="3">IF(G74="buy",1,-1)</f>
        <v>-1</v>
      </c>
      <c r="D74" s="182"/>
      <c r="E74" s="182"/>
      <c r="F74" s="184"/>
      <c r="G74" s="182"/>
      <c r="H74" s="182"/>
      <c r="I74" s="182"/>
      <c r="J74" s="183"/>
      <c r="K74" s="183"/>
      <c r="L74" s="182"/>
      <c r="N74" s="367">
        <f t="shared" ref="N74:N137" si="4">+H74*((K74-J74)+1)*B74</f>
        <v>0</v>
      </c>
      <c r="O74" s="368">
        <f t="shared" ref="O74:O137" si="5">N74*L74/100</f>
        <v>0</v>
      </c>
      <c r="P74" s="606"/>
      <c r="Q74" s="606"/>
      <c r="R74" s="606"/>
      <c r="S74" s="606"/>
      <c r="T74" s="606"/>
      <c r="U74" s="606"/>
      <c r="V74" s="606"/>
      <c r="W74" s="606"/>
      <c r="X74" s="606"/>
      <c r="Y74" s="606"/>
      <c r="Z74" s="606"/>
      <c r="AA74" s="606"/>
      <c r="AB74" s="606"/>
      <c r="AC74" s="606"/>
      <c r="AD74" s="606"/>
    </row>
    <row r="75" spans="2:30">
      <c r="B75" s="367">
        <f t="shared" si="3"/>
        <v>-1</v>
      </c>
      <c r="D75" s="182"/>
      <c r="E75" s="182"/>
      <c r="F75" s="184"/>
      <c r="G75" s="182"/>
      <c r="H75" s="182"/>
      <c r="I75" s="182"/>
      <c r="J75" s="183"/>
      <c r="K75" s="183"/>
      <c r="L75" s="182"/>
      <c r="N75" s="367">
        <f t="shared" si="4"/>
        <v>0</v>
      </c>
      <c r="O75" s="368">
        <f t="shared" si="5"/>
        <v>0</v>
      </c>
      <c r="P75" s="606"/>
      <c r="Q75" s="606"/>
      <c r="R75" s="606"/>
      <c r="S75" s="606"/>
      <c r="T75" s="606"/>
      <c r="U75" s="606"/>
      <c r="V75" s="606"/>
      <c r="W75" s="606"/>
      <c r="X75" s="606"/>
      <c r="Y75" s="606"/>
      <c r="Z75" s="606"/>
      <c r="AA75" s="606"/>
      <c r="AB75" s="606"/>
      <c r="AC75" s="606"/>
      <c r="AD75" s="606"/>
    </row>
    <row r="76" spans="2:30">
      <c r="B76" s="367">
        <f t="shared" si="3"/>
        <v>-1</v>
      </c>
      <c r="D76" s="182"/>
      <c r="E76" s="182"/>
      <c r="F76" s="184"/>
      <c r="G76" s="182"/>
      <c r="H76" s="182"/>
      <c r="I76" s="182"/>
      <c r="J76" s="183"/>
      <c r="K76" s="183"/>
      <c r="L76" s="182"/>
      <c r="N76" s="367">
        <f t="shared" si="4"/>
        <v>0</v>
      </c>
      <c r="O76" s="368">
        <f t="shared" si="5"/>
        <v>0</v>
      </c>
      <c r="P76" s="606"/>
      <c r="Q76" s="606"/>
      <c r="R76" s="606"/>
      <c r="S76" s="606"/>
      <c r="T76" s="606"/>
      <c r="U76" s="606"/>
      <c r="V76" s="606"/>
      <c r="W76" s="606"/>
      <c r="X76" s="606"/>
      <c r="Y76" s="606"/>
      <c r="Z76" s="606"/>
      <c r="AA76" s="606"/>
      <c r="AB76" s="606"/>
      <c r="AC76" s="606"/>
      <c r="AD76" s="606"/>
    </row>
    <row r="77" spans="2:30">
      <c r="B77" s="367">
        <f t="shared" si="3"/>
        <v>-1</v>
      </c>
      <c r="D77" s="182"/>
      <c r="E77" s="182"/>
      <c r="F77" s="184"/>
      <c r="G77" s="182"/>
      <c r="H77" s="182"/>
      <c r="I77" s="182"/>
      <c r="J77" s="183"/>
      <c r="K77" s="183"/>
      <c r="L77" s="182"/>
      <c r="N77" s="367">
        <f t="shared" si="4"/>
        <v>0</v>
      </c>
      <c r="O77" s="368">
        <f t="shared" si="5"/>
        <v>0</v>
      </c>
      <c r="P77" s="606"/>
      <c r="Q77" s="606"/>
      <c r="R77" s="606"/>
      <c r="S77" s="606"/>
      <c r="T77" s="606"/>
      <c r="U77" s="606"/>
      <c r="V77" s="606"/>
      <c r="W77" s="606"/>
      <c r="X77" s="606"/>
      <c r="Y77" s="606"/>
      <c r="Z77" s="606"/>
      <c r="AA77" s="606"/>
      <c r="AB77" s="606"/>
      <c r="AC77" s="606"/>
      <c r="AD77" s="606"/>
    </row>
    <row r="78" spans="2:30">
      <c r="B78" s="367">
        <f t="shared" si="3"/>
        <v>-1</v>
      </c>
      <c r="D78" s="182"/>
      <c r="E78" s="182"/>
      <c r="F78" s="184"/>
      <c r="G78" s="182"/>
      <c r="H78" s="182"/>
      <c r="I78" s="182"/>
      <c r="J78" s="183"/>
      <c r="K78" s="183"/>
      <c r="L78" s="182"/>
      <c r="N78" s="367">
        <f t="shared" si="4"/>
        <v>0</v>
      </c>
      <c r="O78" s="368">
        <f t="shared" si="5"/>
        <v>0</v>
      </c>
      <c r="P78" s="606"/>
      <c r="Q78" s="606"/>
      <c r="R78" s="606"/>
      <c r="S78" s="606"/>
      <c r="T78" s="606"/>
      <c r="U78" s="606"/>
      <c r="V78" s="606"/>
      <c r="W78" s="606"/>
      <c r="X78" s="606"/>
      <c r="Y78" s="606"/>
      <c r="Z78" s="606"/>
      <c r="AA78" s="606"/>
      <c r="AB78" s="606"/>
      <c r="AC78" s="606"/>
      <c r="AD78" s="606"/>
    </row>
    <row r="79" spans="2:30">
      <c r="B79" s="367">
        <f t="shared" si="3"/>
        <v>-1</v>
      </c>
      <c r="D79" s="182"/>
      <c r="E79" s="182"/>
      <c r="F79" s="184"/>
      <c r="G79" s="182"/>
      <c r="H79" s="182"/>
      <c r="I79" s="182"/>
      <c r="J79" s="183"/>
      <c r="K79" s="183"/>
      <c r="L79" s="182"/>
      <c r="N79" s="367">
        <f t="shared" si="4"/>
        <v>0</v>
      </c>
      <c r="O79" s="368">
        <f t="shared" si="5"/>
        <v>0</v>
      </c>
      <c r="P79" s="606"/>
      <c r="Q79" s="606"/>
      <c r="R79" s="606"/>
      <c r="S79" s="606"/>
      <c r="T79" s="606"/>
      <c r="U79" s="606"/>
      <c r="V79" s="606"/>
      <c r="W79" s="606"/>
      <c r="X79" s="606"/>
      <c r="Y79" s="606"/>
      <c r="Z79" s="606"/>
      <c r="AA79" s="606"/>
      <c r="AB79" s="606"/>
      <c r="AC79" s="606"/>
      <c r="AD79" s="606"/>
    </row>
    <row r="80" spans="2:30">
      <c r="B80" s="367">
        <f t="shared" si="3"/>
        <v>-1</v>
      </c>
      <c r="D80" s="182"/>
      <c r="E80" s="182"/>
      <c r="F80" s="184"/>
      <c r="G80" s="182"/>
      <c r="H80" s="182"/>
      <c r="I80" s="182"/>
      <c r="J80" s="183"/>
      <c r="K80" s="183"/>
      <c r="L80" s="182"/>
      <c r="N80" s="367">
        <f t="shared" si="4"/>
        <v>0</v>
      </c>
      <c r="O80" s="368">
        <f t="shared" si="5"/>
        <v>0</v>
      </c>
      <c r="P80" s="606"/>
      <c r="Q80" s="606"/>
      <c r="R80" s="606"/>
      <c r="S80" s="606"/>
      <c r="T80" s="606"/>
      <c r="U80" s="606"/>
      <c r="V80" s="606"/>
      <c r="W80" s="606"/>
      <c r="X80" s="606"/>
      <c r="Y80" s="606"/>
      <c r="Z80" s="606"/>
      <c r="AA80" s="606"/>
      <c r="AB80" s="606"/>
      <c r="AC80" s="606"/>
      <c r="AD80" s="606"/>
    </row>
    <row r="81" spans="2:30">
      <c r="B81" s="367">
        <f t="shared" si="3"/>
        <v>-1</v>
      </c>
      <c r="D81" s="182"/>
      <c r="E81" s="182"/>
      <c r="F81" s="184"/>
      <c r="G81" s="182"/>
      <c r="H81" s="182"/>
      <c r="I81" s="182"/>
      <c r="J81" s="183"/>
      <c r="K81" s="183"/>
      <c r="L81" s="182"/>
      <c r="N81" s="367">
        <f t="shared" si="4"/>
        <v>0</v>
      </c>
      <c r="O81" s="368">
        <f t="shared" si="5"/>
        <v>0</v>
      </c>
      <c r="P81" s="606"/>
      <c r="Q81" s="606"/>
      <c r="R81" s="606"/>
      <c r="S81" s="606"/>
      <c r="T81" s="606"/>
      <c r="U81" s="606"/>
      <c r="V81" s="606"/>
      <c r="W81" s="606"/>
      <c r="X81" s="606"/>
      <c r="Y81" s="606"/>
      <c r="Z81" s="606"/>
      <c r="AA81" s="606"/>
      <c r="AB81" s="606"/>
      <c r="AC81" s="606"/>
      <c r="AD81" s="606"/>
    </row>
    <row r="82" spans="2:30">
      <c r="B82" s="367">
        <f t="shared" si="3"/>
        <v>-1</v>
      </c>
      <c r="D82" s="182"/>
      <c r="E82" s="182"/>
      <c r="F82" s="184"/>
      <c r="G82" s="182"/>
      <c r="H82" s="182"/>
      <c r="I82" s="182"/>
      <c r="J82" s="183"/>
      <c r="K82" s="183"/>
      <c r="L82" s="182"/>
      <c r="N82" s="367">
        <f t="shared" si="4"/>
        <v>0</v>
      </c>
      <c r="O82" s="368">
        <f t="shared" si="5"/>
        <v>0</v>
      </c>
      <c r="P82" s="606"/>
      <c r="Q82" s="606"/>
      <c r="R82" s="606"/>
      <c r="S82" s="606"/>
      <c r="T82" s="606"/>
      <c r="U82" s="606"/>
      <c r="V82" s="606"/>
      <c r="W82" s="606"/>
      <c r="X82" s="606"/>
      <c r="Y82" s="606"/>
      <c r="Z82" s="606"/>
      <c r="AA82" s="606"/>
      <c r="AB82" s="606"/>
      <c r="AC82" s="606"/>
      <c r="AD82" s="606"/>
    </row>
    <row r="83" spans="2:30">
      <c r="B83" s="367">
        <f t="shared" si="3"/>
        <v>-1</v>
      </c>
      <c r="D83" s="182"/>
      <c r="E83" s="182"/>
      <c r="F83" s="184"/>
      <c r="G83" s="182"/>
      <c r="H83" s="182"/>
      <c r="I83" s="182"/>
      <c r="J83" s="183"/>
      <c r="K83" s="183"/>
      <c r="L83" s="182"/>
      <c r="N83" s="367">
        <f t="shared" si="4"/>
        <v>0</v>
      </c>
      <c r="O83" s="368">
        <f t="shared" si="5"/>
        <v>0</v>
      </c>
      <c r="P83" s="606"/>
      <c r="Q83" s="606"/>
      <c r="R83" s="606"/>
      <c r="S83" s="606"/>
      <c r="T83" s="606"/>
      <c r="U83" s="606"/>
      <c r="V83" s="606"/>
      <c r="W83" s="606"/>
      <c r="X83" s="606"/>
      <c r="Y83" s="606"/>
      <c r="Z83" s="606"/>
      <c r="AA83" s="606"/>
      <c r="AB83" s="606"/>
      <c r="AC83" s="606"/>
      <c r="AD83" s="606"/>
    </row>
    <row r="84" spans="2:30">
      <c r="B84" s="367">
        <f t="shared" si="3"/>
        <v>-1</v>
      </c>
      <c r="D84" s="182"/>
      <c r="E84" s="182"/>
      <c r="F84" s="184"/>
      <c r="G84" s="182"/>
      <c r="H84" s="182"/>
      <c r="I84" s="182"/>
      <c r="J84" s="183"/>
      <c r="K84" s="183"/>
      <c r="L84" s="182"/>
      <c r="N84" s="367">
        <f t="shared" si="4"/>
        <v>0</v>
      </c>
      <c r="O84" s="368">
        <f t="shared" si="5"/>
        <v>0</v>
      </c>
      <c r="P84" s="606"/>
      <c r="Q84" s="606"/>
      <c r="R84" s="606"/>
      <c r="S84" s="606"/>
      <c r="T84" s="606"/>
      <c r="U84" s="606"/>
      <c r="V84" s="606"/>
      <c r="W84" s="606"/>
      <c r="X84" s="606"/>
      <c r="Y84" s="606"/>
      <c r="Z84" s="606"/>
      <c r="AA84" s="606"/>
      <c r="AB84" s="606"/>
      <c r="AC84" s="606"/>
      <c r="AD84" s="606"/>
    </row>
    <row r="85" spans="2:30">
      <c r="B85" s="367">
        <f t="shared" si="3"/>
        <v>-1</v>
      </c>
      <c r="D85" s="182"/>
      <c r="E85" s="182"/>
      <c r="F85" s="184"/>
      <c r="G85" s="182"/>
      <c r="H85" s="182"/>
      <c r="I85" s="182"/>
      <c r="J85" s="183"/>
      <c r="K85" s="183"/>
      <c r="L85" s="182"/>
      <c r="N85" s="367">
        <f t="shared" si="4"/>
        <v>0</v>
      </c>
      <c r="O85" s="368">
        <f t="shared" si="5"/>
        <v>0</v>
      </c>
      <c r="P85" s="606"/>
      <c r="Q85" s="606"/>
      <c r="R85" s="606"/>
      <c r="S85" s="606"/>
      <c r="T85" s="606"/>
      <c r="U85" s="606"/>
      <c r="V85" s="606"/>
      <c r="W85" s="606"/>
      <c r="X85" s="606"/>
      <c r="Y85" s="606"/>
      <c r="Z85" s="606"/>
      <c r="AA85" s="606"/>
      <c r="AB85" s="606"/>
      <c r="AC85" s="606"/>
      <c r="AD85" s="606"/>
    </row>
    <row r="86" spans="2:30">
      <c r="B86" s="367">
        <f t="shared" si="3"/>
        <v>-1</v>
      </c>
      <c r="D86" s="182"/>
      <c r="E86" s="182"/>
      <c r="F86" s="184"/>
      <c r="G86" s="182"/>
      <c r="H86" s="182"/>
      <c r="I86" s="182"/>
      <c r="J86" s="183"/>
      <c r="K86" s="183"/>
      <c r="L86" s="182"/>
      <c r="N86" s="367">
        <f t="shared" si="4"/>
        <v>0</v>
      </c>
      <c r="O86" s="368">
        <f t="shared" si="5"/>
        <v>0</v>
      </c>
      <c r="P86" s="606"/>
      <c r="Q86" s="606"/>
      <c r="R86" s="606"/>
      <c r="S86" s="606"/>
      <c r="T86" s="606"/>
      <c r="U86" s="606"/>
      <c r="V86" s="606"/>
      <c r="W86" s="606"/>
      <c r="X86" s="606"/>
      <c r="Y86" s="606"/>
      <c r="Z86" s="606"/>
      <c r="AA86" s="606"/>
      <c r="AB86" s="606"/>
      <c r="AC86" s="606"/>
      <c r="AD86" s="606"/>
    </row>
    <row r="87" spans="2:30">
      <c r="B87" s="367">
        <f t="shared" si="3"/>
        <v>-1</v>
      </c>
      <c r="D87" s="182"/>
      <c r="E87" s="182"/>
      <c r="F87" s="184"/>
      <c r="G87" s="182"/>
      <c r="H87" s="182"/>
      <c r="I87" s="182"/>
      <c r="J87" s="183"/>
      <c r="K87" s="183"/>
      <c r="L87" s="182"/>
      <c r="N87" s="367">
        <f t="shared" si="4"/>
        <v>0</v>
      </c>
      <c r="O87" s="368">
        <f t="shared" si="5"/>
        <v>0</v>
      </c>
      <c r="P87" s="606"/>
      <c r="Q87" s="606"/>
      <c r="R87" s="606"/>
      <c r="S87" s="606"/>
      <c r="T87" s="606"/>
      <c r="U87" s="606"/>
      <c r="V87" s="606"/>
      <c r="W87" s="606"/>
      <c r="X87" s="606"/>
      <c r="Y87" s="606"/>
      <c r="Z87" s="606"/>
      <c r="AA87" s="606"/>
      <c r="AB87" s="606"/>
      <c r="AC87" s="606"/>
      <c r="AD87" s="606"/>
    </row>
    <row r="88" spans="2:30">
      <c r="B88" s="367">
        <f t="shared" si="3"/>
        <v>-1</v>
      </c>
      <c r="D88" s="182"/>
      <c r="E88" s="182"/>
      <c r="F88" s="184"/>
      <c r="G88" s="182"/>
      <c r="H88" s="182"/>
      <c r="I88" s="182"/>
      <c r="J88" s="183"/>
      <c r="K88" s="183"/>
      <c r="L88" s="182"/>
      <c r="N88" s="367">
        <f t="shared" si="4"/>
        <v>0</v>
      </c>
      <c r="O88" s="368">
        <f t="shared" si="5"/>
        <v>0</v>
      </c>
      <c r="P88" s="606"/>
      <c r="Q88" s="606"/>
      <c r="R88" s="606"/>
      <c r="S88" s="606"/>
      <c r="T88" s="606"/>
      <c r="U88" s="606"/>
      <c r="V88" s="606"/>
      <c r="W88" s="606"/>
      <c r="X88" s="606"/>
      <c r="Y88" s="606"/>
      <c r="Z88" s="606"/>
      <c r="AA88" s="606"/>
      <c r="AB88" s="606"/>
      <c r="AC88" s="606"/>
      <c r="AD88" s="606"/>
    </row>
    <row r="89" spans="2:30">
      <c r="B89" s="367">
        <f t="shared" si="3"/>
        <v>-1</v>
      </c>
      <c r="D89" s="182"/>
      <c r="E89" s="182"/>
      <c r="F89" s="184"/>
      <c r="G89" s="182"/>
      <c r="H89" s="182"/>
      <c r="I89" s="182"/>
      <c r="J89" s="183"/>
      <c r="K89" s="183"/>
      <c r="L89" s="182"/>
      <c r="N89" s="367">
        <f t="shared" si="4"/>
        <v>0</v>
      </c>
      <c r="O89" s="368">
        <f t="shared" si="5"/>
        <v>0</v>
      </c>
      <c r="P89" s="606"/>
      <c r="Q89" s="606"/>
      <c r="R89" s="606"/>
      <c r="S89" s="606"/>
      <c r="T89" s="606"/>
      <c r="U89" s="606"/>
      <c r="V89" s="606"/>
      <c r="W89" s="606"/>
      <c r="X89" s="606"/>
      <c r="Y89" s="606"/>
      <c r="Z89" s="606"/>
      <c r="AA89" s="606"/>
      <c r="AB89" s="606"/>
      <c r="AC89" s="606"/>
      <c r="AD89" s="606"/>
    </row>
    <row r="90" spans="2:30">
      <c r="B90" s="367">
        <f t="shared" si="3"/>
        <v>-1</v>
      </c>
      <c r="D90" s="182"/>
      <c r="E90" s="182"/>
      <c r="F90" s="184"/>
      <c r="G90" s="182"/>
      <c r="H90" s="182"/>
      <c r="I90" s="182"/>
      <c r="J90" s="183"/>
      <c r="K90" s="183"/>
      <c r="L90" s="182"/>
      <c r="N90" s="367">
        <f t="shared" si="4"/>
        <v>0</v>
      </c>
      <c r="O90" s="368">
        <f t="shared" si="5"/>
        <v>0</v>
      </c>
      <c r="P90" s="606"/>
      <c r="Q90" s="606"/>
      <c r="R90" s="606"/>
      <c r="S90" s="606"/>
      <c r="T90" s="606"/>
      <c r="U90" s="606"/>
      <c r="V90" s="606"/>
      <c r="W90" s="606"/>
      <c r="X90" s="606"/>
      <c r="Y90" s="606"/>
      <c r="Z90" s="606"/>
      <c r="AA90" s="606"/>
      <c r="AB90" s="606"/>
      <c r="AC90" s="606"/>
      <c r="AD90" s="606"/>
    </row>
    <row r="91" spans="2:30">
      <c r="B91" s="367">
        <f t="shared" si="3"/>
        <v>-1</v>
      </c>
      <c r="D91" s="182"/>
      <c r="E91" s="182"/>
      <c r="F91" s="184"/>
      <c r="G91" s="182"/>
      <c r="H91" s="182"/>
      <c r="I91" s="182"/>
      <c r="J91" s="183"/>
      <c r="K91" s="183"/>
      <c r="L91" s="182"/>
      <c r="N91" s="367">
        <f t="shared" si="4"/>
        <v>0</v>
      </c>
      <c r="O91" s="368">
        <f t="shared" si="5"/>
        <v>0</v>
      </c>
      <c r="P91" s="606"/>
      <c r="Q91" s="606"/>
      <c r="R91" s="606"/>
      <c r="S91" s="606"/>
      <c r="T91" s="606"/>
      <c r="U91" s="606"/>
      <c r="V91" s="606"/>
      <c r="W91" s="606"/>
      <c r="X91" s="606"/>
      <c r="Y91" s="606"/>
      <c r="Z91" s="606"/>
      <c r="AA91" s="606"/>
      <c r="AB91" s="606"/>
      <c r="AC91" s="606"/>
      <c r="AD91" s="606"/>
    </row>
    <row r="92" spans="2:30">
      <c r="B92" s="367">
        <f t="shared" si="3"/>
        <v>-1</v>
      </c>
      <c r="D92" s="182"/>
      <c r="E92" s="182"/>
      <c r="F92" s="184"/>
      <c r="G92" s="182"/>
      <c r="H92" s="182"/>
      <c r="I92" s="182"/>
      <c r="J92" s="183"/>
      <c r="K92" s="183"/>
      <c r="L92" s="182"/>
      <c r="N92" s="367">
        <f t="shared" si="4"/>
        <v>0</v>
      </c>
      <c r="O92" s="368">
        <f t="shared" si="5"/>
        <v>0</v>
      </c>
      <c r="P92" s="606"/>
      <c r="Q92" s="606"/>
      <c r="R92" s="606"/>
      <c r="S92" s="606"/>
      <c r="T92" s="606"/>
      <c r="U92" s="606"/>
      <c r="V92" s="606"/>
      <c r="W92" s="606"/>
      <c r="X92" s="606"/>
      <c r="Y92" s="606"/>
      <c r="Z92" s="606"/>
      <c r="AA92" s="606"/>
      <c r="AB92" s="606"/>
      <c r="AC92" s="606"/>
      <c r="AD92" s="606"/>
    </row>
    <row r="93" spans="2:30">
      <c r="B93" s="367">
        <f t="shared" si="3"/>
        <v>-1</v>
      </c>
      <c r="D93" s="182"/>
      <c r="E93" s="182"/>
      <c r="F93" s="184"/>
      <c r="G93" s="182"/>
      <c r="H93" s="182"/>
      <c r="I93" s="182"/>
      <c r="J93" s="183"/>
      <c r="K93" s="183"/>
      <c r="L93" s="182"/>
      <c r="N93" s="367">
        <f t="shared" si="4"/>
        <v>0</v>
      </c>
      <c r="O93" s="368">
        <f t="shared" si="5"/>
        <v>0</v>
      </c>
      <c r="P93" s="606"/>
      <c r="Q93" s="606"/>
      <c r="R93" s="606"/>
      <c r="S93" s="606"/>
      <c r="T93" s="606"/>
      <c r="U93" s="606"/>
      <c r="V93" s="606"/>
      <c r="W93" s="606"/>
      <c r="X93" s="606"/>
      <c r="Y93" s="606"/>
      <c r="Z93" s="606"/>
      <c r="AA93" s="606"/>
      <c r="AB93" s="606"/>
      <c r="AC93" s="606"/>
      <c r="AD93" s="606"/>
    </row>
    <row r="94" spans="2:30">
      <c r="B94" s="367">
        <f t="shared" si="3"/>
        <v>-1</v>
      </c>
      <c r="D94" s="182"/>
      <c r="E94" s="182"/>
      <c r="F94" s="184"/>
      <c r="G94" s="182"/>
      <c r="H94" s="182"/>
      <c r="I94" s="182"/>
      <c r="J94" s="183"/>
      <c r="K94" s="183"/>
      <c r="L94" s="182"/>
      <c r="N94" s="367">
        <f t="shared" si="4"/>
        <v>0</v>
      </c>
      <c r="O94" s="368">
        <f t="shared" si="5"/>
        <v>0</v>
      </c>
      <c r="P94" s="606"/>
      <c r="Q94" s="606"/>
      <c r="R94" s="606"/>
      <c r="S94" s="606"/>
      <c r="T94" s="606"/>
      <c r="U94" s="606"/>
      <c r="V94" s="606"/>
      <c r="W94" s="606"/>
      <c r="X94" s="606"/>
      <c r="Y94" s="606"/>
      <c r="Z94" s="606"/>
      <c r="AA94" s="606"/>
      <c r="AB94" s="606"/>
      <c r="AC94" s="606"/>
      <c r="AD94" s="606"/>
    </row>
    <row r="95" spans="2:30">
      <c r="B95" s="367">
        <f t="shared" si="3"/>
        <v>-1</v>
      </c>
      <c r="D95" s="182"/>
      <c r="E95" s="182"/>
      <c r="F95" s="184"/>
      <c r="G95" s="182"/>
      <c r="H95" s="182"/>
      <c r="I95" s="182"/>
      <c r="J95" s="183"/>
      <c r="K95" s="183"/>
      <c r="L95" s="182"/>
      <c r="N95" s="367">
        <f t="shared" si="4"/>
        <v>0</v>
      </c>
      <c r="O95" s="368">
        <f t="shared" si="5"/>
        <v>0</v>
      </c>
      <c r="P95" s="606"/>
      <c r="Q95" s="606"/>
      <c r="R95" s="606"/>
      <c r="S95" s="606"/>
      <c r="T95" s="606"/>
      <c r="U95" s="606"/>
      <c r="V95" s="606"/>
      <c r="W95" s="606"/>
      <c r="X95" s="606"/>
      <c r="Y95" s="606"/>
      <c r="Z95" s="606"/>
      <c r="AA95" s="606"/>
      <c r="AB95" s="606"/>
      <c r="AC95" s="606"/>
      <c r="AD95" s="606"/>
    </row>
    <row r="96" spans="2:30">
      <c r="B96" s="367">
        <f t="shared" si="3"/>
        <v>-1</v>
      </c>
      <c r="D96" s="182"/>
      <c r="E96" s="182"/>
      <c r="F96" s="184"/>
      <c r="G96" s="182"/>
      <c r="H96" s="182"/>
      <c r="I96" s="182"/>
      <c r="J96" s="183"/>
      <c r="K96" s="183"/>
      <c r="L96" s="182"/>
      <c r="N96" s="367">
        <f t="shared" si="4"/>
        <v>0</v>
      </c>
      <c r="O96" s="368">
        <f t="shared" si="5"/>
        <v>0</v>
      </c>
      <c r="P96" s="606"/>
      <c r="Q96" s="606"/>
      <c r="R96" s="606"/>
      <c r="S96" s="606"/>
      <c r="T96" s="606"/>
      <c r="U96" s="606"/>
      <c r="V96" s="606"/>
      <c r="W96" s="606"/>
      <c r="X96" s="606"/>
      <c r="Y96" s="606"/>
      <c r="Z96" s="606"/>
      <c r="AA96" s="606"/>
      <c r="AB96" s="606"/>
      <c r="AC96" s="606"/>
      <c r="AD96" s="606"/>
    </row>
    <row r="97" spans="2:30">
      <c r="B97" s="367">
        <f t="shared" si="3"/>
        <v>-1</v>
      </c>
      <c r="D97" s="182"/>
      <c r="E97" s="182"/>
      <c r="F97" s="184"/>
      <c r="G97" s="182"/>
      <c r="H97" s="182"/>
      <c r="I97" s="182"/>
      <c r="J97" s="183"/>
      <c r="K97" s="183"/>
      <c r="L97" s="182"/>
      <c r="N97" s="367">
        <f t="shared" si="4"/>
        <v>0</v>
      </c>
      <c r="O97" s="368">
        <f t="shared" si="5"/>
        <v>0</v>
      </c>
      <c r="P97" s="606"/>
      <c r="Q97" s="606"/>
      <c r="R97" s="606"/>
      <c r="S97" s="606"/>
      <c r="T97" s="606"/>
      <c r="U97" s="606"/>
      <c r="V97" s="606"/>
      <c r="W97" s="606"/>
      <c r="X97" s="606"/>
      <c r="Y97" s="606"/>
      <c r="Z97" s="606"/>
      <c r="AA97" s="606"/>
      <c r="AB97" s="606"/>
      <c r="AC97" s="606"/>
      <c r="AD97" s="606"/>
    </row>
    <row r="98" spans="2:30">
      <c r="B98" s="367">
        <f t="shared" si="3"/>
        <v>-1</v>
      </c>
      <c r="D98" s="182"/>
      <c r="E98" s="182"/>
      <c r="F98" s="184"/>
      <c r="G98" s="182"/>
      <c r="H98" s="182"/>
      <c r="I98" s="182"/>
      <c r="J98" s="183"/>
      <c r="K98" s="183"/>
      <c r="L98" s="182"/>
      <c r="N98" s="367">
        <f t="shared" si="4"/>
        <v>0</v>
      </c>
      <c r="O98" s="368">
        <f t="shared" si="5"/>
        <v>0</v>
      </c>
      <c r="P98" s="606"/>
      <c r="Q98" s="606"/>
      <c r="R98" s="606"/>
      <c r="S98" s="606"/>
      <c r="T98" s="606"/>
      <c r="U98" s="606"/>
      <c r="V98" s="606"/>
      <c r="W98" s="606"/>
      <c r="X98" s="606"/>
      <c r="Y98" s="606"/>
      <c r="Z98" s="606"/>
      <c r="AA98" s="606"/>
      <c r="AB98" s="606"/>
      <c r="AC98" s="606"/>
      <c r="AD98" s="606"/>
    </row>
    <row r="99" spans="2:30">
      <c r="B99" s="367">
        <f t="shared" si="3"/>
        <v>-1</v>
      </c>
      <c r="D99" s="182"/>
      <c r="E99" s="182"/>
      <c r="F99" s="184"/>
      <c r="G99" s="182"/>
      <c r="H99" s="182"/>
      <c r="I99" s="182"/>
      <c r="J99" s="183"/>
      <c r="K99" s="183"/>
      <c r="L99" s="182"/>
      <c r="N99" s="367">
        <f t="shared" si="4"/>
        <v>0</v>
      </c>
      <c r="O99" s="368">
        <f t="shared" si="5"/>
        <v>0</v>
      </c>
      <c r="P99" s="606"/>
      <c r="Q99" s="606"/>
      <c r="R99" s="606"/>
      <c r="S99" s="606"/>
      <c r="T99" s="606"/>
      <c r="U99" s="606"/>
      <c r="V99" s="606"/>
      <c r="W99" s="606"/>
      <c r="X99" s="606"/>
      <c r="Y99" s="606"/>
      <c r="Z99" s="606"/>
      <c r="AA99" s="606"/>
      <c r="AB99" s="606"/>
      <c r="AC99" s="606"/>
      <c r="AD99" s="606"/>
    </row>
    <row r="100" spans="2:30">
      <c r="B100" s="367">
        <f t="shared" si="3"/>
        <v>-1</v>
      </c>
      <c r="D100" s="182"/>
      <c r="E100" s="182"/>
      <c r="F100" s="184"/>
      <c r="G100" s="182"/>
      <c r="H100" s="182"/>
      <c r="I100" s="182"/>
      <c r="J100" s="183"/>
      <c r="K100" s="183"/>
      <c r="L100" s="182"/>
      <c r="N100" s="367">
        <f t="shared" si="4"/>
        <v>0</v>
      </c>
      <c r="O100" s="368">
        <f t="shared" si="5"/>
        <v>0</v>
      </c>
      <c r="P100" s="606"/>
      <c r="Q100" s="606"/>
      <c r="R100" s="606"/>
      <c r="S100" s="606"/>
      <c r="T100" s="606"/>
      <c r="U100" s="606"/>
      <c r="V100" s="606"/>
      <c r="W100" s="606"/>
      <c r="X100" s="606"/>
      <c r="Y100" s="606"/>
      <c r="Z100" s="606"/>
      <c r="AA100" s="606"/>
      <c r="AB100" s="606"/>
      <c r="AC100" s="606"/>
      <c r="AD100" s="606"/>
    </row>
    <row r="101" spans="2:30">
      <c r="B101" s="367">
        <f t="shared" si="3"/>
        <v>-1</v>
      </c>
      <c r="D101" s="182"/>
      <c r="E101" s="182"/>
      <c r="F101" s="184"/>
      <c r="G101" s="182"/>
      <c r="H101" s="182"/>
      <c r="I101" s="182"/>
      <c r="J101" s="183"/>
      <c r="K101" s="183"/>
      <c r="L101" s="182"/>
      <c r="N101" s="367">
        <f t="shared" si="4"/>
        <v>0</v>
      </c>
      <c r="O101" s="368">
        <f t="shared" si="5"/>
        <v>0</v>
      </c>
      <c r="P101" s="606"/>
      <c r="Q101" s="606"/>
      <c r="R101" s="606"/>
      <c r="S101" s="606"/>
      <c r="T101" s="606"/>
      <c r="U101" s="606"/>
      <c r="V101" s="606"/>
      <c r="W101" s="606"/>
      <c r="X101" s="606"/>
      <c r="Y101" s="606"/>
      <c r="Z101" s="606"/>
      <c r="AA101" s="606"/>
      <c r="AB101" s="606"/>
      <c r="AC101" s="606"/>
      <c r="AD101" s="606"/>
    </row>
    <row r="102" spans="2:30">
      <c r="B102" s="367">
        <f t="shared" si="3"/>
        <v>-1</v>
      </c>
      <c r="D102" s="182"/>
      <c r="E102" s="182"/>
      <c r="F102" s="184"/>
      <c r="G102" s="182"/>
      <c r="H102" s="182"/>
      <c r="I102" s="182"/>
      <c r="J102" s="183"/>
      <c r="K102" s="183"/>
      <c r="L102" s="182"/>
      <c r="N102" s="367">
        <f t="shared" si="4"/>
        <v>0</v>
      </c>
      <c r="O102" s="368">
        <f t="shared" si="5"/>
        <v>0</v>
      </c>
      <c r="P102" s="606"/>
      <c r="Q102" s="606"/>
      <c r="R102" s="606"/>
      <c r="S102" s="606"/>
      <c r="T102" s="606"/>
      <c r="U102" s="606"/>
      <c r="V102" s="606"/>
      <c r="W102" s="606"/>
      <c r="X102" s="606"/>
      <c r="Y102" s="606"/>
      <c r="Z102" s="606"/>
      <c r="AA102" s="606"/>
      <c r="AB102" s="606"/>
      <c r="AC102" s="606"/>
      <c r="AD102" s="606"/>
    </row>
    <row r="103" spans="2:30">
      <c r="B103" s="367">
        <f t="shared" si="3"/>
        <v>-1</v>
      </c>
      <c r="D103" s="182"/>
      <c r="E103" s="182"/>
      <c r="F103" s="184"/>
      <c r="G103" s="182"/>
      <c r="H103" s="182"/>
      <c r="I103" s="182"/>
      <c r="J103" s="183"/>
      <c r="K103" s="183"/>
      <c r="L103" s="182"/>
      <c r="N103" s="367">
        <f t="shared" si="4"/>
        <v>0</v>
      </c>
      <c r="O103" s="368">
        <f t="shared" si="5"/>
        <v>0</v>
      </c>
      <c r="P103" s="606"/>
      <c r="Q103" s="606"/>
      <c r="R103" s="606"/>
      <c r="S103" s="606"/>
      <c r="T103" s="606"/>
      <c r="U103" s="606"/>
      <c r="V103" s="606"/>
      <c r="W103" s="606"/>
      <c r="X103" s="606"/>
      <c r="Y103" s="606"/>
      <c r="Z103" s="606"/>
      <c r="AA103" s="606"/>
      <c r="AB103" s="606"/>
      <c r="AC103" s="606"/>
      <c r="AD103" s="606"/>
    </row>
    <row r="104" spans="2:30">
      <c r="B104" s="367">
        <f t="shared" si="3"/>
        <v>-1</v>
      </c>
      <c r="D104" s="182"/>
      <c r="E104" s="182"/>
      <c r="F104" s="184"/>
      <c r="G104" s="182"/>
      <c r="H104" s="182"/>
      <c r="I104" s="182"/>
      <c r="J104" s="183"/>
      <c r="K104" s="183"/>
      <c r="L104" s="182"/>
      <c r="N104" s="367">
        <f t="shared" si="4"/>
        <v>0</v>
      </c>
      <c r="O104" s="368">
        <f t="shared" si="5"/>
        <v>0</v>
      </c>
      <c r="P104" s="606"/>
      <c r="Q104" s="606"/>
      <c r="R104" s="606"/>
      <c r="S104" s="606"/>
      <c r="T104" s="606"/>
      <c r="U104" s="606"/>
      <c r="V104" s="606"/>
      <c r="W104" s="606"/>
      <c r="X104" s="606"/>
      <c r="Y104" s="606"/>
      <c r="Z104" s="606"/>
      <c r="AA104" s="606"/>
      <c r="AB104" s="606"/>
      <c r="AC104" s="606"/>
      <c r="AD104" s="606"/>
    </row>
    <row r="105" spans="2:30">
      <c r="B105" s="367">
        <f t="shared" si="3"/>
        <v>-1</v>
      </c>
      <c r="D105" s="182"/>
      <c r="E105" s="182"/>
      <c r="F105" s="184"/>
      <c r="G105" s="182"/>
      <c r="H105" s="182"/>
      <c r="I105" s="182"/>
      <c r="J105" s="183"/>
      <c r="K105" s="183"/>
      <c r="L105" s="182"/>
      <c r="N105" s="367">
        <f t="shared" si="4"/>
        <v>0</v>
      </c>
      <c r="O105" s="368">
        <f t="shared" si="5"/>
        <v>0</v>
      </c>
      <c r="P105" s="606"/>
      <c r="Q105" s="606"/>
      <c r="R105" s="606"/>
      <c r="S105" s="606"/>
      <c r="T105" s="606"/>
      <c r="U105" s="606"/>
      <c r="V105" s="606"/>
      <c r="W105" s="606"/>
      <c r="X105" s="606"/>
      <c r="Y105" s="606"/>
      <c r="Z105" s="606"/>
      <c r="AA105" s="606"/>
      <c r="AB105" s="606"/>
      <c r="AC105" s="606"/>
      <c r="AD105" s="606"/>
    </row>
    <row r="106" spans="2:30">
      <c r="B106" s="367">
        <f t="shared" si="3"/>
        <v>-1</v>
      </c>
      <c r="D106" s="182"/>
      <c r="E106" s="182"/>
      <c r="F106" s="184"/>
      <c r="G106" s="182"/>
      <c r="H106" s="182"/>
      <c r="I106" s="182"/>
      <c r="J106" s="183"/>
      <c r="K106" s="183"/>
      <c r="L106" s="182"/>
      <c r="N106" s="367">
        <f t="shared" si="4"/>
        <v>0</v>
      </c>
      <c r="O106" s="368">
        <f t="shared" si="5"/>
        <v>0</v>
      </c>
      <c r="P106" s="606"/>
      <c r="Q106" s="606"/>
      <c r="R106" s="606"/>
      <c r="S106" s="606"/>
      <c r="T106" s="606"/>
      <c r="U106" s="606"/>
      <c r="V106" s="606"/>
      <c r="W106" s="606"/>
      <c r="X106" s="606"/>
      <c r="Y106" s="606"/>
      <c r="Z106" s="606"/>
      <c r="AA106" s="606"/>
      <c r="AB106" s="606"/>
      <c r="AC106" s="606"/>
      <c r="AD106" s="606"/>
    </row>
    <row r="107" spans="2:30">
      <c r="B107" s="367">
        <f t="shared" si="3"/>
        <v>-1</v>
      </c>
      <c r="D107" s="182"/>
      <c r="E107" s="182"/>
      <c r="F107" s="184"/>
      <c r="G107" s="182"/>
      <c r="H107" s="182"/>
      <c r="I107" s="182"/>
      <c r="J107" s="183"/>
      <c r="K107" s="183"/>
      <c r="L107" s="182"/>
      <c r="N107" s="367">
        <f t="shared" si="4"/>
        <v>0</v>
      </c>
      <c r="O107" s="368">
        <f t="shared" si="5"/>
        <v>0</v>
      </c>
      <c r="P107" s="606"/>
      <c r="Q107" s="606"/>
      <c r="R107" s="606"/>
      <c r="S107" s="606"/>
      <c r="T107" s="606"/>
      <c r="U107" s="606"/>
      <c r="V107" s="606"/>
      <c r="W107" s="606"/>
      <c r="X107" s="606"/>
      <c r="Y107" s="606"/>
      <c r="Z107" s="606"/>
      <c r="AA107" s="606"/>
      <c r="AB107" s="606"/>
      <c r="AC107" s="606"/>
      <c r="AD107" s="606"/>
    </row>
    <row r="108" spans="2:30">
      <c r="B108" s="367">
        <f t="shared" si="3"/>
        <v>-1</v>
      </c>
      <c r="D108" s="182"/>
      <c r="E108" s="182"/>
      <c r="F108" s="184"/>
      <c r="G108" s="182"/>
      <c r="H108" s="182"/>
      <c r="I108" s="182"/>
      <c r="J108" s="183"/>
      <c r="K108" s="183"/>
      <c r="L108" s="182"/>
      <c r="N108" s="367">
        <f t="shared" si="4"/>
        <v>0</v>
      </c>
      <c r="O108" s="368">
        <f t="shared" si="5"/>
        <v>0</v>
      </c>
      <c r="P108" s="606"/>
      <c r="Q108" s="606"/>
      <c r="R108" s="606"/>
      <c r="S108" s="606"/>
      <c r="T108" s="606"/>
      <c r="U108" s="606"/>
      <c r="V108" s="606"/>
      <c r="W108" s="606"/>
      <c r="X108" s="606"/>
      <c r="Y108" s="606"/>
      <c r="Z108" s="606"/>
      <c r="AA108" s="606"/>
      <c r="AB108" s="606"/>
      <c r="AC108" s="606"/>
      <c r="AD108" s="606"/>
    </row>
    <row r="109" spans="2:30">
      <c r="B109" s="367">
        <f t="shared" si="3"/>
        <v>-1</v>
      </c>
      <c r="D109" s="182"/>
      <c r="E109" s="182"/>
      <c r="F109" s="184"/>
      <c r="G109" s="182"/>
      <c r="H109" s="182"/>
      <c r="I109" s="182"/>
      <c r="J109" s="183"/>
      <c r="K109" s="183"/>
      <c r="L109" s="182"/>
      <c r="N109" s="367">
        <f t="shared" si="4"/>
        <v>0</v>
      </c>
      <c r="O109" s="368">
        <f t="shared" si="5"/>
        <v>0</v>
      </c>
      <c r="P109" s="606"/>
      <c r="Q109" s="606"/>
      <c r="R109" s="606"/>
      <c r="S109" s="606"/>
      <c r="T109" s="606"/>
      <c r="U109" s="606"/>
      <c r="V109" s="606"/>
      <c r="W109" s="606"/>
      <c r="X109" s="606"/>
      <c r="Y109" s="606"/>
      <c r="Z109" s="606"/>
      <c r="AA109" s="606"/>
      <c r="AB109" s="606"/>
      <c r="AC109" s="606"/>
      <c r="AD109" s="606"/>
    </row>
    <row r="110" spans="2:30">
      <c r="B110" s="367">
        <f t="shared" si="3"/>
        <v>-1</v>
      </c>
      <c r="D110" s="182"/>
      <c r="E110" s="182"/>
      <c r="F110" s="184"/>
      <c r="G110" s="182"/>
      <c r="H110" s="182"/>
      <c r="I110" s="182"/>
      <c r="J110" s="183"/>
      <c r="K110" s="183"/>
      <c r="L110" s="182"/>
      <c r="N110" s="367">
        <f t="shared" si="4"/>
        <v>0</v>
      </c>
      <c r="O110" s="368">
        <f t="shared" si="5"/>
        <v>0</v>
      </c>
      <c r="P110" s="606"/>
      <c r="Q110" s="606"/>
      <c r="R110" s="606"/>
      <c r="S110" s="606"/>
      <c r="T110" s="606"/>
      <c r="U110" s="606"/>
      <c r="V110" s="606"/>
      <c r="W110" s="606"/>
      <c r="X110" s="606"/>
      <c r="Y110" s="606"/>
      <c r="Z110" s="606"/>
      <c r="AA110" s="606"/>
      <c r="AB110" s="606"/>
      <c r="AC110" s="606"/>
      <c r="AD110" s="606"/>
    </row>
    <row r="111" spans="2:30">
      <c r="B111" s="367">
        <f t="shared" si="3"/>
        <v>-1</v>
      </c>
      <c r="D111" s="182"/>
      <c r="E111" s="182"/>
      <c r="F111" s="184"/>
      <c r="G111" s="182"/>
      <c r="H111" s="182"/>
      <c r="I111" s="182"/>
      <c r="J111" s="183"/>
      <c r="K111" s="183"/>
      <c r="L111" s="182"/>
      <c r="N111" s="367">
        <f t="shared" si="4"/>
        <v>0</v>
      </c>
      <c r="O111" s="368">
        <f t="shared" si="5"/>
        <v>0</v>
      </c>
      <c r="P111" s="606"/>
      <c r="Q111" s="606"/>
      <c r="R111" s="606"/>
      <c r="S111" s="606"/>
      <c r="T111" s="606"/>
      <c r="U111" s="606"/>
      <c r="V111" s="606"/>
      <c r="W111" s="606"/>
      <c r="X111" s="606"/>
      <c r="Y111" s="606"/>
      <c r="Z111" s="606"/>
      <c r="AA111" s="606"/>
      <c r="AB111" s="606"/>
      <c r="AC111" s="606"/>
      <c r="AD111" s="606"/>
    </row>
    <row r="112" spans="2:30">
      <c r="B112" s="367">
        <f t="shared" si="3"/>
        <v>-1</v>
      </c>
      <c r="D112" s="182"/>
      <c r="E112" s="182"/>
      <c r="F112" s="184"/>
      <c r="G112" s="182"/>
      <c r="H112" s="182"/>
      <c r="I112" s="182"/>
      <c r="J112" s="183"/>
      <c r="K112" s="183"/>
      <c r="L112" s="182"/>
      <c r="N112" s="367">
        <f t="shared" si="4"/>
        <v>0</v>
      </c>
      <c r="O112" s="368">
        <f t="shared" si="5"/>
        <v>0</v>
      </c>
      <c r="P112" s="606"/>
      <c r="Q112" s="606"/>
      <c r="R112" s="606"/>
      <c r="S112" s="606"/>
      <c r="T112" s="606"/>
      <c r="U112" s="606"/>
      <c r="V112" s="606"/>
      <c r="W112" s="606"/>
      <c r="X112" s="606"/>
      <c r="Y112" s="606"/>
      <c r="Z112" s="606"/>
      <c r="AA112" s="606"/>
      <c r="AB112" s="606"/>
      <c r="AC112" s="606"/>
      <c r="AD112" s="606"/>
    </row>
    <row r="113" spans="2:30">
      <c r="B113" s="367">
        <f t="shared" si="3"/>
        <v>-1</v>
      </c>
      <c r="D113" s="182"/>
      <c r="E113" s="182"/>
      <c r="F113" s="184"/>
      <c r="G113" s="182"/>
      <c r="H113" s="182"/>
      <c r="I113" s="182"/>
      <c r="J113" s="183"/>
      <c r="K113" s="183"/>
      <c r="L113" s="182"/>
      <c r="N113" s="367">
        <f t="shared" si="4"/>
        <v>0</v>
      </c>
      <c r="O113" s="368">
        <f t="shared" si="5"/>
        <v>0</v>
      </c>
      <c r="P113" s="606"/>
      <c r="Q113" s="606"/>
      <c r="R113" s="606"/>
      <c r="S113" s="606"/>
      <c r="T113" s="606"/>
      <c r="U113" s="606"/>
      <c r="V113" s="606"/>
      <c r="W113" s="606"/>
      <c r="X113" s="606"/>
      <c r="Y113" s="606"/>
      <c r="Z113" s="606"/>
      <c r="AA113" s="606"/>
      <c r="AB113" s="606"/>
      <c r="AC113" s="606"/>
      <c r="AD113" s="606"/>
    </row>
    <row r="114" spans="2:30">
      <c r="B114" s="367">
        <f t="shared" si="3"/>
        <v>-1</v>
      </c>
      <c r="D114" s="182"/>
      <c r="E114" s="182"/>
      <c r="F114" s="184"/>
      <c r="G114" s="182"/>
      <c r="H114" s="182"/>
      <c r="I114" s="182"/>
      <c r="J114" s="183"/>
      <c r="K114" s="183"/>
      <c r="L114" s="182"/>
      <c r="N114" s="367">
        <f t="shared" si="4"/>
        <v>0</v>
      </c>
      <c r="O114" s="368">
        <f t="shared" si="5"/>
        <v>0</v>
      </c>
      <c r="P114" s="606"/>
      <c r="Q114" s="606"/>
      <c r="R114" s="606"/>
      <c r="S114" s="606"/>
      <c r="T114" s="606"/>
      <c r="U114" s="606"/>
      <c r="V114" s="606"/>
      <c r="W114" s="606"/>
      <c r="X114" s="606"/>
      <c r="Y114" s="606"/>
      <c r="Z114" s="606"/>
      <c r="AA114" s="606"/>
      <c r="AB114" s="606"/>
      <c r="AC114" s="606"/>
      <c r="AD114" s="606"/>
    </row>
    <row r="115" spans="2:30">
      <c r="B115" s="367">
        <f t="shared" si="3"/>
        <v>-1</v>
      </c>
      <c r="D115" s="182"/>
      <c r="E115" s="182"/>
      <c r="F115" s="184"/>
      <c r="G115" s="182"/>
      <c r="H115" s="182"/>
      <c r="I115" s="182"/>
      <c r="J115" s="183"/>
      <c r="K115" s="183"/>
      <c r="L115" s="182"/>
      <c r="N115" s="367">
        <f t="shared" si="4"/>
        <v>0</v>
      </c>
      <c r="O115" s="368">
        <f t="shared" si="5"/>
        <v>0</v>
      </c>
      <c r="P115" s="606"/>
      <c r="Q115" s="606"/>
      <c r="R115" s="606"/>
      <c r="S115" s="606"/>
      <c r="T115" s="606"/>
      <c r="U115" s="606"/>
      <c r="V115" s="606"/>
      <c r="W115" s="606"/>
      <c r="X115" s="606"/>
      <c r="Y115" s="606"/>
      <c r="Z115" s="606"/>
      <c r="AA115" s="606"/>
      <c r="AB115" s="606"/>
      <c r="AC115" s="606"/>
      <c r="AD115" s="606"/>
    </row>
    <row r="116" spans="2:30">
      <c r="B116" s="367">
        <f t="shared" si="3"/>
        <v>-1</v>
      </c>
      <c r="D116" s="182"/>
      <c r="E116" s="182"/>
      <c r="F116" s="184"/>
      <c r="G116" s="182"/>
      <c r="H116" s="182"/>
      <c r="I116" s="182"/>
      <c r="J116" s="183"/>
      <c r="K116" s="183"/>
      <c r="L116" s="182"/>
      <c r="N116" s="367">
        <f t="shared" si="4"/>
        <v>0</v>
      </c>
      <c r="O116" s="368">
        <f t="shared" si="5"/>
        <v>0</v>
      </c>
      <c r="P116" s="606"/>
      <c r="Q116" s="606"/>
      <c r="R116" s="606"/>
      <c r="S116" s="606"/>
      <c r="T116" s="606"/>
      <c r="U116" s="606"/>
      <c r="V116" s="606"/>
      <c r="W116" s="606"/>
      <c r="X116" s="606"/>
      <c r="Y116" s="606"/>
      <c r="Z116" s="606"/>
      <c r="AA116" s="606"/>
      <c r="AB116" s="606"/>
      <c r="AC116" s="606"/>
      <c r="AD116" s="606"/>
    </row>
    <row r="117" spans="2:30">
      <c r="B117" s="367">
        <f t="shared" si="3"/>
        <v>-1</v>
      </c>
      <c r="D117" s="182"/>
      <c r="E117" s="182"/>
      <c r="F117" s="184"/>
      <c r="G117" s="182"/>
      <c r="H117" s="182"/>
      <c r="I117" s="182"/>
      <c r="J117" s="183"/>
      <c r="K117" s="183"/>
      <c r="L117" s="182"/>
      <c r="N117" s="367">
        <f t="shared" si="4"/>
        <v>0</v>
      </c>
      <c r="O117" s="368">
        <f t="shared" si="5"/>
        <v>0</v>
      </c>
      <c r="P117" s="606"/>
      <c r="Q117" s="606"/>
      <c r="R117" s="606"/>
      <c r="S117" s="606"/>
      <c r="T117" s="606"/>
      <c r="U117" s="606"/>
      <c r="V117" s="606"/>
      <c r="W117" s="606"/>
      <c r="X117" s="606"/>
      <c r="Y117" s="606"/>
      <c r="Z117" s="606"/>
      <c r="AA117" s="606"/>
      <c r="AB117" s="606"/>
      <c r="AC117" s="606"/>
      <c r="AD117" s="606"/>
    </row>
    <row r="118" spans="2:30">
      <c r="B118" s="367">
        <f t="shared" si="3"/>
        <v>-1</v>
      </c>
      <c r="D118" s="182"/>
      <c r="E118" s="182"/>
      <c r="F118" s="184"/>
      <c r="G118" s="182"/>
      <c r="H118" s="182"/>
      <c r="I118" s="182"/>
      <c r="J118" s="183"/>
      <c r="K118" s="183"/>
      <c r="L118" s="182"/>
      <c r="N118" s="367">
        <f t="shared" si="4"/>
        <v>0</v>
      </c>
      <c r="O118" s="368">
        <f t="shared" si="5"/>
        <v>0</v>
      </c>
      <c r="P118" s="606"/>
      <c r="Q118" s="606"/>
      <c r="R118" s="606"/>
      <c r="S118" s="606"/>
      <c r="T118" s="606"/>
      <c r="U118" s="606"/>
      <c r="V118" s="606"/>
      <c r="W118" s="606"/>
      <c r="X118" s="606"/>
      <c r="Y118" s="606"/>
      <c r="Z118" s="606"/>
      <c r="AA118" s="606"/>
      <c r="AB118" s="606"/>
      <c r="AC118" s="606"/>
      <c r="AD118" s="606"/>
    </row>
    <row r="119" spans="2:30">
      <c r="B119" s="367">
        <f t="shared" si="3"/>
        <v>-1</v>
      </c>
      <c r="D119" s="182"/>
      <c r="E119" s="182"/>
      <c r="F119" s="184"/>
      <c r="G119" s="182"/>
      <c r="H119" s="182"/>
      <c r="I119" s="182"/>
      <c r="J119" s="183"/>
      <c r="K119" s="183"/>
      <c r="L119" s="182"/>
      <c r="N119" s="367">
        <f t="shared" si="4"/>
        <v>0</v>
      </c>
      <c r="O119" s="368">
        <f t="shared" si="5"/>
        <v>0</v>
      </c>
      <c r="P119" s="606"/>
      <c r="Q119" s="606"/>
      <c r="R119" s="606"/>
      <c r="S119" s="606"/>
      <c r="T119" s="606"/>
      <c r="U119" s="606"/>
      <c r="V119" s="606"/>
      <c r="W119" s="606"/>
      <c r="X119" s="606"/>
      <c r="Y119" s="606"/>
      <c r="Z119" s="606"/>
      <c r="AA119" s="606"/>
      <c r="AB119" s="606"/>
      <c r="AC119" s="606"/>
      <c r="AD119" s="606"/>
    </row>
    <row r="120" spans="2:30">
      <c r="B120" s="367">
        <f t="shared" si="3"/>
        <v>-1</v>
      </c>
      <c r="D120" s="182"/>
      <c r="E120" s="182"/>
      <c r="F120" s="184"/>
      <c r="G120" s="182"/>
      <c r="H120" s="182"/>
      <c r="I120" s="182"/>
      <c r="J120" s="183"/>
      <c r="K120" s="183"/>
      <c r="L120" s="182"/>
      <c r="N120" s="367">
        <f t="shared" si="4"/>
        <v>0</v>
      </c>
      <c r="O120" s="368">
        <f t="shared" si="5"/>
        <v>0</v>
      </c>
      <c r="P120" s="606"/>
      <c r="Q120" s="606"/>
      <c r="R120" s="606"/>
      <c r="S120" s="606"/>
      <c r="T120" s="606"/>
      <c r="U120" s="606"/>
      <c r="V120" s="606"/>
      <c r="W120" s="606"/>
      <c r="X120" s="606"/>
      <c r="Y120" s="606"/>
      <c r="Z120" s="606"/>
      <c r="AA120" s="606"/>
      <c r="AB120" s="606"/>
      <c r="AC120" s="606"/>
      <c r="AD120" s="606"/>
    </row>
    <row r="121" spans="2:30">
      <c r="B121" s="367">
        <f t="shared" si="3"/>
        <v>-1</v>
      </c>
      <c r="D121" s="182"/>
      <c r="E121" s="182"/>
      <c r="F121" s="184"/>
      <c r="G121" s="182"/>
      <c r="H121" s="182"/>
      <c r="I121" s="182"/>
      <c r="J121" s="183"/>
      <c r="K121" s="183"/>
      <c r="L121" s="182"/>
      <c r="N121" s="367">
        <f t="shared" si="4"/>
        <v>0</v>
      </c>
      <c r="O121" s="368">
        <f t="shared" si="5"/>
        <v>0</v>
      </c>
      <c r="P121" s="606"/>
      <c r="Q121" s="606"/>
      <c r="R121" s="606"/>
      <c r="S121" s="606"/>
      <c r="T121" s="606"/>
      <c r="U121" s="606"/>
      <c r="V121" s="606"/>
      <c r="W121" s="606"/>
      <c r="X121" s="606"/>
      <c r="Y121" s="606"/>
      <c r="Z121" s="606"/>
      <c r="AA121" s="606"/>
      <c r="AB121" s="606"/>
      <c r="AC121" s="606"/>
      <c r="AD121" s="606"/>
    </row>
    <row r="122" spans="2:30">
      <c r="B122" s="367">
        <f t="shared" si="3"/>
        <v>-1</v>
      </c>
      <c r="D122" s="182"/>
      <c r="E122" s="182"/>
      <c r="F122" s="184"/>
      <c r="G122" s="182"/>
      <c r="H122" s="182"/>
      <c r="I122" s="182"/>
      <c r="J122" s="183"/>
      <c r="K122" s="183"/>
      <c r="L122" s="182"/>
      <c r="N122" s="367">
        <f t="shared" si="4"/>
        <v>0</v>
      </c>
      <c r="O122" s="368">
        <f t="shared" si="5"/>
        <v>0</v>
      </c>
      <c r="P122" s="606"/>
      <c r="Q122" s="606"/>
      <c r="R122" s="606"/>
      <c r="S122" s="606"/>
      <c r="T122" s="606"/>
      <c r="U122" s="606"/>
      <c r="V122" s="606"/>
      <c r="W122" s="606"/>
      <c r="X122" s="606"/>
      <c r="Y122" s="606"/>
      <c r="Z122" s="606"/>
      <c r="AA122" s="606"/>
      <c r="AB122" s="606"/>
      <c r="AC122" s="606"/>
      <c r="AD122" s="606"/>
    </row>
    <row r="123" spans="2:30">
      <c r="B123" s="367">
        <f t="shared" si="3"/>
        <v>-1</v>
      </c>
      <c r="D123" s="182"/>
      <c r="E123" s="182"/>
      <c r="F123" s="184"/>
      <c r="G123" s="182"/>
      <c r="H123" s="182"/>
      <c r="I123" s="182"/>
      <c r="J123" s="183"/>
      <c r="K123" s="183"/>
      <c r="L123" s="182"/>
      <c r="N123" s="367">
        <f t="shared" si="4"/>
        <v>0</v>
      </c>
      <c r="O123" s="368">
        <f t="shared" si="5"/>
        <v>0</v>
      </c>
      <c r="P123" s="606"/>
      <c r="Q123" s="606"/>
      <c r="R123" s="606"/>
      <c r="S123" s="606"/>
      <c r="T123" s="606"/>
      <c r="U123" s="606"/>
      <c r="V123" s="606"/>
      <c r="W123" s="606"/>
      <c r="X123" s="606"/>
      <c r="Y123" s="606"/>
      <c r="Z123" s="606"/>
      <c r="AA123" s="606"/>
      <c r="AB123" s="606"/>
      <c r="AC123" s="606"/>
      <c r="AD123" s="606"/>
    </row>
    <row r="124" spans="2:30">
      <c r="B124" s="367">
        <f t="shared" si="3"/>
        <v>-1</v>
      </c>
      <c r="D124" s="182"/>
      <c r="E124" s="182"/>
      <c r="F124" s="184"/>
      <c r="G124" s="182"/>
      <c r="H124" s="182"/>
      <c r="I124" s="182"/>
      <c r="J124" s="183"/>
      <c r="K124" s="183"/>
      <c r="L124" s="182"/>
      <c r="N124" s="367">
        <f t="shared" si="4"/>
        <v>0</v>
      </c>
      <c r="O124" s="368">
        <f t="shared" si="5"/>
        <v>0</v>
      </c>
      <c r="P124" s="606"/>
      <c r="Q124" s="606"/>
      <c r="R124" s="606"/>
      <c r="S124" s="606"/>
      <c r="T124" s="606"/>
      <c r="U124" s="606"/>
      <c r="V124" s="606"/>
      <c r="W124" s="606"/>
      <c r="X124" s="606"/>
      <c r="Y124" s="606"/>
      <c r="Z124" s="606"/>
      <c r="AA124" s="606"/>
      <c r="AB124" s="606"/>
      <c r="AC124" s="606"/>
      <c r="AD124" s="606"/>
    </row>
    <row r="125" spans="2:30">
      <c r="B125" s="367">
        <f t="shared" si="3"/>
        <v>-1</v>
      </c>
      <c r="D125" s="182"/>
      <c r="E125" s="182"/>
      <c r="F125" s="184"/>
      <c r="G125" s="182"/>
      <c r="H125" s="182"/>
      <c r="I125" s="182"/>
      <c r="J125" s="183"/>
      <c r="K125" s="183"/>
      <c r="L125" s="182"/>
      <c r="N125" s="367">
        <f t="shared" si="4"/>
        <v>0</v>
      </c>
      <c r="O125" s="368">
        <f t="shared" si="5"/>
        <v>0</v>
      </c>
      <c r="P125" s="606"/>
      <c r="Q125" s="606"/>
      <c r="R125" s="606"/>
      <c r="S125" s="606"/>
      <c r="T125" s="606"/>
      <c r="U125" s="606"/>
      <c r="V125" s="606"/>
      <c r="W125" s="606"/>
      <c r="X125" s="606"/>
      <c r="Y125" s="606"/>
      <c r="Z125" s="606"/>
      <c r="AA125" s="606"/>
      <c r="AB125" s="606"/>
      <c r="AC125" s="606"/>
      <c r="AD125" s="606"/>
    </row>
    <row r="126" spans="2:30">
      <c r="B126" s="367">
        <f t="shared" si="3"/>
        <v>-1</v>
      </c>
      <c r="D126" s="182"/>
      <c r="E126" s="182"/>
      <c r="F126" s="184"/>
      <c r="G126" s="182"/>
      <c r="H126" s="182"/>
      <c r="I126" s="182"/>
      <c r="J126" s="183"/>
      <c r="K126" s="183"/>
      <c r="L126" s="182"/>
      <c r="N126" s="367">
        <f t="shared" si="4"/>
        <v>0</v>
      </c>
      <c r="O126" s="368">
        <f t="shared" si="5"/>
        <v>0</v>
      </c>
      <c r="P126" s="606"/>
      <c r="Q126" s="606"/>
      <c r="R126" s="606"/>
      <c r="S126" s="606"/>
      <c r="T126" s="606"/>
      <c r="U126" s="606"/>
      <c r="V126" s="606"/>
      <c r="W126" s="606"/>
      <c r="X126" s="606"/>
      <c r="Y126" s="606"/>
      <c r="Z126" s="606"/>
      <c r="AA126" s="606"/>
      <c r="AB126" s="606"/>
      <c r="AC126" s="606"/>
      <c r="AD126" s="606"/>
    </row>
    <row r="127" spans="2:30">
      <c r="B127" s="367">
        <f t="shared" si="3"/>
        <v>-1</v>
      </c>
      <c r="D127" s="182"/>
      <c r="E127" s="182"/>
      <c r="F127" s="184"/>
      <c r="G127" s="182"/>
      <c r="H127" s="182"/>
      <c r="I127" s="182"/>
      <c r="J127" s="183"/>
      <c r="K127" s="183"/>
      <c r="L127" s="182"/>
      <c r="N127" s="367">
        <f t="shared" si="4"/>
        <v>0</v>
      </c>
      <c r="O127" s="368">
        <f t="shared" si="5"/>
        <v>0</v>
      </c>
      <c r="P127" s="606"/>
      <c r="Q127" s="606"/>
      <c r="R127" s="606"/>
      <c r="S127" s="606"/>
      <c r="T127" s="606"/>
      <c r="U127" s="606"/>
      <c r="V127" s="606"/>
      <c r="W127" s="606"/>
      <c r="X127" s="606"/>
      <c r="Y127" s="606"/>
      <c r="Z127" s="606"/>
      <c r="AA127" s="606"/>
      <c r="AB127" s="606"/>
      <c r="AC127" s="606"/>
      <c r="AD127" s="606"/>
    </row>
    <row r="128" spans="2:30">
      <c r="B128" s="367">
        <f t="shared" si="3"/>
        <v>-1</v>
      </c>
      <c r="D128" s="182"/>
      <c r="E128" s="182"/>
      <c r="F128" s="184"/>
      <c r="G128" s="182"/>
      <c r="H128" s="182"/>
      <c r="I128" s="182"/>
      <c r="J128" s="183"/>
      <c r="K128" s="183"/>
      <c r="L128" s="182"/>
      <c r="N128" s="367">
        <f t="shared" si="4"/>
        <v>0</v>
      </c>
      <c r="O128" s="368">
        <f t="shared" si="5"/>
        <v>0</v>
      </c>
      <c r="P128" s="606"/>
      <c r="Q128" s="606"/>
      <c r="R128" s="606"/>
      <c r="S128" s="606"/>
      <c r="T128" s="606"/>
      <c r="U128" s="606"/>
      <c r="V128" s="606"/>
      <c r="W128" s="606"/>
      <c r="X128" s="606"/>
      <c r="Y128" s="606"/>
      <c r="Z128" s="606"/>
      <c r="AA128" s="606"/>
      <c r="AB128" s="606"/>
      <c r="AC128" s="606"/>
      <c r="AD128" s="606"/>
    </row>
    <row r="129" spans="2:30">
      <c r="B129" s="367">
        <f t="shared" si="3"/>
        <v>-1</v>
      </c>
      <c r="D129" s="182"/>
      <c r="E129" s="182"/>
      <c r="F129" s="184"/>
      <c r="G129" s="182"/>
      <c r="H129" s="182"/>
      <c r="I129" s="182"/>
      <c r="J129" s="183"/>
      <c r="K129" s="183"/>
      <c r="L129" s="182"/>
      <c r="N129" s="367">
        <f t="shared" si="4"/>
        <v>0</v>
      </c>
      <c r="O129" s="368">
        <f t="shared" si="5"/>
        <v>0</v>
      </c>
      <c r="P129" s="606"/>
      <c r="Q129" s="606"/>
      <c r="R129" s="606"/>
      <c r="S129" s="606"/>
      <c r="T129" s="606"/>
      <c r="U129" s="606"/>
      <c r="V129" s="606"/>
      <c r="W129" s="606"/>
      <c r="X129" s="606"/>
      <c r="Y129" s="606"/>
      <c r="Z129" s="606"/>
      <c r="AA129" s="606"/>
      <c r="AB129" s="606"/>
      <c r="AC129" s="606"/>
      <c r="AD129" s="606"/>
    </row>
    <row r="130" spans="2:30">
      <c r="B130" s="367">
        <f t="shared" si="3"/>
        <v>-1</v>
      </c>
      <c r="D130" s="182"/>
      <c r="E130" s="182"/>
      <c r="F130" s="184"/>
      <c r="G130" s="182"/>
      <c r="H130" s="182"/>
      <c r="I130" s="182"/>
      <c r="J130" s="183"/>
      <c r="K130" s="183"/>
      <c r="L130" s="182"/>
      <c r="N130" s="367">
        <f t="shared" si="4"/>
        <v>0</v>
      </c>
      <c r="O130" s="368">
        <f t="shared" si="5"/>
        <v>0</v>
      </c>
      <c r="P130" s="606"/>
      <c r="Q130" s="606"/>
      <c r="R130" s="606"/>
      <c r="S130" s="606"/>
      <c r="T130" s="606"/>
      <c r="U130" s="606"/>
      <c r="V130" s="606"/>
      <c r="W130" s="606"/>
      <c r="X130" s="606"/>
      <c r="Y130" s="606"/>
      <c r="Z130" s="606"/>
      <c r="AA130" s="606"/>
      <c r="AB130" s="606"/>
      <c r="AC130" s="606"/>
      <c r="AD130" s="606"/>
    </row>
    <row r="131" spans="2:30">
      <c r="B131" s="367">
        <f t="shared" si="3"/>
        <v>-1</v>
      </c>
      <c r="D131" s="182"/>
      <c r="E131" s="182"/>
      <c r="F131" s="184"/>
      <c r="G131" s="182"/>
      <c r="H131" s="182"/>
      <c r="I131" s="182"/>
      <c r="J131" s="183"/>
      <c r="K131" s="183"/>
      <c r="L131" s="182"/>
      <c r="N131" s="367">
        <f t="shared" si="4"/>
        <v>0</v>
      </c>
      <c r="O131" s="368">
        <f t="shared" si="5"/>
        <v>0</v>
      </c>
      <c r="P131" s="606"/>
      <c r="Q131" s="606"/>
      <c r="R131" s="606"/>
      <c r="S131" s="606"/>
      <c r="T131" s="606"/>
      <c r="U131" s="606"/>
      <c r="V131" s="606"/>
      <c r="W131" s="606"/>
      <c r="X131" s="606"/>
      <c r="Y131" s="606"/>
      <c r="Z131" s="606"/>
      <c r="AA131" s="606"/>
      <c r="AB131" s="606"/>
      <c r="AC131" s="606"/>
      <c r="AD131" s="606"/>
    </row>
    <row r="132" spans="2:30">
      <c r="B132" s="367">
        <f t="shared" si="3"/>
        <v>-1</v>
      </c>
      <c r="D132" s="182"/>
      <c r="E132" s="182"/>
      <c r="F132" s="184"/>
      <c r="G132" s="182"/>
      <c r="H132" s="182"/>
      <c r="I132" s="182"/>
      <c r="J132" s="183"/>
      <c r="K132" s="183"/>
      <c r="L132" s="182"/>
      <c r="N132" s="367">
        <f t="shared" si="4"/>
        <v>0</v>
      </c>
      <c r="O132" s="368">
        <f t="shared" si="5"/>
        <v>0</v>
      </c>
      <c r="P132" s="606"/>
      <c r="Q132" s="606"/>
      <c r="R132" s="606"/>
      <c r="S132" s="606"/>
      <c r="T132" s="606"/>
      <c r="U132" s="606"/>
      <c r="V132" s="606"/>
      <c r="W132" s="606"/>
      <c r="X132" s="606"/>
      <c r="Y132" s="606"/>
      <c r="Z132" s="606"/>
      <c r="AA132" s="606"/>
      <c r="AB132" s="606"/>
      <c r="AC132" s="606"/>
      <c r="AD132" s="606"/>
    </row>
    <row r="133" spans="2:30">
      <c r="B133" s="367">
        <f t="shared" si="3"/>
        <v>-1</v>
      </c>
      <c r="D133" s="182"/>
      <c r="E133" s="182"/>
      <c r="F133" s="184"/>
      <c r="G133" s="182"/>
      <c r="H133" s="182"/>
      <c r="I133" s="182"/>
      <c r="J133" s="183"/>
      <c r="K133" s="183"/>
      <c r="L133" s="182"/>
      <c r="N133" s="367">
        <f t="shared" si="4"/>
        <v>0</v>
      </c>
      <c r="O133" s="368">
        <f t="shared" si="5"/>
        <v>0</v>
      </c>
      <c r="P133" s="606"/>
      <c r="Q133" s="606"/>
      <c r="R133" s="606"/>
      <c r="S133" s="606"/>
      <c r="T133" s="606"/>
      <c r="U133" s="606"/>
      <c r="V133" s="606"/>
      <c r="W133" s="606"/>
      <c r="X133" s="606"/>
      <c r="Y133" s="606"/>
      <c r="Z133" s="606"/>
      <c r="AA133" s="606"/>
      <c r="AB133" s="606"/>
      <c r="AC133" s="606"/>
      <c r="AD133" s="606"/>
    </row>
    <row r="134" spans="2:30">
      <c r="B134" s="367">
        <f t="shared" si="3"/>
        <v>-1</v>
      </c>
      <c r="D134" s="182"/>
      <c r="E134" s="182"/>
      <c r="F134" s="184"/>
      <c r="G134" s="182"/>
      <c r="H134" s="182"/>
      <c r="I134" s="182"/>
      <c r="J134" s="183"/>
      <c r="K134" s="183"/>
      <c r="L134" s="182"/>
      <c r="N134" s="367">
        <f t="shared" si="4"/>
        <v>0</v>
      </c>
      <c r="O134" s="368">
        <f t="shared" si="5"/>
        <v>0</v>
      </c>
      <c r="P134" s="606"/>
      <c r="Q134" s="606"/>
      <c r="R134" s="606"/>
      <c r="S134" s="606"/>
      <c r="T134" s="606"/>
      <c r="U134" s="606"/>
      <c r="V134" s="606"/>
      <c r="W134" s="606"/>
      <c r="X134" s="606"/>
      <c r="Y134" s="606"/>
      <c r="Z134" s="606"/>
      <c r="AA134" s="606"/>
      <c r="AB134" s="606"/>
      <c r="AC134" s="606"/>
      <c r="AD134" s="606"/>
    </row>
    <row r="135" spans="2:30">
      <c r="B135" s="367">
        <f t="shared" si="3"/>
        <v>-1</v>
      </c>
      <c r="D135" s="182"/>
      <c r="E135" s="182"/>
      <c r="F135" s="184"/>
      <c r="G135" s="182"/>
      <c r="H135" s="182"/>
      <c r="I135" s="182"/>
      <c r="J135" s="183"/>
      <c r="K135" s="183"/>
      <c r="L135" s="182"/>
      <c r="N135" s="367">
        <f t="shared" si="4"/>
        <v>0</v>
      </c>
      <c r="O135" s="368">
        <f t="shared" si="5"/>
        <v>0</v>
      </c>
      <c r="P135" s="606"/>
      <c r="Q135" s="606"/>
      <c r="R135" s="606"/>
      <c r="S135" s="606"/>
      <c r="T135" s="606"/>
      <c r="U135" s="606"/>
      <c r="V135" s="606"/>
      <c r="W135" s="606"/>
      <c r="X135" s="606"/>
      <c r="Y135" s="606"/>
      <c r="Z135" s="606"/>
      <c r="AA135" s="606"/>
      <c r="AB135" s="606"/>
      <c r="AC135" s="606"/>
      <c r="AD135" s="606"/>
    </row>
    <row r="136" spans="2:30">
      <c r="B136" s="367">
        <f t="shared" si="3"/>
        <v>-1</v>
      </c>
      <c r="D136" s="182"/>
      <c r="E136" s="182"/>
      <c r="F136" s="184"/>
      <c r="G136" s="182"/>
      <c r="H136" s="182"/>
      <c r="I136" s="182"/>
      <c r="J136" s="183"/>
      <c r="K136" s="183"/>
      <c r="L136" s="182"/>
      <c r="N136" s="367">
        <f t="shared" si="4"/>
        <v>0</v>
      </c>
      <c r="O136" s="368">
        <f t="shared" si="5"/>
        <v>0</v>
      </c>
      <c r="P136" s="606"/>
      <c r="Q136" s="606"/>
      <c r="R136" s="606"/>
      <c r="S136" s="606"/>
      <c r="T136" s="606"/>
      <c r="U136" s="606"/>
      <c r="V136" s="606"/>
      <c r="W136" s="606"/>
      <c r="X136" s="606"/>
      <c r="Y136" s="606"/>
      <c r="Z136" s="606"/>
      <c r="AA136" s="606"/>
      <c r="AB136" s="606"/>
      <c r="AC136" s="606"/>
      <c r="AD136" s="606"/>
    </row>
    <row r="137" spans="2:30">
      <c r="B137" s="367">
        <f t="shared" si="3"/>
        <v>-1</v>
      </c>
      <c r="D137" s="182"/>
      <c r="E137" s="182"/>
      <c r="F137" s="184"/>
      <c r="G137" s="182"/>
      <c r="H137" s="182"/>
      <c r="I137" s="182"/>
      <c r="J137" s="183"/>
      <c r="K137" s="183"/>
      <c r="L137" s="182"/>
      <c r="N137" s="367">
        <f t="shared" si="4"/>
        <v>0</v>
      </c>
      <c r="O137" s="368">
        <f t="shared" si="5"/>
        <v>0</v>
      </c>
      <c r="P137" s="606"/>
      <c r="Q137" s="606"/>
      <c r="R137" s="606"/>
      <c r="S137" s="606"/>
      <c r="T137" s="606"/>
      <c r="U137" s="606"/>
      <c r="V137" s="606"/>
      <c r="W137" s="606"/>
      <c r="X137" s="606"/>
      <c r="Y137" s="606"/>
      <c r="Z137" s="606"/>
      <c r="AA137" s="606"/>
      <c r="AB137" s="606"/>
      <c r="AC137" s="606"/>
      <c r="AD137" s="606"/>
    </row>
    <row r="138" spans="2:30">
      <c r="B138" s="367">
        <f t="shared" ref="B138:B201" si="6">IF(G138="buy",1,-1)</f>
        <v>-1</v>
      </c>
      <c r="D138" s="182"/>
      <c r="E138" s="182"/>
      <c r="F138" s="184"/>
      <c r="G138" s="182"/>
      <c r="H138" s="182"/>
      <c r="I138" s="182"/>
      <c r="J138" s="183"/>
      <c r="K138" s="183"/>
      <c r="L138" s="182"/>
      <c r="N138" s="367">
        <f t="shared" ref="N138:N201" si="7">+H138*((K138-J138)+1)*B138</f>
        <v>0</v>
      </c>
      <c r="O138" s="368">
        <f t="shared" ref="O138:O201" si="8">N138*L138/100</f>
        <v>0</v>
      </c>
      <c r="P138" s="606"/>
      <c r="Q138" s="606"/>
      <c r="R138" s="606"/>
      <c r="S138" s="606"/>
      <c r="T138" s="606"/>
      <c r="U138" s="606"/>
      <c r="V138" s="606"/>
      <c r="W138" s="606"/>
      <c r="X138" s="606"/>
      <c r="Y138" s="606"/>
      <c r="Z138" s="606"/>
      <c r="AA138" s="606"/>
      <c r="AB138" s="606"/>
      <c r="AC138" s="606"/>
      <c r="AD138" s="606"/>
    </row>
    <row r="139" spans="2:30">
      <c r="B139" s="367">
        <f t="shared" si="6"/>
        <v>-1</v>
      </c>
      <c r="D139" s="182"/>
      <c r="E139" s="182"/>
      <c r="F139" s="184"/>
      <c r="G139" s="182"/>
      <c r="H139" s="182"/>
      <c r="I139" s="182"/>
      <c r="J139" s="183"/>
      <c r="K139" s="183"/>
      <c r="L139" s="182"/>
      <c r="N139" s="367">
        <f t="shared" si="7"/>
        <v>0</v>
      </c>
      <c r="O139" s="368">
        <f t="shared" si="8"/>
        <v>0</v>
      </c>
      <c r="P139" s="606"/>
      <c r="Q139" s="606"/>
      <c r="R139" s="606"/>
      <c r="S139" s="606"/>
      <c r="T139" s="606"/>
      <c r="U139" s="606"/>
      <c r="V139" s="606"/>
      <c r="W139" s="606"/>
      <c r="X139" s="606"/>
      <c r="Y139" s="606"/>
      <c r="Z139" s="606"/>
      <c r="AA139" s="606"/>
      <c r="AB139" s="606"/>
      <c r="AC139" s="606"/>
      <c r="AD139" s="606"/>
    </row>
    <row r="140" spans="2:30">
      <c r="B140" s="367">
        <f t="shared" si="6"/>
        <v>-1</v>
      </c>
      <c r="D140" s="182"/>
      <c r="E140" s="182"/>
      <c r="F140" s="184"/>
      <c r="G140" s="182"/>
      <c r="H140" s="182"/>
      <c r="I140" s="182"/>
      <c r="J140" s="183"/>
      <c r="K140" s="183"/>
      <c r="L140" s="182"/>
      <c r="N140" s="367">
        <f t="shared" si="7"/>
        <v>0</v>
      </c>
      <c r="O140" s="368">
        <f t="shared" si="8"/>
        <v>0</v>
      </c>
      <c r="P140" s="606"/>
      <c r="Q140" s="606"/>
      <c r="R140" s="606"/>
      <c r="S140" s="606"/>
      <c r="T140" s="606"/>
      <c r="U140" s="606"/>
      <c r="V140" s="606"/>
      <c r="W140" s="606"/>
      <c r="X140" s="606"/>
      <c r="Y140" s="606"/>
      <c r="Z140" s="606"/>
      <c r="AA140" s="606"/>
      <c r="AB140" s="606"/>
      <c r="AC140" s="606"/>
      <c r="AD140" s="606"/>
    </row>
    <row r="141" spans="2:30">
      <c r="B141" s="367">
        <f t="shared" si="6"/>
        <v>-1</v>
      </c>
      <c r="D141" s="182"/>
      <c r="E141" s="182"/>
      <c r="F141" s="184"/>
      <c r="G141" s="182"/>
      <c r="H141" s="182"/>
      <c r="I141" s="182"/>
      <c r="J141" s="183"/>
      <c r="K141" s="183"/>
      <c r="L141" s="182"/>
      <c r="N141" s="367">
        <f t="shared" si="7"/>
        <v>0</v>
      </c>
      <c r="O141" s="368">
        <f t="shared" si="8"/>
        <v>0</v>
      </c>
      <c r="P141" s="606"/>
      <c r="Q141" s="606"/>
      <c r="R141" s="606"/>
      <c r="S141" s="606"/>
      <c r="T141" s="606"/>
      <c r="U141" s="606"/>
      <c r="V141" s="606"/>
      <c r="W141" s="606"/>
      <c r="X141" s="606"/>
      <c r="Y141" s="606"/>
      <c r="Z141" s="606"/>
      <c r="AA141" s="606"/>
      <c r="AB141" s="606"/>
      <c r="AC141" s="606"/>
      <c r="AD141" s="606"/>
    </row>
    <row r="142" spans="2:30">
      <c r="B142" s="367">
        <f t="shared" si="6"/>
        <v>-1</v>
      </c>
      <c r="D142" s="182"/>
      <c r="E142" s="182"/>
      <c r="F142" s="184"/>
      <c r="G142" s="182"/>
      <c r="H142" s="182"/>
      <c r="I142" s="182"/>
      <c r="J142" s="183"/>
      <c r="K142" s="183"/>
      <c r="L142" s="182"/>
      <c r="N142" s="367">
        <f t="shared" si="7"/>
        <v>0</v>
      </c>
      <c r="O142" s="368">
        <f t="shared" si="8"/>
        <v>0</v>
      </c>
      <c r="P142" s="606"/>
      <c r="Q142" s="606"/>
      <c r="R142" s="606"/>
      <c r="S142" s="606"/>
      <c r="T142" s="606"/>
      <c r="U142" s="606"/>
      <c r="V142" s="606"/>
      <c r="W142" s="606"/>
      <c r="X142" s="606"/>
      <c r="Y142" s="606"/>
      <c r="Z142" s="606"/>
      <c r="AA142" s="606"/>
      <c r="AB142" s="606"/>
      <c r="AC142" s="606"/>
      <c r="AD142" s="606"/>
    </row>
    <row r="143" spans="2:30">
      <c r="B143" s="367">
        <f t="shared" si="6"/>
        <v>-1</v>
      </c>
      <c r="D143" s="182"/>
      <c r="E143" s="182"/>
      <c r="F143" s="184"/>
      <c r="G143" s="182"/>
      <c r="H143" s="182"/>
      <c r="I143" s="182"/>
      <c r="J143" s="183"/>
      <c r="K143" s="183"/>
      <c r="L143" s="182"/>
      <c r="N143" s="367">
        <f t="shared" si="7"/>
        <v>0</v>
      </c>
      <c r="O143" s="368">
        <f t="shared" si="8"/>
        <v>0</v>
      </c>
      <c r="P143" s="606"/>
      <c r="Q143" s="606"/>
      <c r="R143" s="606"/>
      <c r="S143" s="606"/>
      <c r="T143" s="606"/>
      <c r="U143" s="606"/>
      <c r="V143" s="606"/>
      <c r="W143" s="606"/>
      <c r="X143" s="606"/>
      <c r="Y143" s="606"/>
      <c r="Z143" s="606"/>
      <c r="AA143" s="606"/>
      <c r="AB143" s="606"/>
      <c r="AC143" s="606"/>
      <c r="AD143" s="606"/>
    </row>
    <row r="144" spans="2:30">
      <c r="B144" s="367">
        <f t="shared" si="6"/>
        <v>-1</v>
      </c>
      <c r="D144" s="182"/>
      <c r="E144" s="182"/>
      <c r="F144" s="184"/>
      <c r="G144" s="182"/>
      <c r="H144" s="182"/>
      <c r="I144" s="182"/>
      <c r="J144" s="183"/>
      <c r="K144" s="183"/>
      <c r="L144" s="182"/>
      <c r="N144" s="367">
        <f t="shared" si="7"/>
        <v>0</v>
      </c>
      <c r="O144" s="368">
        <f t="shared" si="8"/>
        <v>0</v>
      </c>
      <c r="P144" s="606"/>
      <c r="Q144" s="606"/>
      <c r="R144" s="606"/>
      <c r="S144" s="606"/>
      <c r="T144" s="606"/>
      <c r="U144" s="606"/>
      <c r="V144" s="606"/>
      <c r="W144" s="606"/>
      <c r="X144" s="606"/>
      <c r="Y144" s="606"/>
      <c r="Z144" s="606"/>
      <c r="AA144" s="606"/>
      <c r="AB144" s="606"/>
      <c r="AC144" s="606"/>
      <c r="AD144" s="606"/>
    </row>
    <row r="145" spans="2:30">
      <c r="B145" s="367">
        <f t="shared" si="6"/>
        <v>-1</v>
      </c>
      <c r="D145" s="182"/>
      <c r="E145" s="182"/>
      <c r="F145" s="184"/>
      <c r="G145" s="182"/>
      <c r="H145" s="182"/>
      <c r="I145" s="182"/>
      <c r="J145" s="183"/>
      <c r="K145" s="183"/>
      <c r="L145" s="182"/>
      <c r="N145" s="367">
        <f t="shared" si="7"/>
        <v>0</v>
      </c>
      <c r="O145" s="368">
        <f t="shared" si="8"/>
        <v>0</v>
      </c>
      <c r="P145" s="606"/>
      <c r="Q145" s="606"/>
      <c r="R145" s="606"/>
      <c r="S145" s="606"/>
      <c r="T145" s="606"/>
      <c r="U145" s="606"/>
      <c r="V145" s="606"/>
      <c r="W145" s="606"/>
      <c r="X145" s="606"/>
      <c r="Y145" s="606"/>
      <c r="Z145" s="606"/>
      <c r="AA145" s="606"/>
      <c r="AB145" s="606"/>
      <c r="AC145" s="606"/>
      <c r="AD145" s="606"/>
    </row>
    <row r="146" spans="2:30">
      <c r="B146" s="367">
        <f t="shared" si="6"/>
        <v>-1</v>
      </c>
      <c r="D146" s="182"/>
      <c r="E146" s="182"/>
      <c r="F146" s="184"/>
      <c r="G146" s="182"/>
      <c r="H146" s="182"/>
      <c r="I146" s="182"/>
      <c r="J146" s="183"/>
      <c r="K146" s="183"/>
      <c r="L146" s="182"/>
      <c r="N146" s="367">
        <f t="shared" si="7"/>
        <v>0</v>
      </c>
      <c r="O146" s="368">
        <f t="shared" si="8"/>
        <v>0</v>
      </c>
      <c r="P146" s="606"/>
      <c r="Q146" s="606"/>
      <c r="R146" s="606"/>
      <c r="S146" s="606"/>
      <c r="T146" s="606"/>
      <c r="U146" s="606"/>
      <c r="V146" s="606"/>
      <c r="W146" s="606"/>
      <c r="X146" s="606"/>
      <c r="Y146" s="606"/>
      <c r="Z146" s="606"/>
      <c r="AA146" s="606"/>
      <c r="AB146" s="606"/>
      <c r="AC146" s="606"/>
      <c r="AD146" s="606"/>
    </row>
    <row r="147" spans="2:30">
      <c r="B147" s="367">
        <f t="shared" si="6"/>
        <v>-1</v>
      </c>
      <c r="D147" s="182"/>
      <c r="E147" s="182"/>
      <c r="F147" s="184"/>
      <c r="G147" s="182"/>
      <c r="H147" s="182"/>
      <c r="I147" s="182"/>
      <c r="J147" s="183"/>
      <c r="K147" s="183"/>
      <c r="L147" s="182"/>
      <c r="N147" s="367">
        <f t="shared" si="7"/>
        <v>0</v>
      </c>
      <c r="O147" s="368">
        <f t="shared" si="8"/>
        <v>0</v>
      </c>
      <c r="P147" s="606"/>
      <c r="Q147" s="606"/>
      <c r="R147" s="606"/>
      <c r="S147" s="606"/>
      <c r="T147" s="606"/>
      <c r="U147" s="606"/>
      <c r="V147" s="606"/>
      <c r="W147" s="606"/>
      <c r="X147" s="606"/>
      <c r="Y147" s="606"/>
      <c r="Z147" s="606"/>
      <c r="AA147" s="606"/>
      <c r="AB147" s="606"/>
      <c r="AC147" s="606"/>
      <c r="AD147" s="606"/>
    </row>
    <row r="148" spans="2:30">
      <c r="B148" s="367">
        <f t="shared" si="6"/>
        <v>-1</v>
      </c>
      <c r="D148" s="182"/>
      <c r="E148" s="182"/>
      <c r="F148" s="184"/>
      <c r="G148" s="182"/>
      <c r="H148" s="182"/>
      <c r="I148" s="182"/>
      <c r="J148" s="183"/>
      <c r="K148" s="183"/>
      <c r="L148" s="182"/>
      <c r="N148" s="367">
        <f t="shared" si="7"/>
        <v>0</v>
      </c>
      <c r="O148" s="368">
        <f t="shared" si="8"/>
        <v>0</v>
      </c>
      <c r="P148" s="606"/>
      <c r="Q148" s="606"/>
      <c r="R148" s="606"/>
      <c r="S148" s="606"/>
      <c r="T148" s="606"/>
      <c r="U148" s="606"/>
      <c r="V148" s="606"/>
      <c r="W148" s="606"/>
      <c r="X148" s="606"/>
      <c r="Y148" s="606"/>
      <c r="Z148" s="606"/>
      <c r="AA148" s="606"/>
      <c r="AB148" s="606"/>
      <c r="AC148" s="606"/>
      <c r="AD148" s="606"/>
    </row>
    <row r="149" spans="2:30">
      <c r="B149" s="367">
        <f t="shared" si="6"/>
        <v>-1</v>
      </c>
      <c r="D149" s="182"/>
      <c r="E149" s="182"/>
      <c r="F149" s="184"/>
      <c r="G149" s="182"/>
      <c r="H149" s="182"/>
      <c r="I149" s="182"/>
      <c r="J149" s="183"/>
      <c r="K149" s="183"/>
      <c r="L149" s="182"/>
      <c r="N149" s="367">
        <f t="shared" si="7"/>
        <v>0</v>
      </c>
      <c r="O149" s="368">
        <f t="shared" si="8"/>
        <v>0</v>
      </c>
      <c r="P149" s="606"/>
      <c r="Q149" s="606"/>
      <c r="R149" s="606"/>
      <c r="S149" s="606"/>
      <c r="T149" s="606"/>
      <c r="U149" s="606"/>
      <c r="V149" s="606"/>
      <c r="W149" s="606"/>
      <c r="X149" s="606"/>
      <c r="Y149" s="606"/>
      <c r="Z149" s="606"/>
      <c r="AA149" s="606"/>
      <c r="AB149" s="606"/>
      <c r="AC149" s="606"/>
      <c r="AD149" s="606"/>
    </row>
    <row r="150" spans="2:30">
      <c r="B150" s="367">
        <f t="shared" si="6"/>
        <v>-1</v>
      </c>
      <c r="D150" s="182"/>
      <c r="E150" s="182"/>
      <c r="F150" s="184"/>
      <c r="G150" s="182"/>
      <c r="H150" s="182"/>
      <c r="I150" s="182"/>
      <c r="J150" s="183"/>
      <c r="K150" s="183"/>
      <c r="L150" s="182"/>
      <c r="N150" s="367">
        <f t="shared" si="7"/>
        <v>0</v>
      </c>
      <c r="O150" s="368">
        <f t="shared" si="8"/>
        <v>0</v>
      </c>
      <c r="P150" s="606"/>
      <c r="Q150" s="606"/>
      <c r="R150" s="606"/>
      <c r="S150" s="606"/>
      <c r="T150" s="606"/>
      <c r="U150" s="606"/>
      <c r="V150" s="606"/>
      <c r="W150" s="606"/>
      <c r="X150" s="606"/>
      <c r="Y150" s="606"/>
      <c r="Z150" s="606"/>
      <c r="AA150" s="606"/>
      <c r="AB150" s="606"/>
      <c r="AC150" s="606"/>
      <c r="AD150" s="606"/>
    </row>
    <row r="151" spans="2:30">
      <c r="B151" s="367">
        <f t="shared" si="6"/>
        <v>-1</v>
      </c>
      <c r="D151" s="182"/>
      <c r="E151" s="182"/>
      <c r="F151" s="184"/>
      <c r="G151" s="182"/>
      <c r="H151" s="182"/>
      <c r="I151" s="182"/>
      <c r="J151" s="183"/>
      <c r="K151" s="183"/>
      <c r="L151" s="182"/>
      <c r="N151" s="367">
        <f t="shared" si="7"/>
        <v>0</v>
      </c>
      <c r="O151" s="368">
        <f t="shared" si="8"/>
        <v>0</v>
      </c>
      <c r="P151" s="606"/>
      <c r="Q151" s="606"/>
      <c r="R151" s="606"/>
      <c r="S151" s="606"/>
      <c r="T151" s="606"/>
      <c r="U151" s="606"/>
      <c r="V151" s="606"/>
      <c r="W151" s="606"/>
      <c r="X151" s="606"/>
      <c r="Y151" s="606"/>
      <c r="Z151" s="606"/>
      <c r="AA151" s="606"/>
      <c r="AB151" s="606"/>
      <c r="AC151" s="606"/>
      <c r="AD151" s="606"/>
    </row>
    <row r="152" spans="2:30">
      <c r="B152" s="367">
        <f t="shared" si="6"/>
        <v>-1</v>
      </c>
      <c r="D152" s="182"/>
      <c r="E152" s="182"/>
      <c r="F152" s="184"/>
      <c r="G152" s="182"/>
      <c r="H152" s="182"/>
      <c r="I152" s="182"/>
      <c r="J152" s="183"/>
      <c r="K152" s="183"/>
      <c r="L152" s="182"/>
      <c r="N152" s="367">
        <f t="shared" si="7"/>
        <v>0</v>
      </c>
      <c r="O152" s="368">
        <f t="shared" si="8"/>
        <v>0</v>
      </c>
      <c r="P152" s="606"/>
      <c r="Q152" s="606"/>
      <c r="R152" s="606"/>
      <c r="S152" s="606"/>
      <c r="T152" s="606"/>
      <c r="U152" s="606"/>
      <c r="V152" s="606"/>
      <c r="W152" s="606"/>
      <c r="X152" s="606"/>
      <c r="Y152" s="606"/>
      <c r="Z152" s="606"/>
      <c r="AA152" s="606"/>
      <c r="AB152" s="606"/>
      <c r="AC152" s="606"/>
      <c r="AD152" s="606"/>
    </row>
    <row r="153" spans="2:30">
      <c r="B153" s="367">
        <f t="shared" si="6"/>
        <v>-1</v>
      </c>
      <c r="D153" s="182"/>
      <c r="E153" s="182"/>
      <c r="F153" s="184"/>
      <c r="G153" s="182"/>
      <c r="H153" s="182"/>
      <c r="I153" s="182"/>
      <c r="J153" s="183"/>
      <c r="K153" s="183"/>
      <c r="L153" s="182"/>
      <c r="N153" s="367">
        <f t="shared" si="7"/>
        <v>0</v>
      </c>
      <c r="O153" s="368">
        <f t="shared" si="8"/>
        <v>0</v>
      </c>
      <c r="P153" s="606"/>
      <c r="Q153" s="606"/>
      <c r="R153" s="606"/>
      <c r="S153" s="606"/>
      <c r="T153" s="606"/>
      <c r="U153" s="606"/>
      <c r="V153" s="606"/>
      <c r="W153" s="606"/>
      <c r="X153" s="606"/>
      <c r="Y153" s="606"/>
      <c r="Z153" s="606"/>
      <c r="AA153" s="606"/>
      <c r="AB153" s="606"/>
      <c r="AC153" s="606"/>
      <c r="AD153" s="606"/>
    </row>
    <row r="154" spans="2:30">
      <c r="B154" s="367">
        <f t="shared" si="6"/>
        <v>-1</v>
      </c>
      <c r="D154" s="182"/>
      <c r="E154" s="182"/>
      <c r="F154" s="184"/>
      <c r="G154" s="182"/>
      <c r="H154" s="182"/>
      <c r="I154" s="182"/>
      <c r="J154" s="183"/>
      <c r="K154" s="183"/>
      <c r="L154" s="182"/>
      <c r="N154" s="367">
        <f t="shared" si="7"/>
        <v>0</v>
      </c>
      <c r="O154" s="368">
        <f t="shared" si="8"/>
        <v>0</v>
      </c>
      <c r="P154" s="606"/>
      <c r="Q154" s="606"/>
      <c r="R154" s="606"/>
      <c r="S154" s="606"/>
      <c r="T154" s="606"/>
      <c r="U154" s="606"/>
      <c r="V154" s="606"/>
      <c r="W154" s="606"/>
      <c r="X154" s="606"/>
      <c r="Y154" s="606"/>
      <c r="Z154" s="606"/>
      <c r="AA154" s="606"/>
      <c r="AB154" s="606"/>
      <c r="AC154" s="606"/>
      <c r="AD154" s="606"/>
    </row>
    <row r="155" spans="2:30">
      <c r="B155" s="367">
        <f t="shared" si="6"/>
        <v>-1</v>
      </c>
      <c r="D155" s="182"/>
      <c r="E155" s="182"/>
      <c r="F155" s="184"/>
      <c r="G155" s="182"/>
      <c r="H155" s="182"/>
      <c r="I155" s="182"/>
      <c r="J155" s="183"/>
      <c r="K155" s="183"/>
      <c r="L155" s="182"/>
      <c r="N155" s="367">
        <f t="shared" si="7"/>
        <v>0</v>
      </c>
      <c r="O155" s="368">
        <f t="shared" si="8"/>
        <v>0</v>
      </c>
      <c r="P155" s="606"/>
      <c r="Q155" s="606"/>
      <c r="R155" s="606"/>
      <c r="S155" s="606"/>
      <c r="T155" s="606"/>
      <c r="U155" s="606"/>
      <c r="V155" s="606"/>
      <c r="W155" s="606"/>
      <c r="X155" s="606"/>
      <c r="Y155" s="606"/>
      <c r="Z155" s="606"/>
      <c r="AA155" s="606"/>
      <c r="AB155" s="606"/>
      <c r="AC155" s="606"/>
      <c r="AD155" s="606"/>
    </row>
    <row r="156" spans="2:30">
      <c r="B156" s="367">
        <f t="shared" si="6"/>
        <v>-1</v>
      </c>
      <c r="D156" s="182"/>
      <c r="E156" s="182"/>
      <c r="F156" s="184"/>
      <c r="G156" s="182"/>
      <c r="H156" s="182"/>
      <c r="I156" s="182"/>
      <c r="J156" s="183"/>
      <c r="K156" s="183"/>
      <c r="L156" s="182"/>
      <c r="N156" s="367">
        <f t="shared" si="7"/>
        <v>0</v>
      </c>
      <c r="O156" s="368">
        <f t="shared" si="8"/>
        <v>0</v>
      </c>
      <c r="P156" s="606"/>
      <c r="Q156" s="606"/>
      <c r="R156" s="606"/>
      <c r="S156" s="606"/>
      <c r="T156" s="606"/>
      <c r="U156" s="606"/>
      <c r="V156" s="606"/>
      <c r="W156" s="606"/>
      <c r="X156" s="606"/>
      <c r="Y156" s="606"/>
      <c r="Z156" s="606"/>
      <c r="AA156" s="606"/>
      <c r="AB156" s="606"/>
      <c r="AC156" s="606"/>
      <c r="AD156" s="606"/>
    </row>
    <row r="157" spans="2:30">
      <c r="B157" s="367">
        <f t="shared" si="6"/>
        <v>-1</v>
      </c>
      <c r="D157" s="182"/>
      <c r="E157" s="182"/>
      <c r="F157" s="184"/>
      <c r="G157" s="182"/>
      <c r="H157" s="182"/>
      <c r="I157" s="182"/>
      <c r="J157" s="183"/>
      <c r="K157" s="183"/>
      <c r="L157" s="182"/>
      <c r="N157" s="367">
        <f t="shared" si="7"/>
        <v>0</v>
      </c>
      <c r="O157" s="368">
        <f t="shared" si="8"/>
        <v>0</v>
      </c>
      <c r="P157" s="606"/>
      <c r="Q157" s="606"/>
      <c r="R157" s="606"/>
      <c r="S157" s="606"/>
      <c r="T157" s="606"/>
      <c r="U157" s="606"/>
      <c r="V157" s="606"/>
      <c r="W157" s="606"/>
      <c r="X157" s="606"/>
      <c r="Y157" s="606"/>
      <c r="Z157" s="606"/>
      <c r="AA157" s="606"/>
      <c r="AB157" s="606"/>
      <c r="AC157" s="606"/>
      <c r="AD157" s="606"/>
    </row>
    <row r="158" spans="2:30">
      <c r="B158" s="367">
        <f t="shared" si="6"/>
        <v>-1</v>
      </c>
      <c r="D158" s="182"/>
      <c r="E158" s="182"/>
      <c r="F158" s="184"/>
      <c r="G158" s="182"/>
      <c r="H158" s="182"/>
      <c r="I158" s="182"/>
      <c r="J158" s="183"/>
      <c r="K158" s="183"/>
      <c r="L158" s="182"/>
      <c r="N158" s="367">
        <f t="shared" si="7"/>
        <v>0</v>
      </c>
      <c r="O158" s="368">
        <f t="shared" si="8"/>
        <v>0</v>
      </c>
      <c r="P158" s="606"/>
      <c r="Q158" s="606"/>
      <c r="R158" s="606"/>
      <c r="S158" s="606"/>
      <c r="T158" s="606"/>
      <c r="U158" s="606"/>
      <c r="V158" s="606"/>
      <c r="W158" s="606"/>
      <c r="X158" s="606"/>
      <c r="Y158" s="606"/>
      <c r="Z158" s="606"/>
      <c r="AA158" s="606"/>
      <c r="AB158" s="606"/>
      <c r="AC158" s="606"/>
      <c r="AD158" s="606"/>
    </row>
    <row r="159" spans="2:30">
      <c r="B159" s="367">
        <f t="shared" si="6"/>
        <v>-1</v>
      </c>
      <c r="D159" s="182"/>
      <c r="E159" s="182"/>
      <c r="F159" s="184"/>
      <c r="G159" s="182"/>
      <c r="H159" s="182"/>
      <c r="I159" s="182"/>
      <c r="J159" s="183"/>
      <c r="K159" s="183"/>
      <c r="L159" s="182"/>
      <c r="N159" s="367">
        <f t="shared" si="7"/>
        <v>0</v>
      </c>
      <c r="O159" s="368">
        <f t="shared" si="8"/>
        <v>0</v>
      </c>
      <c r="P159" s="606"/>
      <c r="Q159" s="606"/>
      <c r="R159" s="606"/>
      <c r="S159" s="606"/>
      <c r="T159" s="606"/>
      <c r="U159" s="606"/>
      <c r="V159" s="606"/>
      <c r="W159" s="606"/>
      <c r="X159" s="606"/>
      <c r="Y159" s="606"/>
      <c r="Z159" s="606"/>
      <c r="AA159" s="606"/>
      <c r="AB159" s="606"/>
      <c r="AC159" s="606"/>
      <c r="AD159" s="606"/>
    </row>
    <row r="160" spans="2:30">
      <c r="B160" s="367">
        <f t="shared" si="6"/>
        <v>-1</v>
      </c>
      <c r="D160" s="182"/>
      <c r="E160" s="182"/>
      <c r="F160" s="184"/>
      <c r="G160" s="182"/>
      <c r="H160" s="182"/>
      <c r="I160" s="182"/>
      <c r="J160" s="183"/>
      <c r="K160" s="183"/>
      <c r="L160" s="182"/>
      <c r="N160" s="367">
        <f t="shared" si="7"/>
        <v>0</v>
      </c>
      <c r="O160" s="368">
        <f t="shared" si="8"/>
        <v>0</v>
      </c>
      <c r="P160" s="606"/>
      <c r="Q160" s="606"/>
      <c r="R160" s="606"/>
      <c r="S160" s="606"/>
      <c r="T160" s="606"/>
      <c r="U160" s="606"/>
      <c r="V160" s="606"/>
      <c r="W160" s="606"/>
      <c r="X160" s="606"/>
      <c r="Y160" s="606"/>
      <c r="Z160" s="606"/>
      <c r="AA160" s="606"/>
      <c r="AB160" s="606"/>
      <c r="AC160" s="606"/>
      <c r="AD160" s="606"/>
    </row>
    <row r="161" spans="2:30">
      <c r="B161" s="367">
        <f t="shared" si="6"/>
        <v>-1</v>
      </c>
      <c r="D161" s="182"/>
      <c r="E161" s="182"/>
      <c r="F161" s="184"/>
      <c r="G161" s="182"/>
      <c r="H161" s="182"/>
      <c r="I161" s="182"/>
      <c r="J161" s="183"/>
      <c r="K161" s="183"/>
      <c r="L161" s="182"/>
      <c r="N161" s="367">
        <f t="shared" si="7"/>
        <v>0</v>
      </c>
      <c r="O161" s="368">
        <f t="shared" si="8"/>
        <v>0</v>
      </c>
      <c r="P161" s="606"/>
      <c r="Q161" s="606"/>
      <c r="R161" s="606"/>
      <c r="S161" s="606"/>
      <c r="T161" s="606"/>
      <c r="U161" s="606"/>
      <c r="V161" s="606"/>
      <c r="W161" s="606"/>
      <c r="X161" s="606"/>
      <c r="Y161" s="606"/>
      <c r="Z161" s="606"/>
      <c r="AA161" s="606"/>
      <c r="AB161" s="606"/>
      <c r="AC161" s="606"/>
      <c r="AD161" s="606"/>
    </row>
    <row r="162" spans="2:30">
      <c r="B162" s="367">
        <f t="shared" si="6"/>
        <v>-1</v>
      </c>
      <c r="D162" s="182"/>
      <c r="E162" s="182"/>
      <c r="F162" s="184"/>
      <c r="G162" s="182"/>
      <c r="H162" s="182"/>
      <c r="I162" s="182"/>
      <c r="J162" s="183"/>
      <c r="K162" s="183"/>
      <c r="L162" s="182"/>
      <c r="N162" s="367">
        <f t="shared" si="7"/>
        <v>0</v>
      </c>
      <c r="O162" s="368">
        <f t="shared" si="8"/>
        <v>0</v>
      </c>
      <c r="P162" s="606"/>
      <c r="Q162" s="606"/>
      <c r="R162" s="606"/>
      <c r="S162" s="606"/>
      <c r="T162" s="606"/>
      <c r="U162" s="606"/>
      <c r="V162" s="606"/>
      <c r="W162" s="606"/>
      <c r="X162" s="606"/>
      <c r="Y162" s="606"/>
      <c r="Z162" s="606"/>
      <c r="AA162" s="606"/>
      <c r="AB162" s="606"/>
      <c r="AC162" s="606"/>
      <c r="AD162" s="606"/>
    </row>
    <row r="163" spans="2:30">
      <c r="B163" s="367">
        <f t="shared" si="6"/>
        <v>-1</v>
      </c>
      <c r="D163" s="182"/>
      <c r="E163" s="182"/>
      <c r="F163" s="184"/>
      <c r="G163" s="182"/>
      <c r="H163" s="182"/>
      <c r="I163" s="182"/>
      <c r="J163" s="183"/>
      <c r="K163" s="183"/>
      <c r="L163" s="182"/>
      <c r="N163" s="367">
        <f t="shared" si="7"/>
        <v>0</v>
      </c>
      <c r="O163" s="368">
        <f t="shared" si="8"/>
        <v>0</v>
      </c>
      <c r="P163" s="606"/>
      <c r="Q163" s="606"/>
      <c r="R163" s="606"/>
      <c r="S163" s="606"/>
      <c r="T163" s="606"/>
      <c r="U163" s="606"/>
      <c r="V163" s="606"/>
      <c r="W163" s="606"/>
      <c r="X163" s="606"/>
      <c r="Y163" s="606"/>
      <c r="Z163" s="606"/>
      <c r="AA163" s="606"/>
      <c r="AB163" s="606"/>
      <c r="AC163" s="606"/>
      <c r="AD163" s="606"/>
    </row>
    <row r="164" spans="2:30">
      <c r="B164" s="367">
        <f t="shared" si="6"/>
        <v>-1</v>
      </c>
      <c r="D164" s="182"/>
      <c r="E164" s="182"/>
      <c r="F164" s="184"/>
      <c r="G164" s="182"/>
      <c r="H164" s="182"/>
      <c r="I164" s="182"/>
      <c r="J164" s="183"/>
      <c r="K164" s="183"/>
      <c r="L164" s="182"/>
      <c r="N164" s="367">
        <f t="shared" si="7"/>
        <v>0</v>
      </c>
      <c r="O164" s="368">
        <f t="shared" si="8"/>
        <v>0</v>
      </c>
      <c r="P164" s="606"/>
      <c r="Q164" s="606"/>
      <c r="R164" s="606"/>
      <c r="S164" s="606"/>
      <c r="T164" s="606"/>
      <c r="U164" s="606"/>
      <c r="V164" s="606"/>
      <c r="W164" s="606"/>
      <c r="X164" s="606"/>
      <c r="Y164" s="606"/>
      <c r="Z164" s="606"/>
      <c r="AA164" s="606"/>
      <c r="AB164" s="606"/>
      <c r="AC164" s="606"/>
      <c r="AD164" s="606"/>
    </row>
    <row r="165" spans="2:30">
      <c r="B165" s="367">
        <f t="shared" si="6"/>
        <v>-1</v>
      </c>
      <c r="D165" s="182"/>
      <c r="E165" s="182"/>
      <c r="F165" s="184"/>
      <c r="G165" s="182"/>
      <c r="H165" s="182"/>
      <c r="I165" s="182"/>
      <c r="J165" s="183"/>
      <c r="K165" s="183"/>
      <c r="L165" s="182"/>
      <c r="N165" s="367">
        <f t="shared" si="7"/>
        <v>0</v>
      </c>
      <c r="O165" s="368">
        <f t="shared" si="8"/>
        <v>0</v>
      </c>
      <c r="P165" s="606"/>
      <c r="Q165" s="606"/>
      <c r="R165" s="606"/>
      <c r="S165" s="606"/>
      <c r="T165" s="606"/>
      <c r="U165" s="606"/>
      <c r="V165" s="606"/>
      <c r="W165" s="606"/>
      <c r="X165" s="606"/>
      <c r="Y165" s="606"/>
      <c r="Z165" s="606"/>
      <c r="AA165" s="606"/>
      <c r="AB165" s="606"/>
      <c r="AC165" s="606"/>
      <c r="AD165" s="606"/>
    </row>
    <row r="166" spans="2:30">
      <c r="B166" s="367">
        <f t="shared" si="6"/>
        <v>-1</v>
      </c>
      <c r="D166" s="182"/>
      <c r="E166" s="182"/>
      <c r="F166" s="184"/>
      <c r="G166" s="182"/>
      <c r="H166" s="182"/>
      <c r="I166" s="182"/>
      <c r="J166" s="183"/>
      <c r="K166" s="183"/>
      <c r="L166" s="182"/>
      <c r="N166" s="367">
        <f t="shared" si="7"/>
        <v>0</v>
      </c>
      <c r="O166" s="368">
        <f t="shared" si="8"/>
        <v>0</v>
      </c>
      <c r="P166" s="606"/>
      <c r="Q166" s="606"/>
      <c r="R166" s="606"/>
      <c r="S166" s="606"/>
      <c r="T166" s="606"/>
      <c r="U166" s="606"/>
      <c r="V166" s="606"/>
      <c r="W166" s="606"/>
      <c r="X166" s="606"/>
      <c r="Y166" s="606"/>
      <c r="Z166" s="606"/>
      <c r="AA166" s="606"/>
      <c r="AB166" s="606"/>
      <c r="AC166" s="606"/>
      <c r="AD166" s="606"/>
    </row>
    <row r="167" spans="2:30">
      <c r="B167" s="367">
        <f t="shared" si="6"/>
        <v>-1</v>
      </c>
      <c r="D167" s="182"/>
      <c r="E167" s="182"/>
      <c r="F167" s="184"/>
      <c r="G167" s="182"/>
      <c r="H167" s="182"/>
      <c r="I167" s="182"/>
      <c r="J167" s="183"/>
      <c r="K167" s="183"/>
      <c r="L167" s="182"/>
      <c r="N167" s="367">
        <f t="shared" si="7"/>
        <v>0</v>
      </c>
      <c r="O167" s="368">
        <f t="shared" si="8"/>
        <v>0</v>
      </c>
      <c r="P167" s="606"/>
      <c r="Q167" s="606"/>
      <c r="R167" s="606"/>
      <c r="S167" s="606"/>
      <c r="T167" s="606"/>
      <c r="U167" s="606"/>
      <c r="V167" s="606"/>
      <c r="W167" s="606"/>
      <c r="X167" s="606"/>
      <c r="Y167" s="606"/>
      <c r="Z167" s="606"/>
      <c r="AA167" s="606"/>
      <c r="AB167" s="606"/>
      <c r="AC167" s="606"/>
      <c r="AD167" s="606"/>
    </row>
    <row r="168" spans="2:30">
      <c r="B168" s="367">
        <f t="shared" si="6"/>
        <v>-1</v>
      </c>
      <c r="D168" s="182"/>
      <c r="E168" s="182"/>
      <c r="F168" s="184"/>
      <c r="G168" s="182"/>
      <c r="H168" s="182"/>
      <c r="I168" s="182"/>
      <c r="J168" s="183"/>
      <c r="K168" s="183"/>
      <c r="L168" s="182"/>
      <c r="N168" s="367">
        <f t="shared" si="7"/>
        <v>0</v>
      </c>
      <c r="O168" s="368">
        <f t="shared" si="8"/>
        <v>0</v>
      </c>
      <c r="P168" s="606"/>
      <c r="Q168" s="606"/>
      <c r="R168" s="606"/>
      <c r="S168" s="606"/>
      <c r="T168" s="606"/>
      <c r="U168" s="606"/>
      <c r="V168" s="606"/>
      <c r="W168" s="606"/>
      <c r="X168" s="606"/>
      <c r="Y168" s="606"/>
      <c r="Z168" s="606"/>
      <c r="AA168" s="606"/>
      <c r="AB168" s="606"/>
      <c r="AC168" s="606"/>
      <c r="AD168" s="606"/>
    </row>
    <row r="169" spans="2:30">
      <c r="B169" s="367">
        <f t="shared" si="6"/>
        <v>-1</v>
      </c>
      <c r="D169" s="182"/>
      <c r="E169" s="182"/>
      <c r="F169" s="184"/>
      <c r="G169" s="182"/>
      <c r="H169" s="182"/>
      <c r="I169" s="182"/>
      <c r="J169" s="183"/>
      <c r="K169" s="183"/>
      <c r="L169" s="182"/>
      <c r="N169" s="367">
        <f t="shared" si="7"/>
        <v>0</v>
      </c>
      <c r="O169" s="368">
        <f t="shared" si="8"/>
        <v>0</v>
      </c>
      <c r="P169" s="606"/>
      <c r="Q169" s="606"/>
      <c r="R169" s="606"/>
      <c r="S169" s="606"/>
      <c r="T169" s="606"/>
      <c r="U169" s="606"/>
      <c r="V169" s="606"/>
      <c r="W169" s="606"/>
      <c r="X169" s="606"/>
      <c r="Y169" s="606"/>
      <c r="Z169" s="606"/>
      <c r="AA169" s="606"/>
      <c r="AB169" s="606"/>
      <c r="AC169" s="606"/>
      <c r="AD169" s="606"/>
    </row>
    <row r="170" spans="2:30">
      <c r="B170" s="367">
        <f t="shared" si="6"/>
        <v>-1</v>
      </c>
      <c r="D170" s="182"/>
      <c r="E170" s="182"/>
      <c r="F170" s="184"/>
      <c r="G170" s="182"/>
      <c r="H170" s="182"/>
      <c r="I170" s="182"/>
      <c r="J170" s="183"/>
      <c r="K170" s="183"/>
      <c r="L170" s="182"/>
      <c r="N170" s="367">
        <f t="shared" si="7"/>
        <v>0</v>
      </c>
      <c r="O170" s="368">
        <f t="shared" si="8"/>
        <v>0</v>
      </c>
      <c r="P170" s="606"/>
      <c r="Q170" s="606"/>
      <c r="R170" s="606"/>
      <c r="S170" s="606"/>
      <c r="T170" s="606"/>
      <c r="U170" s="606"/>
      <c r="V170" s="606"/>
      <c r="W170" s="606"/>
      <c r="X170" s="606"/>
      <c r="Y170" s="606"/>
      <c r="Z170" s="606"/>
      <c r="AA170" s="606"/>
      <c r="AB170" s="606"/>
      <c r="AC170" s="606"/>
      <c r="AD170" s="606"/>
    </row>
    <row r="171" spans="2:30">
      <c r="B171" s="367">
        <f t="shared" si="6"/>
        <v>-1</v>
      </c>
      <c r="D171" s="182"/>
      <c r="E171" s="182"/>
      <c r="F171" s="184"/>
      <c r="G171" s="182"/>
      <c r="H171" s="182"/>
      <c r="I171" s="182"/>
      <c r="J171" s="183"/>
      <c r="K171" s="183"/>
      <c r="L171" s="182"/>
      <c r="N171" s="367">
        <f t="shared" si="7"/>
        <v>0</v>
      </c>
      <c r="O171" s="368">
        <f t="shared" si="8"/>
        <v>0</v>
      </c>
      <c r="P171" s="606"/>
      <c r="Q171" s="606"/>
      <c r="R171" s="606"/>
      <c r="S171" s="606"/>
      <c r="T171" s="606"/>
      <c r="U171" s="606"/>
      <c r="V171" s="606"/>
      <c r="W171" s="606"/>
      <c r="X171" s="606"/>
      <c r="Y171" s="606"/>
      <c r="Z171" s="606"/>
      <c r="AA171" s="606"/>
      <c r="AB171" s="606"/>
      <c r="AC171" s="606"/>
      <c r="AD171" s="606"/>
    </row>
    <row r="172" spans="2:30">
      <c r="B172" s="367">
        <f t="shared" si="6"/>
        <v>-1</v>
      </c>
      <c r="D172" s="182"/>
      <c r="E172" s="182"/>
      <c r="F172" s="184"/>
      <c r="G172" s="182"/>
      <c r="H172" s="182"/>
      <c r="I172" s="182"/>
      <c r="J172" s="183"/>
      <c r="K172" s="183"/>
      <c r="L172" s="182"/>
      <c r="N172" s="367">
        <f t="shared" si="7"/>
        <v>0</v>
      </c>
      <c r="O172" s="368">
        <f t="shared" si="8"/>
        <v>0</v>
      </c>
      <c r="P172" s="606"/>
      <c r="Q172" s="606"/>
      <c r="R172" s="606"/>
      <c r="S172" s="606"/>
      <c r="T172" s="606"/>
      <c r="U172" s="606"/>
      <c r="V172" s="606"/>
      <c r="W172" s="606"/>
      <c r="X172" s="606"/>
      <c r="Y172" s="606"/>
      <c r="Z172" s="606"/>
      <c r="AA172" s="606"/>
      <c r="AB172" s="606"/>
      <c r="AC172" s="606"/>
      <c r="AD172" s="606"/>
    </row>
    <row r="173" spans="2:30">
      <c r="B173" s="367">
        <f t="shared" si="6"/>
        <v>-1</v>
      </c>
      <c r="D173" s="182"/>
      <c r="E173" s="182"/>
      <c r="F173" s="184"/>
      <c r="G173" s="182"/>
      <c r="H173" s="182"/>
      <c r="I173" s="182"/>
      <c r="J173" s="183"/>
      <c r="K173" s="183"/>
      <c r="L173" s="182"/>
      <c r="N173" s="367">
        <f t="shared" si="7"/>
        <v>0</v>
      </c>
      <c r="O173" s="368">
        <f t="shared" si="8"/>
        <v>0</v>
      </c>
      <c r="P173" s="606"/>
      <c r="Q173" s="606"/>
      <c r="R173" s="606"/>
      <c r="S173" s="606"/>
      <c r="T173" s="606"/>
      <c r="U173" s="606"/>
      <c r="V173" s="606"/>
      <c r="W173" s="606"/>
      <c r="X173" s="606"/>
      <c r="Y173" s="606"/>
      <c r="Z173" s="606"/>
      <c r="AA173" s="606"/>
      <c r="AB173" s="606"/>
      <c r="AC173" s="606"/>
      <c r="AD173" s="606"/>
    </row>
    <row r="174" spans="2:30">
      <c r="B174" s="367">
        <f t="shared" si="6"/>
        <v>-1</v>
      </c>
      <c r="D174" s="182"/>
      <c r="E174" s="182"/>
      <c r="F174" s="184"/>
      <c r="G174" s="182"/>
      <c r="H174" s="182"/>
      <c r="I174" s="182"/>
      <c r="J174" s="183"/>
      <c r="K174" s="183"/>
      <c r="L174" s="182"/>
      <c r="N174" s="367">
        <f t="shared" si="7"/>
        <v>0</v>
      </c>
      <c r="O174" s="368">
        <f t="shared" si="8"/>
        <v>0</v>
      </c>
      <c r="P174" s="606"/>
      <c r="Q174" s="606"/>
      <c r="R174" s="606"/>
      <c r="S174" s="606"/>
      <c r="T174" s="606"/>
      <c r="U174" s="606"/>
      <c r="V174" s="606"/>
      <c r="W174" s="606"/>
      <c r="X174" s="606"/>
      <c r="Y174" s="606"/>
      <c r="Z174" s="606"/>
      <c r="AA174" s="606"/>
      <c r="AB174" s="606"/>
      <c r="AC174" s="606"/>
      <c r="AD174" s="606"/>
    </row>
    <row r="175" spans="2:30">
      <c r="B175" s="367">
        <f t="shared" si="6"/>
        <v>-1</v>
      </c>
      <c r="D175" s="182"/>
      <c r="E175" s="182"/>
      <c r="F175" s="184"/>
      <c r="G175" s="182"/>
      <c r="H175" s="182"/>
      <c r="I175" s="182"/>
      <c r="J175" s="183"/>
      <c r="K175" s="183"/>
      <c r="L175" s="182"/>
      <c r="N175" s="367">
        <f t="shared" si="7"/>
        <v>0</v>
      </c>
      <c r="O175" s="368">
        <f t="shared" si="8"/>
        <v>0</v>
      </c>
      <c r="P175" s="606"/>
      <c r="Q175" s="606"/>
      <c r="R175" s="606"/>
      <c r="S175" s="606"/>
      <c r="T175" s="606"/>
      <c r="U175" s="606"/>
      <c r="V175" s="606"/>
      <c r="W175" s="606"/>
      <c r="X175" s="606"/>
      <c r="Y175" s="606"/>
      <c r="Z175" s="606"/>
      <c r="AA175" s="606"/>
      <c r="AB175" s="606"/>
      <c r="AC175" s="606"/>
      <c r="AD175" s="606"/>
    </row>
    <row r="176" spans="2:30">
      <c r="B176" s="367">
        <f t="shared" si="6"/>
        <v>-1</v>
      </c>
      <c r="D176" s="182"/>
      <c r="E176" s="182"/>
      <c r="F176" s="184"/>
      <c r="G176" s="182"/>
      <c r="H176" s="182"/>
      <c r="I176" s="182"/>
      <c r="J176" s="183"/>
      <c r="K176" s="183"/>
      <c r="L176" s="182"/>
      <c r="N176" s="367">
        <f t="shared" si="7"/>
        <v>0</v>
      </c>
      <c r="O176" s="368">
        <f t="shared" si="8"/>
        <v>0</v>
      </c>
      <c r="P176" s="606"/>
      <c r="Q176" s="606"/>
      <c r="R176" s="606"/>
      <c r="S176" s="606"/>
      <c r="T176" s="606"/>
      <c r="U176" s="606"/>
      <c r="V176" s="606"/>
      <c r="W176" s="606"/>
      <c r="X176" s="606"/>
      <c r="Y176" s="606"/>
      <c r="Z176" s="606"/>
      <c r="AA176" s="606"/>
      <c r="AB176" s="606"/>
      <c r="AC176" s="606"/>
      <c r="AD176" s="606"/>
    </row>
    <row r="177" spans="2:30">
      <c r="B177" s="367">
        <f t="shared" si="6"/>
        <v>-1</v>
      </c>
      <c r="D177" s="182"/>
      <c r="E177" s="182"/>
      <c r="F177" s="184"/>
      <c r="G177" s="182"/>
      <c r="H177" s="182"/>
      <c r="I177" s="182"/>
      <c r="J177" s="183"/>
      <c r="K177" s="183"/>
      <c r="L177" s="182"/>
      <c r="N177" s="367">
        <f t="shared" si="7"/>
        <v>0</v>
      </c>
      <c r="O177" s="368">
        <f t="shared" si="8"/>
        <v>0</v>
      </c>
      <c r="P177" s="606"/>
      <c r="Q177" s="606"/>
      <c r="R177" s="606"/>
      <c r="S177" s="606"/>
      <c r="T177" s="606"/>
      <c r="U177" s="606"/>
      <c r="V177" s="606"/>
      <c r="W177" s="606"/>
      <c r="X177" s="606"/>
      <c r="Y177" s="606"/>
      <c r="Z177" s="606"/>
      <c r="AA177" s="606"/>
      <c r="AB177" s="606"/>
      <c r="AC177" s="606"/>
      <c r="AD177" s="606"/>
    </row>
    <row r="178" spans="2:30">
      <c r="B178" s="367">
        <f t="shared" si="6"/>
        <v>-1</v>
      </c>
      <c r="D178" s="182"/>
      <c r="E178" s="182"/>
      <c r="F178" s="184"/>
      <c r="G178" s="182"/>
      <c r="H178" s="182"/>
      <c r="I178" s="182"/>
      <c r="J178" s="183"/>
      <c r="K178" s="183"/>
      <c r="L178" s="182"/>
      <c r="N178" s="367">
        <f t="shared" si="7"/>
        <v>0</v>
      </c>
      <c r="O178" s="368">
        <f t="shared" si="8"/>
        <v>0</v>
      </c>
      <c r="P178" s="606"/>
      <c r="Q178" s="606"/>
      <c r="R178" s="606"/>
      <c r="S178" s="606"/>
      <c r="T178" s="606"/>
      <c r="U178" s="606"/>
      <c r="V178" s="606"/>
      <c r="W178" s="606"/>
      <c r="X178" s="606"/>
      <c r="Y178" s="606"/>
      <c r="Z178" s="606"/>
      <c r="AA178" s="606"/>
      <c r="AB178" s="606"/>
      <c r="AC178" s="606"/>
      <c r="AD178" s="606"/>
    </row>
    <row r="179" spans="2:30">
      <c r="B179" s="367">
        <f t="shared" si="6"/>
        <v>-1</v>
      </c>
      <c r="D179" s="182"/>
      <c r="E179" s="182"/>
      <c r="F179" s="184"/>
      <c r="G179" s="182"/>
      <c r="H179" s="182"/>
      <c r="I179" s="182"/>
      <c r="J179" s="183"/>
      <c r="K179" s="183"/>
      <c r="L179" s="182"/>
      <c r="N179" s="367">
        <f t="shared" si="7"/>
        <v>0</v>
      </c>
      <c r="O179" s="368">
        <f t="shared" si="8"/>
        <v>0</v>
      </c>
      <c r="P179" s="606"/>
      <c r="Q179" s="606"/>
      <c r="R179" s="606"/>
      <c r="S179" s="606"/>
      <c r="T179" s="606"/>
      <c r="U179" s="606"/>
      <c r="V179" s="606"/>
      <c r="W179" s="606"/>
      <c r="X179" s="606"/>
      <c r="Y179" s="606"/>
      <c r="Z179" s="606"/>
      <c r="AA179" s="606"/>
      <c r="AB179" s="606"/>
      <c r="AC179" s="606"/>
      <c r="AD179" s="606"/>
    </row>
    <row r="180" spans="2:30">
      <c r="B180" s="367">
        <f t="shared" si="6"/>
        <v>-1</v>
      </c>
      <c r="D180" s="182"/>
      <c r="E180" s="182"/>
      <c r="F180" s="184"/>
      <c r="G180" s="182"/>
      <c r="H180" s="182"/>
      <c r="I180" s="182"/>
      <c r="J180" s="183"/>
      <c r="K180" s="183"/>
      <c r="L180" s="182"/>
      <c r="N180" s="367">
        <f t="shared" si="7"/>
        <v>0</v>
      </c>
      <c r="O180" s="368">
        <f t="shared" si="8"/>
        <v>0</v>
      </c>
      <c r="P180" s="606"/>
      <c r="Q180" s="606"/>
      <c r="R180" s="606"/>
      <c r="S180" s="606"/>
      <c r="T180" s="606"/>
      <c r="U180" s="606"/>
      <c r="V180" s="606"/>
      <c r="W180" s="606"/>
      <c r="X180" s="606"/>
      <c r="Y180" s="606"/>
      <c r="Z180" s="606"/>
      <c r="AA180" s="606"/>
      <c r="AB180" s="606"/>
      <c r="AC180" s="606"/>
      <c r="AD180" s="606"/>
    </row>
    <row r="181" spans="2:30">
      <c r="B181" s="367">
        <f t="shared" si="6"/>
        <v>-1</v>
      </c>
      <c r="D181" s="182"/>
      <c r="E181" s="182"/>
      <c r="F181" s="184"/>
      <c r="G181" s="182"/>
      <c r="H181" s="182"/>
      <c r="I181" s="182"/>
      <c r="J181" s="183"/>
      <c r="K181" s="183"/>
      <c r="L181" s="182"/>
      <c r="N181" s="367">
        <f t="shared" si="7"/>
        <v>0</v>
      </c>
      <c r="O181" s="368">
        <f t="shared" si="8"/>
        <v>0</v>
      </c>
      <c r="P181" s="606"/>
      <c r="Q181" s="606"/>
      <c r="R181" s="606"/>
      <c r="S181" s="606"/>
      <c r="T181" s="606"/>
      <c r="U181" s="606"/>
      <c r="V181" s="606"/>
      <c r="W181" s="606"/>
      <c r="X181" s="606"/>
      <c r="Y181" s="606"/>
      <c r="Z181" s="606"/>
      <c r="AA181" s="606"/>
      <c r="AB181" s="606"/>
      <c r="AC181" s="606"/>
      <c r="AD181" s="606"/>
    </row>
    <row r="182" spans="2:30">
      <c r="B182" s="367">
        <f t="shared" si="6"/>
        <v>-1</v>
      </c>
      <c r="D182" s="182"/>
      <c r="E182" s="182"/>
      <c r="F182" s="184"/>
      <c r="G182" s="182"/>
      <c r="H182" s="182"/>
      <c r="I182" s="182"/>
      <c r="J182" s="183"/>
      <c r="K182" s="183"/>
      <c r="L182" s="182"/>
      <c r="N182" s="367">
        <f t="shared" si="7"/>
        <v>0</v>
      </c>
      <c r="O182" s="368">
        <f t="shared" si="8"/>
        <v>0</v>
      </c>
      <c r="P182" s="606"/>
      <c r="Q182" s="606"/>
      <c r="R182" s="606"/>
      <c r="S182" s="606"/>
      <c r="T182" s="606"/>
      <c r="U182" s="606"/>
      <c r="V182" s="606"/>
      <c r="W182" s="606"/>
      <c r="X182" s="606"/>
      <c r="Y182" s="606"/>
      <c r="Z182" s="606"/>
      <c r="AA182" s="606"/>
      <c r="AB182" s="606"/>
      <c r="AC182" s="606"/>
      <c r="AD182" s="606"/>
    </row>
    <row r="183" spans="2:30">
      <c r="B183" s="367">
        <f t="shared" si="6"/>
        <v>-1</v>
      </c>
      <c r="D183" s="182"/>
      <c r="E183" s="182"/>
      <c r="F183" s="184"/>
      <c r="G183" s="182"/>
      <c r="H183" s="182"/>
      <c r="I183" s="182"/>
      <c r="J183" s="183"/>
      <c r="K183" s="183"/>
      <c r="L183" s="182"/>
      <c r="N183" s="367">
        <f t="shared" si="7"/>
        <v>0</v>
      </c>
      <c r="O183" s="368">
        <f t="shared" si="8"/>
        <v>0</v>
      </c>
      <c r="P183" s="606"/>
      <c r="Q183" s="606"/>
      <c r="R183" s="606"/>
      <c r="S183" s="606"/>
      <c r="T183" s="606"/>
      <c r="U183" s="606"/>
      <c r="V183" s="606"/>
      <c r="W183" s="606"/>
      <c r="X183" s="606"/>
      <c r="Y183" s="606"/>
      <c r="Z183" s="606"/>
      <c r="AA183" s="606"/>
      <c r="AB183" s="606"/>
      <c r="AC183" s="606"/>
      <c r="AD183" s="606"/>
    </row>
    <row r="184" spans="2:30">
      <c r="B184" s="367">
        <f t="shared" si="6"/>
        <v>-1</v>
      </c>
      <c r="D184" s="182"/>
      <c r="E184" s="182"/>
      <c r="F184" s="184"/>
      <c r="G184" s="182"/>
      <c r="H184" s="182"/>
      <c r="I184" s="182"/>
      <c r="J184" s="183"/>
      <c r="K184" s="183"/>
      <c r="L184" s="182"/>
      <c r="N184" s="367">
        <f t="shared" si="7"/>
        <v>0</v>
      </c>
      <c r="O184" s="368">
        <f t="shared" si="8"/>
        <v>0</v>
      </c>
      <c r="P184" s="606"/>
      <c r="Q184" s="606"/>
      <c r="R184" s="606"/>
      <c r="S184" s="606"/>
      <c r="T184" s="606"/>
      <c r="U184" s="606"/>
      <c r="V184" s="606"/>
      <c r="W184" s="606"/>
      <c r="X184" s="606"/>
      <c r="Y184" s="606"/>
      <c r="Z184" s="606"/>
      <c r="AA184" s="606"/>
      <c r="AB184" s="606"/>
      <c r="AC184" s="606"/>
      <c r="AD184" s="606"/>
    </row>
    <row r="185" spans="2:30">
      <c r="B185" s="367">
        <f t="shared" si="6"/>
        <v>-1</v>
      </c>
      <c r="D185" s="182"/>
      <c r="E185" s="182"/>
      <c r="F185" s="184"/>
      <c r="G185" s="182"/>
      <c r="H185" s="182"/>
      <c r="I185" s="182"/>
      <c r="J185" s="183"/>
      <c r="K185" s="183"/>
      <c r="L185" s="182"/>
      <c r="N185" s="367">
        <f t="shared" si="7"/>
        <v>0</v>
      </c>
      <c r="O185" s="368">
        <f t="shared" si="8"/>
        <v>0</v>
      </c>
      <c r="P185" s="606"/>
      <c r="Q185" s="606"/>
      <c r="R185" s="606"/>
      <c r="S185" s="606"/>
      <c r="T185" s="606"/>
      <c r="U185" s="606"/>
      <c r="V185" s="606"/>
      <c r="W185" s="606"/>
      <c r="X185" s="606"/>
      <c r="Y185" s="606"/>
      <c r="Z185" s="606"/>
      <c r="AA185" s="606"/>
      <c r="AB185" s="606"/>
      <c r="AC185" s="606"/>
      <c r="AD185" s="606"/>
    </row>
    <row r="186" spans="2:30">
      <c r="B186" s="367">
        <f t="shared" si="6"/>
        <v>-1</v>
      </c>
      <c r="D186" s="182"/>
      <c r="E186" s="182"/>
      <c r="F186" s="184"/>
      <c r="G186" s="182"/>
      <c r="H186" s="182"/>
      <c r="I186" s="182"/>
      <c r="J186" s="183"/>
      <c r="K186" s="183"/>
      <c r="L186" s="182"/>
      <c r="N186" s="367">
        <f t="shared" si="7"/>
        <v>0</v>
      </c>
      <c r="O186" s="368">
        <f t="shared" si="8"/>
        <v>0</v>
      </c>
      <c r="P186" s="606"/>
      <c r="Q186" s="606"/>
      <c r="R186" s="606"/>
      <c r="S186" s="606"/>
      <c r="T186" s="606"/>
      <c r="U186" s="606"/>
      <c r="V186" s="606"/>
      <c r="W186" s="606"/>
      <c r="X186" s="606"/>
      <c r="Y186" s="606"/>
      <c r="Z186" s="606"/>
      <c r="AA186" s="606"/>
      <c r="AB186" s="606"/>
      <c r="AC186" s="606"/>
      <c r="AD186" s="606"/>
    </row>
    <row r="187" spans="2:30">
      <c r="B187" s="367">
        <f t="shared" si="6"/>
        <v>-1</v>
      </c>
      <c r="D187" s="182"/>
      <c r="E187" s="182"/>
      <c r="F187" s="184"/>
      <c r="G187" s="182"/>
      <c r="H187" s="182"/>
      <c r="I187" s="182"/>
      <c r="J187" s="183"/>
      <c r="K187" s="183"/>
      <c r="L187" s="182"/>
      <c r="N187" s="367">
        <f t="shared" si="7"/>
        <v>0</v>
      </c>
      <c r="O187" s="368">
        <f t="shared" si="8"/>
        <v>0</v>
      </c>
      <c r="P187" s="606"/>
      <c r="Q187" s="606"/>
      <c r="R187" s="606"/>
      <c r="S187" s="606"/>
      <c r="T187" s="606"/>
      <c r="U187" s="606"/>
      <c r="V187" s="606"/>
      <c r="W187" s="606"/>
      <c r="X187" s="606"/>
      <c r="Y187" s="606"/>
      <c r="Z187" s="606"/>
      <c r="AA187" s="606"/>
      <c r="AB187" s="606"/>
      <c r="AC187" s="606"/>
      <c r="AD187" s="606"/>
    </row>
    <row r="188" spans="2:30">
      <c r="B188" s="367">
        <f t="shared" si="6"/>
        <v>-1</v>
      </c>
      <c r="D188" s="182"/>
      <c r="E188" s="182"/>
      <c r="F188" s="184"/>
      <c r="G188" s="182"/>
      <c r="H188" s="182"/>
      <c r="I188" s="182"/>
      <c r="J188" s="183"/>
      <c r="K188" s="183"/>
      <c r="L188" s="182"/>
      <c r="N188" s="367">
        <f t="shared" si="7"/>
        <v>0</v>
      </c>
      <c r="O188" s="368">
        <f t="shared" si="8"/>
        <v>0</v>
      </c>
      <c r="P188" s="606"/>
      <c r="Q188" s="606"/>
      <c r="R188" s="606"/>
      <c r="S188" s="606"/>
      <c r="T188" s="606"/>
      <c r="U188" s="606"/>
      <c r="V188" s="606"/>
      <c r="W188" s="606"/>
      <c r="X188" s="606"/>
      <c r="Y188" s="606"/>
      <c r="Z188" s="606"/>
      <c r="AA188" s="606"/>
      <c r="AB188" s="606"/>
      <c r="AC188" s="606"/>
      <c r="AD188" s="606"/>
    </row>
    <row r="189" spans="2:30">
      <c r="B189" s="367">
        <f t="shared" si="6"/>
        <v>-1</v>
      </c>
      <c r="D189" s="182"/>
      <c r="E189" s="182"/>
      <c r="F189" s="184"/>
      <c r="G189" s="182"/>
      <c r="H189" s="182"/>
      <c r="I189" s="182"/>
      <c r="J189" s="183"/>
      <c r="K189" s="183"/>
      <c r="L189" s="182"/>
      <c r="N189" s="367">
        <f t="shared" si="7"/>
        <v>0</v>
      </c>
      <c r="O189" s="368">
        <f t="shared" si="8"/>
        <v>0</v>
      </c>
      <c r="P189" s="606"/>
      <c r="Q189" s="606"/>
      <c r="R189" s="606"/>
      <c r="S189" s="606"/>
      <c r="T189" s="606"/>
      <c r="U189" s="606"/>
      <c r="V189" s="606"/>
      <c r="W189" s="606"/>
      <c r="X189" s="606"/>
      <c r="Y189" s="606"/>
      <c r="Z189" s="606"/>
      <c r="AA189" s="606"/>
      <c r="AB189" s="606"/>
      <c r="AC189" s="606"/>
      <c r="AD189" s="606"/>
    </row>
    <row r="190" spans="2:30">
      <c r="B190" s="367">
        <f t="shared" si="6"/>
        <v>-1</v>
      </c>
      <c r="D190" s="182"/>
      <c r="E190" s="182"/>
      <c r="F190" s="184"/>
      <c r="G190" s="182"/>
      <c r="H190" s="182"/>
      <c r="I190" s="182"/>
      <c r="J190" s="183"/>
      <c r="K190" s="183"/>
      <c r="L190" s="182"/>
      <c r="N190" s="367">
        <f t="shared" si="7"/>
        <v>0</v>
      </c>
      <c r="O190" s="368">
        <f t="shared" si="8"/>
        <v>0</v>
      </c>
      <c r="P190" s="606"/>
      <c r="Q190" s="606"/>
      <c r="R190" s="606"/>
      <c r="S190" s="606"/>
      <c r="T190" s="606"/>
      <c r="U190" s="606"/>
      <c r="V190" s="606"/>
      <c r="W190" s="606"/>
      <c r="X190" s="606"/>
      <c r="Y190" s="606"/>
      <c r="Z190" s="606"/>
      <c r="AA190" s="606"/>
      <c r="AB190" s="606"/>
      <c r="AC190" s="606"/>
      <c r="AD190" s="606"/>
    </row>
    <row r="191" spans="2:30">
      <c r="B191" s="367">
        <f t="shared" si="6"/>
        <v>-1</v>
      </c>
      <c r="D191" s="182"/>
      <c r="E191" s="182"/>
      <c r="F191" s="184"/>
      <c r="G191" s="182"/>
      <c r="H191" s="182"/>
      <c r="I191" s="182"/>
      <c r="J191" s="183"/>
      <c r="K191" s="183"/>
      <c r="L191" s="182"/>
      <c r="N191" s="367">
        <f t="shared" si="7"/>
        <v>0</v>
      </c>
      <c r="O191" s="368">
        <f t="shared" si="8"/>
        <v>0</v>
      </c>
      <c r="P191" s="606"/>
      <c r="Q191" s="606"/>
      <c r="R191" s="606"/>
      <c r="S191" s="606"/>
      <c r="T191" s="606"/>
      <c r="U191" s="606"/>
      <c r="V191" s="606"/>
      <c r="W191" s="606"/>
      <c r="X191" s="606"/>
      <c r="Y191" s="606"/>
      <c r="Z191" s="606"/>
      <c r="AA191" s="606"/>
      <c r="AB191" s="606"/>
      <c r="AC191" s="606"/>
      <c r="AD191" s="606"/>
    </row>
    <row r="192" spans="2:30">
      <c r="B192" s="367">
        <f t="shared" si="6"/>
        <v>-1</v>
      </c>
      <c r="D192" s="182"/>
      <c r="E192" s="182"/>
      <c r="F192" s="184"/>
      <c r="G192" s="182"/>
      <c r="H192" s="182"/>
      <c r="I192" s="182"/>
      <c r="J192" s="183"/>
      <c r="K192" s="183"/>
      <c r="L192" s="182"/>
      <c r="N192" s="367">
        <f t="shared" si="7"/>
        <v>0</v>
      </c>
      <c r="O192" s="368">
        <f t="shared" si="8"/>
        <v>0</v>
      </c>
      <c r="P192" s="606"/>
      <c r="Q192" s="606"/>
      <c r="R192" s="606"/>
      <c r="S192" s="606"/>
      <c r="T192" s="606"/>
      <c r="U192" s="606"/>
      <c r="V192" s="606"/>
      <c r="W192" s="606"/>
      <c r="X192" s="606"/>
      <c r="Y192" s="606"/>
      <c r="Z192" s="606"/>
      <c r="AA192" s="606"/>
      <c r="AB192" s="606"/>
      <c r="AC192" s="606"/>
      <c r="AD192" s="606"/>
    </row>
    <row r="193" spans="2:30">
      <c r="B193" s="367">
        <f t="shared" si="6"/>
        <v>-1</v>
      </c>
      <c r="D193" s="182"/>
      <c r="E193" s="182"/>
      <c r="F193" s="184"/>
      <c r="G193" s="182"/>
      <c r="H193" s="182"/>
      <c r="I193" s="182"/>
      <c r="J193" s="183"/>
      <c r="K193" s="183"/>
      <c r="L193" s="182"/>
      <c r="N193" s="367">
        <f t="shared" si="7"/>
        <v>0</v>
      </c>
      <c r="O193" s="368">
        <f t="shared" si="8"/>
        <v>0</v>
      </c>
      <c r="P193" s="606"/>
      <c r="Q193" s="606"/>
      <c r="R193" s="606"/>
      <c r="S193" s="606"/>
      <c r="T193" s="606"/>
      <c r="U193" s="606"/>
      <c r="V193" s="606"/>
      <c r="W193" s="606"/>
      <c r="X193" s="606"/>
      <c r="Y193" s="606"/>
      <c r="Z193" s="606"/>
      <c r="AA193" s="606"/>
      <c r="AB193" s="606"/>
      <c r="AC193" s="606"/>
      <c r="AD193" s="606"/>
    </row>
    <row r="194" spans="2:30">
      <c r="B194" s="367">
        <f t="shared" si="6"/>
        <v>-1</v>
      </c>
      <c r="D194" s="182"/>
      <c r="E194" s="182"/>
      <c r="F194" s="184"/>
      <c r="G194" s="182"/>
      <c r="H194" s="182"/>
      <c r="I194" s="182"/>
      <c r="J194" s="183"/>
      <c r="K194" s="183"/>
      <c r="L194" s="182"/>
      <c r="N194" s="367">
        <f t="shared" si="7"/>
        <v>0</v>
      </c>
      <c r="O194" s="368">
        <f t="shared" si="8"/>
        <v>0</v>
      </c>
      <c r="P194" s="606"/>
      <c r="Q194" s="606"/>
      <c r="R194" s="606"/>
      <c r="S194" s="606"/>
      <c r="T194" s="606"/>
      <c r="U194" s="606"/>
      <c r="V194" s="606"/>
      <c r="W194" s="606"/>
      <c r="X194" s="606"/>
      <c r="Y194" s="606"/>
      <c r="Z194" s="606"/>
      <c r="AA194" s="606"/>
      <c r="AB194" s="606"/>
      <c r="AC194" s="606"/>
      <c r="AD194" s="606"/>
    </row>
    <row r="195" spans="2:30">
      <c r="B195" s="367">
        <f t="shared" si="6"/>
        <v>-1</v>
      </c>
      <c r="D195" s="182"/>
      <c r="E195" s="182"/>
      <c r="F195" s="184"/>
      <c r="G195" s="182"/>
      <c r="H195" s="182"/>
      <c r="I195" s="182"/>
      <c r="J195" s="183"/>
      <c r="K195" s="183"/>
      <c r="L195" s="182"/>
      <c r="N195" s="367">
        <f t="shared" si="7"/>
        <v>0</v>
      </c>
      <c r="O195" s="368">
        <f t="shared" si="8"/>
        <v>0</v>
      </c>
      <c r="P195" s="606"/>
      <c r="Q195" s="606"/>
      <c r="R195" s="606"/>
      <c r="S195" s="606"/>
      <c r="T195" s="606"/>
      <c r="U195" s="606"/>
      <c r="V195" s="606"/>
      <c r="W195" s="606"/>
      <c r="X195" s="606"/>
      <c r="Y195" s="606"/>
      <c r="Z195" s="606"/>
      <c r="AA195" s="606"/>
      <c r="AB195" s="606"/>
      <c r="AC195" s="606"/>
      <c r="AD195" s="606"/>
    </row>
    <row r="196" spans="2:30">
      <c r="B196" s="367">
        <f t="shared" si="6"/>
        <v>-1</v>
      </c>
      <c r="D196" s="182"/>
      <c r="E196" s="182"/>
      <c r="F196" s="184"/>
      <c r="G196" s="182"/>
      <c r="H196" s="182"/>
      <c r="I196" s="182"/>
      <c r="J196" s="183"/>
      <c r="K196" s="183"/>
      <c r="L196" s="182"/>
      <c r="N196" s="367">
        <f t="shared" si="7"/>
        <v>0</v>
      </c>
      <c r="O196" s="368">
        <f t="shared" si="8"/>
        <v>0</v>
      </c>
      <c r="P196" s="606"/>
      <c r="Q196" s="606"/>
      <c r="R196" s="606"/>
      <c r="S196" s="606"/>
      <c r="T196" s="606"/>
      <c r="U196" s="606"/>
      <c r="V196" s="606"/>
      <c r="W196" s="606"/>
      <c r="X196" s="606"/>
      <c r="Y196" s="606"/>
      <c r="Z196" s="606"/>
      <c r="AA196" s="606"/>
      <c r="AB196" s="606"/>
      <c r="AC196" s="606"/>
      <c r="AD196" s="606"/>
    </row>
    <row r="197" spans="2:30">
      <c r="B197" s="367">
        <f t="shared" si="6"/>
        <v>-1</v>
      </c>
      <c r="D197" s="182"/>
      <c r="E197" s="182"/>
      <c r="F197" s="184"/>
      <c r="G197" s="182"/>
      <c r="H197" s="182"/>
      <c r="I197" s="182"/>
      <c r="J197" s="183"/>
      <c r="K197" s="183"/>
      <c r="L197" s="182"/>
      <c r="N197" s="367">
        <f t="shared" si="7"/>
        <v>0</v>
      </c>
      <c r="O197" s="368">
        <f t="shared" si="8"/>
        <v>0</v>
      </c>
      <c r="P197" s="606"/>
      <c r="Q197" s="606"/>
      <c r="R197" s="606"/>
      <c r="S197" s="606"/>
      <c r="T197" s="606"/>
      <c r="U197" s="606"/>
      <c r="V197" s="606"/>
      <c r="W197" s="606"/>
      <c r="X197" s="606"/>
      <c r="Y197" s="606"/>
      <c r="Z197" s="606"/>
      <c r="AA197" s="606"/>
      <c r="AB197" s="606"/>
      <c r="AC197" s="606"/>
      <c r="AD197" s="606"/>
    </row>
    <row r="198" spans="2:30">
      <c r="B198" s="367">
        <f t="shared" si="6"/>
        <v>-1</v>
      </c>
      <c r="D198" s="182"/>
      <c r="E198" s="182"/>
      <c r="F198" s="184"/>
      <c r="G198" s="182"/>
      <c r="H198" s="182"/>
      <c r="I198" s="182"/>
      <c r="J198" s="183"/>
      <c r="K198" s="183"/>
      <c r="L198" s="182"/>
      <c r="N198" s="367">
        <f t="shared" si="7"/>
        <v>0</v>
      </c>
      <c r="O198" s="368">
        <f t="shared" si="8"/>
        <v>0</v>
      </c>
      <c r="P198" s="606"/>
      <c r="Q198" s="606"/>
      <c r="R198" s="606"/>
      <c r="S198" s="606"/>
      <c r="T198" s="606"/>
      <c r="U198" s="606"/>
      <c r="V198" s="606"/>
      <c r="W198" s="606"/>
      <c r="X198" s="606"/>
      <c r="Y198" s="606"/>
      <c r="Z198" s="606"/>
      <c r="AA198" s="606"/>
      <c r="AB198" s="606"/>
      <c r="AC198" s="606"/>
      <c r="AD198" s="606"/>
    </row>
    <row r="199" spans="2:30">
      <c r="B199" s="367">
        <f t="shared" si="6"/>
        <v>-1</v>
      </c>
      <c r="D199" s="182"/>
      <c r="E199" s="182"/>
      <c r="F199" s="184"/>
      <c r="G199" s="182"/>
      <c r="H199" s="182"/>
      <c r="I199" s="182"/>
      <c r="J199" s="183"/>
      <c r="K199" s="183"/>
      <c r="L199" s="182"/>
      <c r="N199" s="367">
        <f t="shared" si="7"/>
        <v>0</v>
      </c>
      <c r="O199" s="368">
        <f t="shared" si="8"/>
        <v>0</v>
      </c>
      <c r="P199" s="606"/>
      <c r="Q199" s="606"/>
      <c r="R199" s="606"/>
      <c r="S199" s="606"/>
      <c r="T199" s="606"/>
      <c r="U199" s="606"/>
      <c r="V199" s="606"/>
      <c r="W199" s="606"/>
      <c r="X199" s="606"/>
      <c r="Y199" s="606"/>
      <c r="Z199" s="606"/>
      <c r="AA199" s="606"/>
      <c r="AB199" s="606"/>
      <c r="AC199" s="606"/>
      <c r="AD199" s="606"/>
    </row>
    <row r="200" spans="2:30">
      <c r="B200" s="367">
        <f t="shared" si="6"/>
        <v>-1</v>
      </c>
      <c r="D200" s="182"/>
      <c r="E200" s="182"/>
      <c r="F200" s="184"/>
      <c r="G200" s="182"/>
      <c r="H200" s="182"/>
      <c r="I200" s="182"/>
      <c r="J200" s="183"/>
      <c r="K200" s="183"/>
      <c r="L200" s="182"/>
      <c r="N200" s="367">
        <f t="shared" si="7"/>
        <v>0</v>
      </c>
      <c r="O200" s="368">
        <f t="shared" si="8"/>
        <v>0</v>
      </c>
      <c r="P200" s="606"/>
      <c r="Q200" s="606"/>
      <c r="R200" s="606"/>
      <c r="S200" s="606"/>
      <c r="T200" s="606"/>
      <c r="U200" s="606"/>
      <c r="V200" s="606"/>
      <c r="W200" s="606"/>
      <c r="X200" s="606"/>
      <c r="Y200" s="606"/>
      <c r="Z200" s="606"/>
      <c r="AA200" s="606"/>
      <c r="AB200" s="606"/>
      <c r="AC200" s="606"/>
      <c r="AD200" s="606"/>
    </row>
    <row r="201" spans="2:30">
      <c r="B201" s="367">
        <f t="shared" si="6"/>
        <v>-1</v>
      </c>
      <c r="D201" s="182"/>
      <c r="E201" s="182"/>
      <c r="F201" s="184"/>
      <c r="G201" s="182"/>
      <c r="H201" s="182"/>
      <c r="I201" s="182"/>
      <c r="J201" s="183"/>
      <c r="K201" s="183"/>
      <c r="L201" s="182"/>
      <c r="N201" s="367">
        <f t="shared" si="7"/>
        <v>0</v>
      </c>
      <c r="O201" s="368">
        <f t="shared" si="8"/>
        <v>0</v>
      </c>
      <c r="P201" s="606"/>
      <c r="Q201" s="606"/>
      <c r="R201" s="606"/>
      <c r="S201" s="606"/>
      <c r="T201" s="606"/>
      <c r="U201" s="606"/>
      <c r="V201" s="606"/>
      <c r="W201" s="606"/>
      <c r="X201" s="606"/>
      <c r="Y201" s="606"/>
      <c r="Z201" s="606"/>
      <c r="AA201" s="606"/>
      <c r="AB201" s="606"/>
      <c r="AC201" s="606"/>
      <c r="AD201" s="606"/>
    </row>
    <row r="202" spans="2:30">
      <c r="B202" s="367">
        <f t="shared" ref="B202:B265" si="9">IF(G202="buy",1,-1)</f>
        <v>-1</v>
      </c>
      <c r="D202" s="182"/>
      <c r="E202" s="182"/>
      <c r="F202" s="184"/>
      <c r="G202" s="182"/>
      <c r="H202" s="182"/>
      <c r="I202" s="182"/>
      <c r="J202" s="183"/>
      <c r="K202" s="183"/>
      <c r="L202" s="182"/>
      <c r="N202" s="367">
        <f t="shared" ref="N202:N265" si="10">+H202*((K202-J202)+1)*B202</f>
        <v>0</v>
      </c>
      <c r="O202" s="368">
        <f t="shared" ref="O202:O265" si="11">N202*L202/100</f>
        <v>0</v>
      </c>
      <c r="P202" s="606"/>
      <c r="Q202" s="606"/>
      <c r="R202" s="606"/>
      <c r="S202" s="606"/>
      <c r="T202" s="606"/>
      <c r="U202" s="606"/>
      <c r="V202" s="606"/>
      <c r="W202" s="606"/>
      <c r="X202" s="606"/>
      <c r="Y202" s="606"/>
      <c r="Z202" s="606"/>
      <c r="AA202" s="606"/>
      <c r="AB202" s="606"/>
      <c r="AC202" s="606"/>
      <c r="AD202" s="606"/>
    </row>
    <row r="203" spans="2:30">
      <c r="B203" s="367">
        <f t="shared" si="9"/>
        <v>-1</v>
      </c>
      <c r="D203" s="182"/>
      <c r="E203" s="182"/>
      <c r="F203" s="184"/>
      <c r="G203" s="182"/>
      <c r="H203" s="182"/>
      <c r="I203" s="182"/>
      <c r="J203" s="183"/>
      <c r="K203" s="183"/>
      <c r="L203" s="182"/>
      <c r="N203" s="367">
        <f t="shared" si="10"/>
        <v>0</v>
      </c>
      <c r="O203" s="368">
        <f t="shared" si="11"/>
        <v>0</v>
      </c>
      <c r="P203" s="606"/>
      <c r="Q203" s="606"/>
      <c r="R203" s="606"/>
      <c r="S203" s="606"/>
      <c r="T203" s="606"/>
      <c r="U203" s="606"/>
      <c r="V203" s="606"/>
      <c r="W203" s="606"/>
      <c r="X203" s="606"/>
      <c r="Y203" s="606"/>
      <c r="Z203" s="606"/>
      <c r="AA203" s="606"/>
      <c r="AB203" s="606"/>
      <c r="AC203" s="606"/>
      <c r="AD203" s="606"/>
    </row>
    <row r="204" spans="2:30">
      <c r="B204" s="367">
        <f t="shared" si="9"/>
        <v>-1</v>
      </c>
      <c r="D204" s="182"/>
      <c r="E204" s="182"/>
      <c r="F204" s="184"/>
      <c r="G204" s="182"/>
      <c r="H204" s="182"/>
      <c r="I204" s="182"/>
      <c r="J204" s="183"/>
      <c r="K204" s="183"/>
      <c r="L204" s="182"/>
      <c r="N204" s="367">
        <f t="shared" si="10"/>
        <v>0</v>
      </c>
      <c r="O204" s="368">
        <f t="shared" si="11"/>
        <v>0</v>
      </c>
      <c r="P204" s="606"/>
      <c r="Q204" s="606"/>
      <c r="R204" s="606"/>
      <c r="S204" s="606"/>
      <c r="T204" s="606"/>
      <c r="U204" s="606"/>
      <c r="V204" s="606"/>
      <c r="W204" s="606"/>
      <c r="X204" s="606"/>
      <c r="Y204" s="606"/>
      <c r="Z204" s="606"/>
      <c r="AA204" s="606"/>
      <c r="AB204" s="606"/>
      <c r="AC204" s="606"/>
      <c r="AD204" s="606"/>
    </row>
    <row r="205" spans="2:30">
      <c r="B205" s="367">
        <f t="shared" si="9"/>
        <v>-1</v>
      </c>
      <c r="D205" s="182"/>
      <c r="E205" s="182"/>
      <c r="F205" s="184"/>
      <c r="G205" s="182"/>
      <c r="H205" s="182"/>
      <c r="I205" s="182"/>
      <c r="J205" s="183"/>
      <c r="K205" s="183"/>
      <c r="L205" s="182"/>
      <c r="N205" s="367">
        <f t="shared" si="10"/>
        <v>0</v>
      </c>
      <c r="O205" s="368">
        <f t="shared" si="11"/>
        <v>0</v>
      </c>
      <c r="P205" s="606"/>
      <c r="Q205" s="606"/>
      <c r="R205" s="606"/>
      <c r="S205" s="606"/>
      <c r="T205" s="606"/>
      <c r="U205" s="606"/>
      <c r="V205" s="606"/>
      <c r="W205" s="606"/>
      <c r="X205" s="606"/>
      <c r="Y205" s="606"/>
      <c r="Z205" s="606"/>
      <c r="AA205" s="606"/>
      <c r="AB205" s="606"/>
      <c r="AC205" s="606"/>
      <c r="AD205" s="606"/>
    </row>
    <row r="206" spans="2:30">
      <c r="B206" s="367">
        <f t="shared" si="9"/>
        <v>-1</v>
      </c>
      <c r="D206" s="182"/>
      <c r="E206" s="182"/>
      <c r="F206" s="184"/>
      <c r="G206" s="182"/>
      <c r="H206" s="182"/>
      <c r="I206" s="182"/>
      <c r="J206" s="183"/>
      <c r="K206" s="183"/>
      <c r="L206" s="182"/>
      <c r="N206" s="367">
        <f t="shared" si="10"/>
        <v>0</v>
      </c>
      <c r="O206" s="368">
        <f t="shared" si="11"/>
        <v>0</v>
      </c>
      <c r="P206" s="606"/>
      <c r="Q206" s="606"/>
      <c r="R206" s="606"/>
      <c r="S206" s="606"/>
      <c r="T206" s="606"/>
      <c r="U206" s="606"/>
      <c r="V206" s="606"/>
      <c r="W206" s="606"/>
      <c r="X206" s="606"/>
      <c r="Y206" s="606"/>
      <c r="Z206" s="606"/>
      <c r="AA206" s="606"/>
      <c r="AB206" s="606"/>
      <c r="AC206" s="606"/>
      <c r="AD206" s="606"/>
    </row>
    <row r="207" spans="2:30">
      <c r="B207" s="367">
        <f t="shared" si="9"/>
        <v>-1</v>
      </c>
      <c r="D207" s="182"/>
      <c r="E207" s="182"/>
      <c r="F207" s="184"/>
      <c r="G207" s="182"/>
      <c r="H207" s="182"/>
      <c r="I207" s="182"/>
      <c r="J207" s="183"/>
      <c r="K207" s="183"/>
      <c r="L207" s="182"/>
      <c r="N207" s="367">
        <f t="shared" si="10"/>
        <v>0</v>
      </c>
      <c r="O207" s="368">
        <f t="shared" si="11"/>
        <v>0</v>
      </c>
      <c r="P207" s="606"/>
      <c r="Q207" s="606"/>
      <c r="R207" s="606"/>
      <c r="S207" s="606"/>
      <c r="T207" s="606"/>
      <c r="U207" s="606"/>
      <c r="V207" s="606"/>
      <c r="W207" s="606"/>
      <c r="X207" s="606"/>
      <c r="Y207" s="606"/>
      <c r="Z207" s="606"/>
      <c r="AA207" s="606"/>
      <c r="AB207" s="606"/>
      <c r="AC207" s="606"/>
      <c r="AD207" s="606"/>
    </row>
    <row r="208" spans="2:30">
      <c r="B208" s="367">
        <f t="shared" si="9"/>
        <v>-1</v>
      </c>
      <c r="D208" s="182"/>
      <c r="E208" s="182"/>
      <c r="F208" s="184"/>
      <c r="G208" s="182"/>
      <c r="H208" s="182"/>
      <c r="I208" s="182"/>
      <c r="J208" s="183"/>
      <c r="K208" s="183"/>
      <c r="L208" s="182"/>
      <c r="N208" s="367">
        <f t="shared" si="10"/>
        <v>0</v>
      </c>
      <c r="O208" s="368">
        <f t="shared" si="11"/>
        <v>0</v>
      </c>
      <c r="P208" s="606"/>
      <c r="Q208" s="606"/>
      <c r="R208" s="606"/>
      <c r="S208" s="606"/>
      <c r="T208" s="606"/>
      <c r="U208" s="606"/>
      <c r="V208" s="606"/>
      <c r="W208" s="606"/>
      <c r="X208" s="606"/>
      <c r="Y208" s="606"/>
      <c r="Z208" s="606"/>
      <c r="AA208" s="606"/>
      <c r="AB208" s="606"/>
      <c r="AC208" s="606"/>
      <c r="AD208" s="606"/>
    </row>
    <row r="209" spans="2:30">
      <c r="B209" s="367">
        <f t="shared" si="9"/>
        <v>-1</v>
      </c>
      <c r="D209" s="182"/>
      <c r="E209" s="182"/>
      <c r="F209" s="184"/>
      <c r="G209" s="182"/>
      <c r="H209" s="182"/>
      <c r="I209" s="182"/>
      <c r="J209" s="183"/>
      <c r="K209" s="183"/>
      <c r="L209" s="182"/>
      <c r="N209" s="367">
        <f t="shared" si="10"/>
        <v>0</v>
      </c>
      <c r="O209" s="368">
        <f t="shared" si="11"/>
        <v>0</v>
      </c>
      <c r="P209" s="606"/>
      <c r="Q209" s="606"/>
      <c r="R209" s="606"/>
      <c r="S209" s="606"/>
      <c r="T209" s="606"/>
      <c r="U209" s="606"/>
      <c r="V209" s="606"/>
      <c r="W209" s="606"/>
      <c r="X209" s="606"/>
      <c r="Y209" s="606"/>
      <c r="Z209" s="606"/>
      <c r="AA209" s="606"/>
      <c r="AB209" s="606"/>
      <c r="AC209" s="606"/>
      <c r="AD209" s="606"/>
    </row>
    <row r="210" spans="2:30">
      <c r="B210" s="367">
        <f t="shared" si="9"/>
        <v>-1</v>
      </c>
      <c r="D210" s="182"/>
      <c r="E210" s="182"/>
      <c r="F210" s="184"/>
      <c r="G210" s="182"/>
      <c r="H210" s="182"/>
      <c r="I210" s="182"/>
      <c r="J210" s="183"/>
      <c r="K210" s="183"/>
      <c r="L210" s="182"/>
      <c r="N210" s="367">
        <f t="shared" si="10"/>
        <v>0</v>
      </c>
      <c r="O210" s="368">
        <f t="shared" si="11"/>
        <v>0</v>
      </c>
      <c r="P210" s="606"/>
      <c r="Q210" s="606"/>
      <c r="R210" s="606"/>
      <c r="S210" s="606"/>
      <c r="T210" s="606"/>
      <c r="U210" s="606"/>
      <c r="V210" s="606"/>
      <c r="W210" s="606"/>
      <c r="X210" s="606"/>
      <c r="Y210" s="606"/>
      <c r="Z210" s="606"/>
      <c r="AA210" s="606"/>
      <c r="AB210" s="606"/>
      <c r="AC210" s="606"/>
      <c r="AD210" s="606"/>
    </row>
    <row r="211" spans="2:30">
      <c r="B211" s="367">
        <f t="shared" si="9"/>
        <v>-1</v>
      </c>
      <c r="D211" s="182"/>
      <c r="E211" s="182"/>
      <c r="F211" s="184"/>
      <c r="G211" s="182"/>
      <c r="H211" s="182"/>
      <c r="I211" s="182"/>
      <c r="J211" s="183"/>
      <c r="K211" s="183"/>
      <c r="L211" s="182"/>
      <c r="N211" s="367">
        <f t="shared" si="10"/>
        <v>0</v>
      </c>
      <c r="O211" s="368">
        <f t="shared" si="11"/>
        <v>0</v>
      </c>
      <c r="P211" s="606"/>
      <c r="Q211" s="606"/>
      <c r="R211" s="606"/>
      <c r="S211" s="606"/>
      <c r="T211" s="606"/>
      <c r="U211" s="606"/>
      <c r="V211" s="606"/>
      <c r="W211" s="606"/>
      <c r="X211" s="606"/>
      <c r="Y211" s="606"/>
      <c r="Z211" s="606"/>
      <c r="AA211" s="606"/>
      <c r="AB211" s="606"/>
      <c r="AC211" s="606"/>
      <c r="AD211" s="606"/>
    </row>
    <row r="212" spans="2:30">
      <c r="B212" s="367">
        <f t="shared" si="9"/>
        <v>-1</v>
      </c>
      <c r="D212" s="182"/>
      <c r="E212" s="182"/>
      <c r="F212" s="184"/>
      <c r="G212" s="182"/>
      <c r="H212" s="182"/>
      <c r="I212" s="182"/>
      <c r="J212" s="183"/>
      <c r="K212" s="183"/>
      <c r="L212" s="182"/>
      <c r="N212" s="367">
        <f t="shared" si="10"/>
        <v>0</v>
      </c>
      <c r="O212" s="368">
        <f t="shared" si="11"/>
        <v>0</v>
      </c>
      <c r="P212" s="606"/>
      <c r="Q212" s="606"/>
      <c r="R212" s="606"/>
      <c r="S212" s="606"/>
      <c r="T212" s="606"/>
      <c r="U212" s="606"/>
      <c r="V212" s="606"/>
      <c r="W212" s="606"/>
      <c r="X212" s="606"/>
      <c r="Y212" s="606"/>
      <c r="Z212" s="606"/>
      <c r="AA212" s="606"/>
      <c r="AB212" s="606"/>
      <c r="AC212" s="606"/>
      <c r="AD212" s="606"/>
    </row>
    <row r="213" spans="2:30">
      <c r="B213" s="367">
        <f t="shared" si="9"/>
        <v>-1</v>
      </c>
      <c r="D213" s="182"/>
      <c r="E213" s="182"/>
      <c r="F213" s="184"/>
      <c r="G213" s="182"/>
      <c r="H213" s="182"/>
      <c r="I213" s="182"/>
      <c r="J213" s="183"/>
      <c r="K213" s="183"/>
      <c r="L213" s="182"/>
      <c r="N213" s="367">
        <f t="shared" si="10"/>
        <v>0</v>
      </c>
      <c r="O213" s="368">
        <f t="shared" si="11"/>
        <v>0</v>
      </c>
      <c r="P213" s="606"/>
      <c r="Q213" s="606"/>
      <c r="R213" s="606"/>
      <c r="S213" s="606"/>
      <c r="T213" s="606"/>
      <c r="U213" s="606"/>
      <c r="V213" s="606"/>
      <c r="W213" s="606"/>
      <c r="X213" s="606"/>
      <c r="Y213" s="606"/>
      <c r="Z213" s="606"/>
      <c r="AA213" s="606"/>
      <c r="AB213" s="606"/>
      <c r="AC213" s="606"/>
      <c r="AD213" s="606"/>
    </row>
    <row r="214" spans="2:30">
      <c r="B214" s="367">
        <f t="shared" si="9"/>
        <v>-1</v>
      </c>
      <c r="D214" s="182"/>
      <c r="E214" s="182"/>
      <c r="F214" s="184"/>
      <c r="G214" s="182"/>
      <c r="H214" s="182"/>
      <c r="I214" s="182"/>
      <c r="J214" s="183"/>
      <c r="K214" s="183"/>
      <c r="L214" s="182"/>
      <c r="N214" s="367">
        <f t="shared" si="10"/>
        <v>0</v>
      </c>
      <c r="O214" s="368">
        <f t="shared" si="11"/>
        <v>0</v>
      </c>
      <c r="P214" s="606"/>
      <c r="Q214" s="606"/>
      <c r="R214" s="606"/>
      <c r="S214" s="606"/>
      <c r="T214" s="606"/>
      <c r="U214" s="606"/>
      <c r="V214" s="606"/>
      <c r="W214" s="606"/>
      <c r="X214" s="606"/>
      <c r="Y214" s="606"/>
      <c r="Z214" s="606"/>
      <c r="AA214" s="606"/>
      <c r="AB214" s="606"/>
      <c r="AC214" s="606"/>
      <c r="AD214" s="606"/>
    </row>
    <row r="215" spans="2:30">
      <c r="B215" s="367">
        <f t="shared" si="9"/>
        <v>-1</v>
      </c>
      <c r="D215" s="182"/>
      <c r="E215" s="182"/>
      <c r="F215" s="184"/>
      <c r="G215" s="182"/>
      <c r="H215" s="182"/>
      <c r="I215" s="182"/>
      <c r="J215" s="183"/>
      <c r="K215" s="183"/>
      <c r="L215" s="182"/>
      <c r="N215" s="367">
        <f t="shared" si="10"/>
        <v>0</v>
      </c>
      <c r="O215" s="368">
        <f t="shared" si="11"/>
        <v>0</v>
      </c>
      <c r="P215" s="606"/>
      <c r="Q215" s="606"/>
      <c r="R215" s="606"/>
      <c r="S215" s="606"/>
      <c r="T215" s="606"/>
      <c r="U215" s="606"/>
      <c r="V215" s="606"/>
      <c r="W215" s="606"/>
      <c r="X215" s="606"/>
      <c r="Y215" s="606"/>
      <c r="Z215" s="606"/>
      <c r="AA215" s="606"/>
      <c r="AB215" s="606"/>
      <c r="AC215" s="606"/>
      <c r="AD215" s="606"/>
    </row>
    <row r="216" spans="2:30">
      <c r="B216" s="367">
        <f t="shared" si="9"/>
        <v>-1</v>
      </c>
      <c r="D216" s="182"/>
      <c r="E216" s="182"/>
      <c r="F216" s="184"/>
      <c r="G216" s="182"/>
      <c r="H216" s="182"/>
      <c r="I216" s="182"/>
      <c r="J216" s="183"/>
      <c r="K216" s="183"/>
      <c r="L216" s="182"/>
      <c r="N216" s="367">
        <f t="shared" si="10"/>
        <v>0</v>
      </c>
      <c r="O216" s="368">
        <f t="shared" si="11"/>
        <v>0</v>
      </c>
      <c r="P216" s="606"/>
      <c r="Q216" s="606"/>
      <c r="R216" s="606"/>
      <c r="S216" s="606"/>
      <c r="T216" s="606"/>
      <c r="U216" s="606"/>
      <c r="V216" s="606"/>
      <c r="W216" s="606"/>
      <c r="X216" s="606"/>
      <c r="Y216" s="606"/>
      <c r="Z216" s="606"/>
      <c r="AA216" s="606"/>
      <c r="AB216" s="606"/>
      <c r="AC216" s="606"/>
      <c r="AD216" s="606"/>
    </row>
    <row r="217" spans="2:30">
      <c r="B217" s="367">
        <f t="shared" si="9"/>
        <v>-1</v>
      </c>
      <c r="D217" s="182"/>
      <c r="E217" s="182"/>
      <c r="F217" s="184"/>
      <c r="G217" s="182"/>
      <c r="H217" s="182"/>
      <c r="I217" s="182"/>
      <c r="J217" s="183"/>
      <c r="K217" s="183"/>
      <c r="L217" s="182"/>
      <c r="N217" s="367">
        <f t="shared" si="10"/>
        <v>0</v>
      </c>
      <c r="O217" s="368">
        <f t="shared" si="11"/>
        <v>0</v>
      </c>
      <c r="P217" s="606"/>
      <c r="Q217" s="606"/>
      <c r="R217" s="606"/>
      <c r="S217" s="606"/>
      <c r="T217" s="606"/>
      <c r="U217" s="606"/>
      <c r="V217" s="606"/>
      <c r="W217" s="606"/>
      <c r="X217" s="606"/>
      <c r="Y217" s="606"/>
      <c r="Z217" s="606"/>
      <c r="AA217" s="606"/>
      <c r="AB217" s="606"/>
      <c r="AC217" s="606"/>
      <c r="AD217" s="606"/>
    </row>
    <row r="218" spans="2:30">
      <c r="B218" s="367">
        <f t="shared" si="9"/>
        <v>-1</v>
      </c>
      <c r="D218" s="182"/>
      <c r="E218" s="182"/>
      <c r="F218" s="184"/>
      <c r="G218" s="182"/>
      <c r="H218" s="182"/>
      <c r="I218" s="182"/>
      <c r="J218" s="183"/>
      <c r="K218" s="183"/>
      <c r="L218" s="182"/>
      <c r="N218" s="367">
        <f t="shared" si="10"/>
        <v>0</v>
      </c>
      <c r="O218" s="368">
        <f t="shared" si="11"/>
        <v>0</v>
      </c>
      <c r="P218" s="606"/>
      <c r="Q218" s="606"/>
      <c r="R218" s="606"/>
      <c r="S218" s="606"/>
      <c r="T218" s="606"/>
      <c r="U218" s="606"/>
      <c r="V218" s="606"/>
      <c r="W218" s="606"/>
      <c r="X218" s="606"/>
      <c r="Y218" s="606"/>
      <c r="Z218" s="606"/>
      <c r="AA218" s="606"/>
      <c r="AB218" s="606"/>
      <c r="AC218" s="606"/>
      <c r="AD218" s="606"/>
    </row>
    <row r="219" spans="2:30">
      <c r="B219" s="367">
        <f t="shared" si="9"/>
        <v>-1</v>
      </c>
      <c r="D219" s="182"/>
      <c r="E219" s="182"/>
      <c r="F219" s="184"/>
      <c r="G219" s="182"/>
      <c r="H219" s="182"/>
      <c r="I219" s="182"/>
      <c r="J219" s="183"/>
      <c r="K219" s="183"/>
      <c r="L219" s="182"/>
      <c r="N219" s="367">
        <f t="shared" si="10"/>
        <v>0</v>
      </c>
      <c r="O219" s="368">
        <f t="shared" si="11"/>
        <v>0</v>
      </c>
      <c r="P219" s="606"/>
      <c r="Q219" s="606"/>
      <c r="R219" s="606"/>
      <c r="S219" s="606"/>
      <c r="T219" s="606"/>
      <c r="U219" s="606"/>
      <c r="V219" s="606"/>
      <c r="W219" s="606"/>
      <c r="X219" s="606"/>
      <c r="Y219" s="606"/>
      <c r="Z219" s="606"/>
      <c r="AA219" s="606"/>
      <c r="AB219" s="606"/>
      <c r="AC219" s="606"/>
      <c r="AD219" s="606"/>
    </row>
    <row r="220" spans="2:30">
      <c r="B220" s="367">
        <f t="shared" si="9"/>
        <v>-1</v>
      </c>
      <c r="D220" s="182"/>
      <c r="E220" s="182"/>
      <c r="F220" s="184"/>
      <c r="G220" s="182"/>
      <c r="H220" s="182"/>
      <c r="I220" s="182"/>
      <c r="J220" s="183"/>
      <c r="K220" s="183"/>
      <c r="L220" s="182"/>
      <c r="N220" s="367">
        <f t="shared" si="10"/>
        <v>0</v>
      </c>
      <c r="O220" s="368">
        <f t="shared" si="11"/>
        <v>0</v>
      </c>
      <c r="P220" s="606"/>
      <c r="Q220" s="606"/>
      <c r="R220" s="606"/>
      <c r="S220" s="606"/>
      <c r="T220" s="606"/>
      <c r="U220" s="606"/>
      <c r="V220" s="606"/>
      <c r="W220" s="606"/>
      <c r="X220" s="606"/>
      <c r="Y220" s="606"/>
      <c r="Z220" s="606"/>
      <c r="AA220" s="606"/>
      <c r="AB220" s="606"/>
      <c r="AC220" s="606"/>
      <c r="AD220" s="606"/>
    </row>
    <row r="221" spans="2:30">
      <c r="B221" s="367">
        <f t="shared" si="9"/>
        <v>-1</v>
      </c>
      <c r="D221" s="182"/>
      <c r="E221" s="182"/>
      <c r="F221" s="184"/>
      <c r="G221" s="182"/>
      <c r="H221" s="182"/>
      <c r="I221" s="182"/>
      <c r="J221" s="183"/>
      <c r="K221" s="183"/>
      <c r="L221" s="182"/>
      <c r="N221" s="367">
        <f t="shared" si="10"/>
        <v>0</v>
      </c>
      <c r="O221" s="368">
        <f t="shared" si="11"/>
        <v>0</v>
      </c>
      <c r="P221" s="606"/>
      <c r="Q221" s="606"/>
      <c r="R221" s="606"/>
      <c r="S221" s="606"/>
      <c r="T221" s="606"/>
      <c r="U221" s="606"/>
      <c r="V221" s="606"/>
      <c r="W221" s="606"/>
      <c r="X221" s="606"/>
      <c r="Y221" s="606"/>
      <c r="Z221" s="606"/>
      <c r="AA221" s="606"/>
      <c r="AB221" s="606"/>
      <c r="AC221" s="606"/>
      <c r="AD221" s="606"/>
    </row>
    <row r="222" spans="2:30">
      <c r="B222" s="367">
        <f t="shared" si="9"/>
        <v>-1</v>
      </c>
      <c r="D222" s="182"/>
      <c r="E222" s="182"/>
      <c r="F222" s="184"/>
      <c r="G222" s="182"/>
      <c r="H222" s="182"/>
      <c r="I222" s="182"/>
      <c r="J222" s="183"/>
      <c r="K222" s="183"/>
      <c r="L222" s="182"/>
      <c r="N222" s="367">
        <f t="shared" si="10"/>
        <v>0</v>
      </c>
      <c r="O222" s="368">
        <f t="shared" si="11"/>
        <v>0</v>
      </c>
      <c r="P222" s="606"/>
      <c r="Q222" s="606"/>
      <c r="R222" s="606"/>
      <c r="S222" s="606"/>
      <c r="T222" s="606"/>
      <c r="U222" s="606"/>
      <c r="V222" s="606"/>
      <c r="W222" s="606"/>
      <c r="X222" s="606"/>
      <c r="Y222" s="606"/>
      <c r="Z222" s="606"/>
      <c r="AA222" s="606"/>
      <c r="AB222" s="606"/>
      <c r="AC222" s="606"/>
      <c r="AD222" s="606"/>
    </row>
    <row r="223" spans="2:30">
      <c r="B223" s="367">
        <f t="shared" si="9"/>
        <v>-1</v>
      </c>
      <c r="D223" s="182"/>
      <c r="E223" s="182"/>
      <c r="F223" s="184"/>
      <c r="G223" s="182"/>
      <c r="H223" s="182"/>
      <c r="I223" s="182"/>
      <c r="J223" s="183"/>
      <c r="K223" s="183"/>
      <c r="L223" s="182"/>
      <c r="N223" s="367">
        <f t="shared" si="10"/>
        <v>0</v>
      </c>
      <c r="O223" s="368">
        <f t="shared" si="11"/>
        <v>0</v>
      </c>
      <c r="P223" s="606"/>
      <c r="Q223" s="606"/>
      <c r="R223" s="606"/>
      <c r="S223" s="606"/>
      <c r="T223" s="606"/>
      <c r="U223" s="606"/>
      <c r="V223" s="606"/>
      <c r="W223" s="606"/>
      <c r="X223" s="606"/>
      <c r="Y223" s="606"/>
      <c r="Z223" s="606"/>
      <c r="AA223" s="606"/>
      <c r="AB223" s="606"/>
      <c r="AC223" s="606"/>
      <c r="AD223" s="606"/>
    </row>
    <row r="224" spans="2:30">
      <c r="B224" s="367">
        <f t="shared" si="9"/>
        <v>-1</v>
      </c>
      <c r="D224" s="182"/>
      <c r="E224" s="182"/>
      <c r="F224" s="184"/>
      <c r="G224" s="182"/>
      <c r="H224" s="182"/>
      <c r="I224" s="182"/>
      <c r="J224" s="183"/>
      <c r="K224" s="183"/>
      <c r="L224" s="182"/>
      <c r="N224" s="367">
        <f t="shared" si="10"/>
        <v>0</v>
      </c>
      <c r="O224" s="368">
        <f t="shared" si="11"/>
        <v>0</v>
      </c>
      <c r="P224" s="606"/>
      <c r="Q224" s="606"/>
      <c r="R224" s="606"/>
      <c r="S224" s="606"/>
      <c r="T224" s="606"/>
      <c r="U224" s="606"/>
      <c r="V224" s="606"/>
      <c r="W224" s="606"/>
      <c r="X224" s="606"/>
      <c r="Y224" s="606"/>
      <c r="Z224" s="606"/>
      <c r="AA224" s="606"/>
      <c r="AB224" s="606"/>
      <c r="AC224" s="606"/>
      <c r="AD224" s="606"/>
    </row>
    <row r="225" spans="2:30">
      <c r="B225" s="367">
        <f t="shared" si="9"/>
        <v>-1</v>
      </c>
      <c r="D225" s="182"/>
      <c r="E225" s="182"/>
      <c r="F225" s="184"/>
      <c r="G225" s="182"/>
      <c r="H225" s="182"/>
      <c r="I225" s="182"/>
      <c r="J225" s="183"/>
      <c r="K225" s="183"/>
      <c r="L225" s="182"/>
      <c r="N225" s="367">
        <f t="shared" si="10"/>
        <v>0</v>
      </c>
      <c r="O225" s="368">
        <f t="shared" si="11"/>
        <v>0</v>
      </c>
      <c r="P225" s="606"/>
      <c r="Q225" s="606"/>
      <c r="R225" s="606"/>
      <c r="S225" s="606"/>
      <c r="T225" s="606"/>
      <c r="U225" s="606"/>
      <c r="V225" s="606"/>
      <c r="W225" s="606"/>
      <c r="X225" s="606"/>
      <c r="Y225" s="606"/>
      <c r="Z225" s="606"/>
      <c r="AA225" s="606"/>
      <c r="AB225" s="606"/>
      <c r="AC225" s="606"/>
      <c r="AD225" s="606"/>
    </row>
    <row r="226" spans="2:30">
      <c r="B226" s="367">
        <f t="shared" si="9"/>
        <v>-1</v>
      </c>
      <c r="D226" s="182"/>
      <c r="E226" s="182"/>
      <c r="F226" s="184"/>
      <c r="G226" s="182"/>
      <c r="H226" s="182"/>
      <c r="I226" s="182"/>
      <c r="J226" s="183"/>
      <c r="K226" s="183"/>
      <c r="L226" s="182"/>
      <c r="N226" s="367">
        <f t="shared" si="10"/>
        <v>0</v>
      </c>
      <c r="O226" s="368">
        <f t="shared" si="11"/>
        <v>0</v>
      </c>
      <c r="P226" s="606"/>
      <c r="Q226" s="606"/>
      <c r="R226" s="606"/>
      <c r="S226" s="606"/>
      <c r="T226" s="606"/>
      <c r="U226" s="606"/>
      <c r="V226" s="606"/>
      <c r="W226" s="606"/>
      <c r="X226" s="606"/>
      <c r="Y226" s="606"/>
      <c r="Z226" s="606"/>
      <c r="AA226" s="606"/>
      <c r="AB226" s="606"/>
      <c r="AC226" s="606"/>
      <c r="AD226" s="606"/>
    </row>
    <row r="227" spans="2:30">
      <c r="B227" s="367">
        <f t="shared" si="9"/>
        <v>-1</v>
      </c>
      <c r="D227" s="182"/>
      <c r="E227" s="182"/>
      <c r="F227" s="184"/>
      <c r="G227" s="182"/>
      <c r="H227" s="182"/>
      <c r="I227" s="182"/>
      <c r="J227" s="183"/>
      <c r="K227" s="183"/>
      <c r="L227" s="182"/>
      <c r="N227" s="367">
        <f t="shared" si="10"/>
        <v>0</v>
      </c>
      <c r="O227" s="368">
        <f t="shared" si="11"/>
        <v>0</v>
      </c>
      <c r="P227" s="606"/>
      <c r="Q227" s="606"/>
      <c r="R227" s="606"/>
      <c r="S227" s="606"/>
      <c r="T227" s="606"/>
      <c r="U227" s="606"/>
      <c r="V227" s="606"/>
      <c r="W227" s="606"/>
      <c r="X227" s="606"/>
      <c r="Y227" s="606"/>
      <c r="Z227" s="606"/>
      <c r="AA227" s="606"/>
      <c r="AB227" s="606"/>
      <c r="AC227" s="606"/>
      <c r="AD227" s="606"/>
    </row>
    <row r="228" spans="2:30">
      <c r="B228" s="367">
        <f t="shared" si="9"/>
        <v>-1</v>
      </c>
      <c r="D228" s="182"/>
      <c r="E228" s="182"/>
      <c r="F228" s="184"/>
      <c r="G228" s="182"/>
      <c r="H228" s="182"/>
      <c r="I228" s="182"/>
      <c r="J228" s="183"/>
      <c r="K228" s="183"/>
      <c r="L228" s="182"/>
      <c r="N228" s="367">
        <f t="shared" si="10"/>
        <v>0</v>
      </c>
      <c r="O228" s="368">
        <f t="shared" si="11"/>
        <v>0</v>
      </c>
      <c r="P228" s="606"/>
      <c r="Q228" s="606"/>
      <c r="R228" s="606"/>
      <c r="S228" s="606"/>
      <c r="T228" s="606"/>
      <c r="U228" s="606"/>
      <c r="V228" s="606"/>
      <c r="W228" s="606"/>
      <c r="X228" s="606"/>
      <c r="Y228" s="606"/>
      <c r="Z228" s="606"/>
      <c r="AA228" s="606"/>
      <c r="AB228" s="606"/>
      <c r="AC228" s="606"/>
      <c r="AD228" s="606"/>
    </row>
    <row r="229" spans="2:30">
      <c r="B229" s="367">
        <f t="shared" si="9"/>
        <v>-1</v>
      </c>
      <c r="D229" s="182"/>
      <c r="E229" s="182"/>
      <c r="F229" s="184"/>
      <c r="G229" s="182"/>
      <c r="H229" s="182"/>
      <c r="I229" s="182"/>
      <c r="J229" s="183"/>
      <c r="K229" s="183"/>
      <c r="L229" s="182"/>
      <c r="N229" s="367">
        <f t="shared" si="10"/>
        <v>0</v>
      </c>
      <c r="O229" s="368">
        <f t="shared" si="11"/>
        <v>0</v>
      </c>
      <c r="P229" s="606"/>
      <c r="Q229" s="606"/>
      <c r="R229" s="606"/>
      <c r="S229" s="606"/>
      <c r="T229" s="606"/>
      <c r="U229" s="606"/>
      <c r="V229" s="606"/>
      <c r="W229" s="606"/>
      <c r="X229" s="606"/>
      <c r="Y229" s="606"/>
      <c r="Z229" s="606"/>
      <c r="AA229" s="606"/>
      <c r="AB229" s="606"/>
      <c r="AC229" s="606"/>
      <c r="AD229" s="606"/>
    </row>
    <row r="230" spans="2:30">
      <c r="B230" s="367">
        <f t="shared" si="9"/>
        <v>-1</v>
      </c>
      <c r="D230" s="182"/>
      <c r="E230" s="182"/>
      <c r="F230" s="184"/>
      <c r="G230" s="182"/>
      <c r="H230" s="182"/>
      <c r="I230" s="182"/>
      <c r="J230" s="183"/>
      <c r="K230" s="183"/>
      <c r="L230" s="182"/>
      <c r="N230" s="367">
        <f t="shared" si="10"/>
        <v>0</v>
      </c>
      <c r="O230" s="368">
        <f t="shared" si="11"/>
        <v>0</v>
      </c>
      <c r="P230" s="606"/>
      <c r="Q230" s="606"/>
      <c r="R230" s="606"/>
      <c r="S230" s="606"/>
      <c r="T230" s="606"/>
      <c r="U230" s="606"/>
      <c r="V230" s="606"/>
      <c r="W230" s="606"/>
      <c r="X230" s="606"/>
      <c r="Y230" s="606"/>
      <c r="Z230" s="606"/>
      <c r="AA230" s="606"/>
      <c r="AB230" s="606"/>
      <c r="AC230" s="606"/>
      <c r="AD230" s="606"/>
    </row>
    <row r="231" spans="2:30">
      <c r="B231" s="367">
        <f t="shared" si="9"/>
        <v>-1</v>
      </c>
      <c r="D231" s="182"/>
      <c r="E231" s="182"/>
      <c r="F231" s="184"/>
      <c r="G231" s="182"/>
      <c r="H231" s="182"/>
      <c r="I231" s="182"/>
      <c r="J231" s="183"/>
      <c r="K231" s="183"/>
      <c r="L231" s="182"/>
      <c r="N231" s="367">
        <f t="shared" si="10"/>
        <v>0</v>
      </c>
      <c r="O231" s="368">
        <f t="shared" si="11"/>
        <v>0</v>
      </c>
      <c r="P231" s="606"/>
      <c r="Q231" s="606"/>
      <c r="R231" s="606"/>
      <c r="S231" s="606"/>
      <c r="T231" s="606"/>
      <c r="U231" s="606"/>
      <c r="V231" s="606"/>
      <c r="W231" s="606"/>
      <c r="X231" s="606"/>
      <c r="Y231" s="606"/>
      <c r="Z231" s="606"/>
      <c r="AA231" s="606"/>
      <c r="AB231" s="606"/>
      <c r="AC231" s="606"/>
      <c r="AD231" s="606"/>
    </row>
    <row r="232" spans="2:30">
      <c r="B232" s="367">
        <f t="shared" si="9"/>
        <v>-1</v>
      </c>
      <c r="D232" s="182"/>
      <c r="E232" s="182"/>
      <c r="F232" s="184"/>
      <c r="G232" s="182"/>
      <c r="H232" s="182"/>
      <c r="I232" s="182"/>
      <c r="J232" s="183"/>
      <c r="K232" s="183"/>
      <c r="L232" s="182"/>
      <c r="N232" s="367">
        <f t="shared" si="10"/>
        <v>0</v>
      </c>
      <c r="O232" s="368">
        <f t="shared" si="11"/>
        <v>0</v>
      </c>
      <c r="P232" s="606"/>
      <c r="Q232" s="606"/>
      <c r="R232" s="606"/>
      <c r="S232" s="606"/>
      <c r="T232" s="606"/>
      <c r="U232" s="606"/>
      <c r="V232" s="606"/>
      <c r="W232" s="606"/>
      <c r="X232" s="606"/>
      <c r="Y232" s="606"/>
      <c r="Z232" s="606"/>
      <c r="AA232" s="606"/>
      <c r="AB232" s="606"/>
      <c r="AC232" s="606"/>
      <c r="AD232" s="606"/>
    </row>
    <row r="233" spans="2:30">
      <c r="B233" s="367">
        <f t="shared" si="9"/>
        <v>-1</v>
      </c>
      <c r="D233" s="182"/>
      <c r="E233" s="182"/>
      <c r="F233" s="184"/>
      <c r="G233" s="182"/>
      <c r="H233" s="182"/>
      <c r="I233" s="182"/>
      <c r="J233" s="183"/>
      <c r="K233" s="183"/>
      <c r="L233" s="182"/>
      <c r="N233" s="367">
        <f t="shared" si="10"/>
        <v>0</v>
      </c>
      <c r="O233" s="368">
        <f t="shared" si="11"/>
        <v>0</v>
      </c>
      <c r="P233" s="606"/>
      <c r="Q233" s="606"/>
      <c r="R233" s="606"/>
      <c r="S233" s="606"/>
      <c r="T233" s="606"/>
      <c r="U233" s="606"/>
      <c r="V233" s="606"/>
      <c r="W233" s="606"/>
      <c r="X233" s="606"/>
      <c r="Y233" s="606"/>
      <c r="Z233" s="606"/>
      <c r="AA233" s="606"/>
      <c r="AB233" s="606"/>
      <c r="AC233" s="606"/>
      <c r="AD233" s="606"/>
    </row>
    <row r="234" spans="2:30">
      <c r="B234" s="367">
        <f t="shared" si="9"/>
        <v>-1</v>
      </c>
      <c r="D234" s="182"/>
      <c r="E234" s="182"/>
      <c r="F234" s="184"/>
      <c r="G234" s="182"/>
      <c r="H234" s="182"/>
      <c r="I234" s="182"/>
      <c r="J234" s="183"/>
      <c r="K234" s="183"/>
      <c r="L234" s="182"/>
      <c r="N234" s="367">
        <f t="shared" si="10"/>
        <v>0</v>
      </c>
      <c r="O234" s="368">
        <f t="shared" si="11"/>
        <v>0</v>
      </c>
      <c r="P234" s="606"/>
      <c r="Q234" s="606"/>
      <c r="R234" s="606"/>
      <c r="S234" s="606"/>
      <c r="T234" s="606"/>
      <c r="U234" s="606"/>
      <c r="V234" s="606"/>
      <c r="W234" s="606"/>
      <c r="X234" s="606"/>
      <c r="Y234" s="606"/>
      <c r="Z234" s="606"/>
      <c r="AA234" s="606"/>
      <c r="AB234" s="606"/>
      <c r="AC234" s="606"/>
      <c r="AD234" s="606"/>
    </row>
    <row r="235" spans="2:30">
      <c r="B235" s="367">
        <f t="shared" si="9"/>
        <v>-1</v>
      </c>
      <c r="D235" s="182"/>
      <c r="E235" s="182"/>
      <c r="F235" s="184"/>
      <c r="G235" s="182"/>
      <c r="H235" s="182"/>
      <c r="I235" s="182"/>
      <c r="J235" s="183"/>
      <c r="K235" s="183"/>
      <c r="L235" s="182"/>
      <c r="N235" s="367">
        <f t="shared" si="10"/>
        <v>0</v>
      </c>
      <c r="O235" s="368">
        <f t="shared" si="11"/>
        <v>0</v>
      </c>
      <c r="P235" s="606"/>
      <c r="Q235" s="606"/>
      <c r="R235" s="606"/>
      <c r="S235" s="606"/>
      <c r="T235" s="606"/>
      <c r="U235" s="606"/>
      <c r="V235" s="606"/>
      <c r="W235" s="606"/>
      <c r="X235" s="606"/>
      <c r="Y235" s="606"/>
      <c r="Z235" s="606"/>
      <c r="AA235" s="606"/>
      <c r="AB235" s="606"/>
      <c r="AC235" s="606"/>
      <c r="AD235" s="606"/>
    </row>
    <row r="236" spans="2:30">
      <c r="B236" s="367">
        <f t="shared" si="9"/>
        <v>-1</v>
      </c>
      <c r="D236" s="182"/>
      <c r="E236" s="182"/>
      <c r="F236" s="184"/>
      <c r="G236" s="182"/>
      <c r="H236" s="182"/>
      <c r="I236" s="182"/>
      <c r="J236" s="183"/>
      <c r="K236" s="183"/>
      <c r="L236" s="182"/>
      <c r="N236" s="367">
        <f t="shared" si="10"/>
        <v>0</v>
      </c>
      <c r="O236" s="368">
        <f t="shared" si="11"/>
        <v>0</v>
      </c>
      <c r="P236" s="606"/>
      <c r="Q236" s="606"/>
      <c r="R236" s="606"/>
      <c r="S236" s="606"/>
      <c r="T236" s="606"/>
      <c r="U236" s="606"/>
      <c r="V236" s="606"/>
      <c r="W236" s="606"/>
      <c r="X236" s="606"/>
      <c r="Y236" s="606"/>
      <c r="Z236" s="606"/>
      <c r="AA236" s="606"/>
      <c r="AB236" s="606"/>
      <c r="AC236" s="606"/>
      <c r="AD236" s="606"/>
    </row>
    <row r="237" spans="2:30">
      <c r="B237" s="367">
        <f t="shared" si="9"/>
        <v>-1</v>
      </c>
      <c r="D237" s="182"/>
      <c r="E237" s="182"/>
      <c r="F237" s="184"/>
      <c r="G237" s="182"/>
      <c r="H237" s="182"/>
      <c r="I237" s="182"/>
      <c r="J237" s="183"/>
      <c r="K237" s="183"/>
      <c r="L237" s="182"/>
      <c r="N237" s="367">
        <f t="shared" si="10"/>
        <v>0</v>
      </c>
      <c r="O237" s="368">
        <f t="shared" si="11"/>
        <v>0</v>
      </c>
      <c r="P237" s="606"/>
      <c r="Q237" s="606"/>
      <c r="R237" s="606"/>
      <c r="S237" s="606"/>
      <c r="T237" s="606"/>
      <c r="U237" s="606"/>
      <c r="V237" s="606"/>
      <c r="W237" s="606"/>
      <c r="X237" s="606"/>
      <c r="Y237" s="606"/>
      <c r="Z237" s="606"/>
      <c r="AA237" s="606"/>
      <c r="AB237" s="606"/>
      <c r="AC237" s="606"/>
      <c r="AD237" s="606"/>
    </row>
    <row r="238" spans="2:30">
      <c r="B238" s="367">
        <f t="shared" si="9"/>
        <v>-1</v>
      </c>
      <c r="D238" s="182"/>
      <c r="E238" s="182"/>
      <c r="F238" s="184"/>
      <c r="G238" s="182"/>
      <c r="H238" s="182"/>
      <c r="I238" s="182"/>
      <c r="J238" s="183"/>
      <c r="K238" s="183"/>
      <c r="L238" s="182"/>
      <c r="N238" s="367">
        <f t="shared" si="10"/>
        <v>0</v>
      </c>
      <c r="O238" s="368">
        <f t="shared" si="11"/>
        <v>0</v>
      </c>
      <c r="P238" s="606"/>
      <c r="Q238" s="606"/>
      <c r="R238" s="606"/>
      <c r="S238" s="606"/>
      <c r="T238" s="606"/>
      <c r="U238" s="606"/>
      <c r="V238" s="606"/>
      <c r="W238" s="606"/>
      <c r="X238" s="606"/>
      <c r="Y238" s="606"/>
      <c r="Z238" s="606"/>
      <c r="AA238" s="606"/>
      <c r="AB238" s="606"/>
      <c r="AC238" s="606"/>
      <c r="AD238" s="606"/>
    </row>
    <row r="239" spans="2:30">
      <c r="B239" s="367">
        <f t="shared" si="9"/>
        <v>-1</v>
      </c>
      <c r="D239" s="182"/>
      <c r="E239" s="182"/>
      <c r="F239" s="184"/>
      <c r="G239" s="182"/>
      <c r="H239" s="182"/>
      <c r="I239" s="182"/>
      <c r="J239" s="183"/>
      <c r="K239" s="183"/>
      <c r="L239" s="182"/>
      <c r="N239" s="367">
        <f t="shared" si="10"/>
        <v>0</v>
      </c>
      <c r="O239" s="368">
        <f t="shared" si="11"/>
        <v>0</v>
      </c>
      <c r="P239" s="606"/>
      <c r="Q239" s="606"/>
      <c r="R239" s="606"/>
      <c r="S239" s="606"/>
      <c r="T239" s="606"/>
      <c r="U239" s="606"/>
      <c r="V239" s="606"/>
      <c r="W239" s="606"/>
      <c r="X239" s="606"/>
      <c r="Y239" s="606"/>
      <c r="Z239" s="606"/>
      <c r="AA239" s="606"/>
      <c r="AB239" s="606"/>
      <c r="AC239" s="606"/>
      <c r="AD239" s="606"/>
    </row>
    <row r="240" spans="2:30">
      <c r="B240" s="367">
        <f t="shared" si="9"/>
        <v>-1</v>
      </c>
      <c r="D240" s="182"/>
      <c r="E240" s="182"/>
      <c r="F240" s="184"/>
      <c r="G240" s="182"/>
      <c r="H240" s="182"/>
      <c r="I240" s="182"/>
      <c r="J240" s="183"/>
      <c r="K240" s="183"/>
      <c r="L240" s="182"/>
      <c r="N240" s="367">
        <f t="shared" si="10"/>
        <v>0</v>
      </c>
      <c r="O240" s="368">
        <f t="shared" si="11"/>
        <v>0</v>
      </c>
      <c r="P240" s="606"/>
      <c r="Q240" s="606"/>
      <c r="R240" s="606"/>
      <c r="S240" s="606"/>
      <c r="T240" s="606"/>
      <c r="U240" s="606"/>
      <c r="V240" s="606"/>
      <c r="W240" s="606"/>
      <c r="X240" s="606"/>
      <c r="Y240" s="606"/>
      <c r="Z240" s="606"/>
      <c r="AA240" s="606"/>
      <c r="AB240" s="606"/>
      <c r="AC240" s="606"/>
      <c r="AD240" s="606"/>
    </row>
    <row r="241" spans="2:30">
      <c r="B241" s="367">
        <f t="shared" si="9"/>
        <v>-1</v>
      </c>
      <c r="D241" s="182"/>
      <c r="E241" s="182"/>
      <c r="F241" s="184"/>
      <c r="G241" s="182"/>
      <c r="H241" s="182"/>
      <c r="I241" s="182"/>
      <c r="J241" s="183"/>
      <c r="K241" s="183"/>
      <c r="L241" s="182"/>
      <c r="N241" s="367">
        <f t="shared" si="10"/>
        <v>0</v>
      </c>
      <c r="O241" s="368">
        <f t="shared" si="11"/>
        <v>0</v>
      </c>
      <c r="P241" s="606"/>
      <c r="Q241" s="606"/>
      <c r="R241" s="606"/>
      <c r="S241" s="606"/>
      <c r="T241" s="606"/>
      <c r="U241" s="606"/>
      <c r="V241" s="606"/>
      <c r="W241" s="606"/>
      <c r="X241" s="606"/>
      <c r="Y241" s="606"/>
      <c r="Z241" s="606"/>
      <c r="AA241" s="606"/>
      <c r="AB241" s="606"/>
      <c r="AC241" s="606"/>
      <c r="AD241" s="606"/>
    </row>
    <row r="242" spans="2:30">
      <c r="B242" s="367">
        <f t="shared" si="9"/>
        <v>-1</v>
      </c>
      <c r="D242" s="182"/>
      <c r="E242" s="182"/>
      <c r="F242" s="184"/>
      <c r="G242" s="182"/>
      <c r="H242" s="182"/>
      <c r="I242" s="182"/>
      <c r="J242" s="183"/>
      <c r="K242" s="183"/>
      <c r="L242" s="182"/>
      <c r="N242" s="367">
        <f t="shared" si="10"/>
        <v>0</v>
      </c>
      <c r="O242" s="368">
        <f t="shared" si="11"/>
        <v>0</v>
      </c>
      <c r="P242" s="606"/>
      <c r="Q242" s="606"/>
      <c r="R242" s="606"/>
      <c r="S242" s="606"/>
      <c r="T242" s="606"/>
      <c r="U242" s="606"/>
      <c r="V242" s="606"/>
      <c r="W242" s="606"/>
      <c r="X242" s="606"/>
      <c r="Y242" s="606"/>
      <c r="Z242" s="606"/>
      <c r="AA242" s="606"/>
      <c r="AB242" s="606"/>
      <c r="AC242" s="606"/>
      <c r="AD242" s="606"/>
    </row>
    <row r="243" spans="2:30">
      <c r="B243" s="367">
        <f t="shared" si="9"/>
        <v>-1</v>
      </c>
      <c r="D243" s="182"/>
      <c r="E243" s="182"/>
      <c r="F243" s="184"/>
      <c r="G243" s="182"/>
      <c r="H243" s="182"/>
      <c r="I243" s="182"/>
      <c r="J243" s="183"/>
      <c r="K243" s="183"/>
      <c r="L243" s="182"/>
      <c r="N243" s="367">
        <f t="shared" si="10"/>
        <v>0</v>
      </c>
      <c r="O243" s="368">
        <f t="shared" si="11"/>
        <v>0</v>
      </c>
      <c r="P243" s="606"/>
      <c r="Q243" s="606"/>
      <c r="R243" s="606"/>
      <c r="S243" s="606"/>
      <c r="T243" s="606"/>
      <c r="U243" s="606"/>
      <c r="V243" s="606"/>
      <c r="W243" s="606"/>
      <c r="X243" s="606"/>
      <c r="Y243" s="606"/>
      <c r="Z243" s="606"/>
      <c r="AA243" s="606"/>
      <c r="AB243" s="606"/>
      <c r="AC243" s="606"/>
      <c r="AD243" s="606"/>
    </row>
    <row r="244" spans="2:30">
      <c r="B244" s="367">
        <f t="shared" si="9"/>
        <v>-1</v>
      </c>
      <c r="D244" s="182"/>
      <c r="E244" s="182"/>
      <c r="F244" s="184"/>
      <c r="G244" s="182"/>
      <c r="H244" s="182"/>
      <c r="I244" s="182"/>
      <c r="J244" s="183"/>
      <c r="K244" s="183"/>
      <c r="L244" s="182"/>
      <c r="N244" s="367">
        <f t="shared" si="10"/>
        <v>0</v>
      </c>
      <c r="O244" s="368">
        <f t="shared" si="11"/>
        <v>0</v>
      </c>
      <c r="P244" s="606"/>
      <c r="Q244" s="606"/>
      <c r="R244" s="606"/>
      <c r="S244" s="606"/>
      <c r="T244" s="606"/>
      <c r="U244" s="606"/>
      <c r="V244" s="606"/>
      <c r="W244" s="606"/>
      <c r="X244" s="606"/>
      <c r="Y244" s="606"/>
      <c r="Z244" s="606"/>
      <c r="AA244" s="606"/>
      <c r="AB244" s="606"/>
      <c r="AC244" s="606"/>
      <c r="AD244" s="606"/>
    </row>
    <row r="245" spans="2:30">
      <c r="B245" s="367">
        <f t="shared" si="9"/>
        <v>-1</v>
      </c>
      <c r="D245" s="182"/>
      <c r="E245" s="182"/>
      <c r="F245" s="184"/>
      <c r="G245" s="182"/>
      <c r="H245" s="182"/>
      <c r="I245" s="182"/>
      <c r="J245" s="183"/>
      <c r="K245" s="183"/>
      <c r="L245" s="182"/>
      <c r="N245" s="367">
        <f t="shared" si="10"/>
        <v>0</v>
      </c>
      <c r="O245" s="368">
        <f t="shared" si="11"/>
        <v>0</v>
      </c>
      <c r="P245" s="606"/>
      <c r="Q245" s="606"/>
      <c r="R245" s="606"/>
      <c r="S245" s="606"/>
      <c r="T245" s="606"/>
      <c r="U245" s="606"/>
      <c r="V245" s="606"/>
      <c r="W245" s="606"/>
      <c r="X245" s="606"/>
      <c r="Y245" s="606"/>
      <c r="Z245" s="606"/>
      <c r="AA245" s="606"/>
      <c r="AB245" s="606"/>
      <c r="AC245" s="606"/>
      <c r="AD245" s="606"/>
    </row>
    <row r="246" spans="2:30">
      <c r="B246" s="367">
        <f t="shared" si="9"/>
        <v>-1</v>
      </c>
      <c r="D246" s="182"/>
      <c r="E246" s="182"/>
      <c r="F246" s="184"/>
      <c r="G246" s="182"/>
      <c r="H246" s="182"/>
      <c r="I246" s="182"/>
      <c r="J246" s="183"/>
      <c r="K246" s="183"/>
      <c r="L246" s="182"/>
      <c r="N246" s="367">
        <f t="shared" si="10"/>
        <v>0</v>
      </c>
      <c r="O246" s="368">
        <f t="shared" si="11"/>
        <v>0</v>
      </c>
      <c r="P246" s="606"/>
      <c r="Q246" s="606"/>
      <c r="R246" s="606"/>
      <c r="S246" s="606"/>
      <c r="T246" s="606"/>
      <c r="U246" s="606"/>
      <c r="V246" s="606"/>
      <c r="W246" s="606"/>
      <c r="X246" s="606"/>
      <c r="Y246" s="606"/>
      <c r="Z246" s="606"/>
      <c r="AA246" s="606"/>
      <c r="AB246" s="606"/>
      <c r="AC246" s="606"/>
      <c r="AD246" s="606"/>
    </row>
    <row r="247" spans="2:30">
      <c r="B247" s="367">
        <f t="shared" si="9"/>
        <v>-1</v>
      </c>
      <c r="D247" s="182"/>
      <c r="E247" s="182"/>
      <c r="F247" s="184"/>
      <c r="G247" s="182"/>
      <c r="H247" s="182"/>
      <c r="I247" s="182"/>
      <c r="J247" s="183"/>
      <c r="K247" s="183"/>
      <c r="L247" s="182"/>
      <c r="N247" s="367">
        <f t="shared" si="10"/>
        <v>0</v>
      </c>
      <c r="O247" s="368">
        <f t="shared" si="11"/>
        <v>0</v>
      </c>
      <c r="P247" s="606"/>
      <c r="Q247" s="606"/>
      <c r="R247" s="606"/>
      <c r="S247" s="606"/>
      <c r="T247" s="606"/>
      <c r="U247" s="606"/>
      <c r="V247" s="606"/>
      <c r="W247" s="606"/>
      <c r="X247" s="606"/>
      <c r="Y247" s="606"/>
      <c r="Z247" s="606"/>
      <c r="AA247" s="606"/>
      <c r="AB247" s="606"/>
      <c r="AC247" s="606"/>
      <c r="AD247" s="606"/>
    </row>
    <row r="248" spans="2:30">
      <c r="B248" s="367">
        <f t="shared" si="9"/>
        <v>-1</v>
      </c>
      <c r="D248" s="182"/>
      <c r="E248" s="182"/>
      <c r="F248" s="184"/>
      <c r="G248" s="182"/>
      <c r="H248" s="182"/>
      <c r="I248" s="182"/>
      <c r="J248" s="183"/>
      <c r="K248" s="183"/>
      <c r="L248" s="182"/>
      <c r="N248" s="367">
        <f t="shared" si="10"/>
        <v>0</v>
      </c>
      <c r="O248" s="368">
        <f t="shared" si="11"/>
        <v>0</v>
      </c>
      <c r="P248" s="606"/>
      <c r="Q248" s="606"/>
      <c r="R248" s="606"/>
      <c r="S248" s="606"/>
      <c r="T248" s="606"/>
      <c r="U248" s="606"/>
      <c r="V248" s="606"/>
      <c r="W248" s="606"/>
      <c r="X248" s="606"/>
      <c r="Y248" s="606"/>
      <c r="Z248" s="606"/>
      <c r="AA248" s="606"/>
      <c r="AB248" s="606"/>
      <c r="AC248" s="606"/>
      <c r="AD248" s="606"/>
    </row>
    <row r="249" spans="2:30">
      <c r="B249" s="367">
        <f t="shared" si="9"/>
        <v>-1</v>
      </c>
      <c r="D249" s="182"/>
      <c r="E249" s="182"/>
      <c r="F249" s="184"/>
      <c r="G249" s="182"/>
      <c r="H249" s="182"/>
      <c r="I249" s="182"/>
      <c r="J249" s="183"/>
      <c r="K249" s="183"/>
      <c r="L249" s="182"/>
      <c r="N249" s="367">
        <f t="shared" si="10"/>
        <v>0</v>
      </c>
      <c r="O249" s="368">
        <f t="shared" si="11"/>
        <v>0</v>
      </c>
      <c r="P249" s="606"/>
      <c r="Q249" s="606"/>
      <c r="R249" s="606"/>
      <c r="S249" s="606"/>
      <c r="T249" s="606"/>
      <c r="U249" s="606"/>
      <c r="V249" s="606"/>
      <c r="W249" s="606"/>
      <c r="X249" s="606"/>
      <c r="Y249" s="606"/>
      <c r="Z249" s="606"/>
      <c r="AA249" s="606"/>
      <c r="AB249" s="606"/>
      <c r="AC249" s="606"/>
      <c r="AD249" s="606"/>
    </row>
    <row r="250" spans="2:30">
      <c r="B250" s="367">
        <f t="shared" si="9"/>
        <v>-1</v>
      </c>
      <c r="D250" s="182"/>
      <c r="E250" s="182"/>
      <c r="F250" s="184"/>
      <c r="G250" s="182"/>
      <c r="H250" s="182"/>
      <c r="I250" s="182"/>
      <c r="J250" s="183"/>
      <c r="K250" s="183"/>
      <c r="L250" s="182"/>
      <c r="N250" s="367">
        <f t="shared" si="10"/>
        <v>0</v>
      </c>
      <c r="O250" s="368">
        <f t="shared" si="11"/>
        <v>0</v>
      </c>
      <c r="P250" s="606"/>
      <c r="Q250" s="606"/>
      <c r="R250" s="606"/>
      <c r="S250" s="606"/>
      <c r="T250" s="606"/>
      <c r="U250" s="606"/>
      <c r="V250" s="606"/>
      <c r="W250" s="606"/>
      <c r="X250" s="606"/>
      <c r="Y250" s="606"/>
      <c r="Z250" s="606"/>
      <c r="AA250" s="606"/>
      <c r="AB250" s="606"/>
      <c r="AC250" s="606"/>
      <c r="AD250" s="606"/>
    </row>
    <row r="251" spans="2:30">
      <c r="B251" s="367">
        <f t="shared" si="9"/>
        <v>-1</v>
      </c>
      <c r="D251" s="182"/>
      <c r="E251" s="182"/>
      <c r="F251" s="184"/>
      <c r="G251" s="182"/>
      <c r="H251" s="182"/>
      <c r="I251" s="182"/>
      <c r="J251" s="183"/>
      <c r="K251" s="183"/>
      <c r="L251" s="182"/>
      <c r="N251" s="367">
        <f t="shared" si="10"/>
        <v>0</v>
      </c>
      <c r="O251" s="368">
        <f t="shared" si="11"/>
        <v>0</v>
      </c>
      <c r="P251" s="606"/>
      <c r="Q251" s="606"/>
      <c r="R251" s="606"/>
      <c r="S251" s="606"/>
      <c r="T251" s="606"/>
      <c r="U251" s="606"/>
      <c r="V251" s="606"/>
      <c r="W251" s="606"/>
      <c r="X251" s="606"/>
      <c r="Y251" s="606"/>
      <c r="Z251" s="606"/>
      <c r="AA251" s="606"/>
      <c r="AB251" s="606"/>
      <c r="AC251" s="606"/>
      <c r="AD251" s="606"/>
    </row>
    <row r="252" spans="2:30">
      <c r="B252" s="367">
        <f t="shared" si="9"/>
        <v>-1</v>
      </c>
      <c r="D252" s="182"/>
      <c r="E252" s="182"/>
      <c r="F252" s="184"/>
      <c r="G252" s="182"/>
      <c r="H252" s="182"/>
      <c r="I252" s="182"/>
      <c r="J252" s="183"/>
      <c r="K252" s="183"/>
      <c r="L252" s="182"/>
      <c r="N252" s="367">
        <f t="shared" si="10"/>
        <v>0</v>
      </c>
      <c r="O252" s="368">
        <f t="shared" si="11"/>
        <v>0</v>
      </c>
      <c r="P252" s="606"/>
      <c r="Q252" s="606"/>
      <c r="R252" s="606"/>
      <c r="S252" s="606"/>
      <c r="T252" s="606"/>
      <c r="U252" s="606"/>
      <c r="V252" s="606"/>
      <c r="W252" s="606"/>
      <c r="X252" s="606"/>
      <c r="Y252" s="606"/>
      <c r="Z252" s="606"/>
      <c r="AA252" s="606"/>
      <c r="AB252" s="606"/>
      <c r="AC252" s="606"/>
      <c r="AD252" s="606"/>
    </row>
    <row r="253" spans="2:30">
      <c r="B253" s="367">
        <f t="shared" si="9"/>
        <v>-1</v>
      </c>
      <c r="D253" s="182"/>
      <c r="E253" s="182"/>
      <c r="F253" s="184"/>
      <c r="G253" s="182"/>
      <c r="H253" s="182"/>
      <c r="I253" s="182"/>
      <c r="J253" s="183"/>
      <c r="K253" s="183"/>
      <c r="L253" s="182"/>
      <c r="N253" s="367">
        <f t="shared" si="10"/>
        <v>0</v>
      </c>
      <c r="O253" s="368">
        <f t="shared" si="11"/>
        <v>0</v>
      </c>
      <c r="P253" s="606"/>
      <c r="Q253" s="606"/>
      <c r="R253" s="606"/>
      <c r="S253" s="606"/>
      <c r="T253" s="606"/>
      <c r="U253" s="606"/>
      <c r="V253" s="606"/>
      <c r="W253" s="606"/>
      <c r="X253" s="606"/>
      <c r="Y253" s="606"/>
      <c r="Z253" s="606"/>
      <c r="AA253" s="606"/>
      <c r="AB253" s="606"/>
      <c r="AC253" s="606"/>
      <c r="AD253" s="606"/>
    </row>
    <row r="254" spans="2:30">
      <c r="B254" s="367">
        <f t="shared" si="9"/>
        <v>-1</v>
      </c>
      <c r="D254" s="182"/>
      <c r="E254" s="182"/>
      <c r="F254" s="184"/>
      <c r="G254" s="182"/>
      <c r="H254" s="182"/>
      <c r="I254" s="182"/>
      <c r="J254" s="183"/>
      <c r="K254" s="183"/>
      <c r="L254" s="182"/>
      <c r="N254" s="367">
        <f t="shared" si="10"/>
        <v>0</v>
      </c>
      <c r="O254" s="368">
        <f t="shared" si="11"/>
        <v>0</v>
      </c>
      <c r="P254" s="606"/>
      <c r="Q254" s="606"/>
      <c r="R254" s="606"/>
      <c r="S254" s="606"/>
      <c r="T254" s="606"/>
      <c r="U254" s="606"/>
      <c r="V254" s="606"/>
      <c r="W254" s="606"/>
      <c r="X254" s="606"/>
      <c r="Y254" s="606"/>
      <c r="Z254" s="606"/>
      <c r="AA254" s="606"/>
      <c r="AB254" s="606"/>
      <c r="AC254" s="606"/>
      <c r="AD254" s="606"/>
    </row>
    <row r="255" spans="2:30">
      <c r="B255" s="367">
        <f t="shared" si="9"/>
        <v>-1</v>
      </c>
      <c r="D255" s="182"/>
      <c r="E255" s="182"/>
      <c r="F255" s="184"/>
      <c r="G255" s="182"/>
      <c r="H255" s="182"/>
      <c r="I255" s="182"/>
      <c r="J255" s="183"/>
      <c r="K255" s="183"/>
      <c r="L255" s="182"/>
      <c r="N255" s="367">
        <f t="shared" si="10"/>
        <v>0</v>
      </c>
      <c r="O255" s="368">
        <f t="shared" si="11"/>
        <v>0</v>
      </c>
      <c r="P255" s="606"/>
      <c r="Q255" s="606"/>
      <c r="R255" s="606"/>
      <c r="S255" s="606"/>
      <c r="T255" s="606"/>
      <c r="U255" s="606"/>
      <c r="V255" s="606"/>
      <c r="W255" s="606"/>
      <c r="X255" s="606"/>
      <c r="Y255" s="606"/>
      <c r="Z255" s="606"/>
      <c r="AA255" s="606"/>
      <c r="AB255" s="606"/>
      <c r="AC255" s="606"/>
      <c r="AD255" s="606"/>
    </row>
    <row r="256" spans="2:30">
      <c r="B256" s="367">
        <f t="shared" si="9"/>
        <v>-1</v>
      </c>
      <c r="D256" s="182"/>
      <c r="E256" s="182"/>
      <c r="F256" s="184"/>
      <c r="G256" s="182"/>
      <c r="H256" s="182"/>
      <c r="I256" s="182"/>
      <c r="J256" s="183"/>
      <c r="K256" s="183"/>
      <c r="L256" s="182"/>
      <c r="N256" s="367">
        <f t="shared" si="10"/>
        <v>0</v>
      </c>
      <c r="O256" s="368">
        <f t="shared" si="11"/>
        <v>0</v>
      </c>
      <c r="P256" s="606"/>
      <c r="Q256" s="606"/>
      <c r="R256" s="606"/>
      <c r="S256" s="606"/>
      <c r="T256" s="606"/>
      <c r="U256" s="606"/>
      <c r="V256" s="606"/>
      <c r="W256" s="606"/>
      <c r="X256" s="606"/>
      <c r="Y256" s="606"/>
      <c r="Z256" s="606"/>
      <c r="AA256" s="606"/>
      <c r="AB256" s="606"/>
      <c r="AC256" s="606"/>
      <c r="AD256" s="606"/>
    </row>
    <row r="257" spans="2:30">
      <c r="B257" s="367">
        <f t="shared" si="9"/>
        <v>-1</v>
      </c>
      <c r="D257" s="182"/>
      <c r="E257" s="182"/>
      <c r="F257" s="184"/>
      <c r="G257" s="182"/>
      <c r="H257" s="182"/>
      <c r="I257" s="182"/>
      <c r="J257" s="183"/>
      <c r="K257" s="183"/>
      <c r="L257" s="182"/>
      <c r="N257" s="367">
        <f t="shared" si="10"/>
        <v>0</v>
      </c>
      <c r="O257" s="368">
        <f t="shared" si="11"/>
        <v>0</v>
      </c>
      <c r="P257" s="606"/>
      <c r="Q257" s="606"/>
      <c r="R257" s="606"/>
      <c r="S257" s="606"/>
      <c r="T257" s="606"/>
      <c r="U257" s="606"/>
      <c r="V257" s="606"/>
      <c r="W257" s="606"/>
      <c r="X257" s="606"/>
      <c r="Y257" s="606"/>
      <c r="Z257" s="606"/>
      <c r="AA257" s="606"/>
      <c r="AB257" s="606"/>
      <c r="AC257" s="606"/>
      <c r="AD257" s="606"/>
    </row>
    <row r="258" spans="2:30">
      <c r="B258" s="367">
        <f t="shared" si="9"/>
        <v>-1</v>
      </c>
      <c r="D258" s="182"/>
      <c r="E258" s="182"/>
      <c r="F258" s="184"/>
      <c r="G258" s="182"/>
      <c r="H258" s="182"/>
      <c r="I258" s="182"/>
      <c r="J258" s="183"/>
      <c r="K258" s="183"/>
      <c r="L258" s="182"/>
      <c r="N258" s="367">
        <f t="shared" si="10"/>
        <v>0</v>
      </c>
      <c r="O258" s="368">
        <f t="shared" si="11"/>
        <v>0</v>
      </c>
      <c r="P258" s="606"/>
      <c r="Q258" s="606"/>
      <c r="R258" s="606"/>
      <c r="S258" s="606"/>
      <c r="T258" s="606"/>
      <c r="U258" s="606"/>
      <c r="V258" s="606"/>
      <c r="W258" s="606"/>
      <c r="X258" s="606"/>
      <c r="Y258" s="606"/>
      <c r="Z258" s="606"/>
      <c r="AA258" s="606"/>
      <c r="AB258" s="606"/>
      <c r="AC258" s="606"/>
      <c r="AD258" s="606"/>
    </row>
    <row r="259" spans="2:30">
      <c r="B259" s="367">
        <f t="shared" si="9"/>
        <v>-1</v>
      </c>
      <c r="D259" s="182"/>
      <c r="E259" s="182"/>
      <c r="F259" s="184"/>
      <c r="G259" s="182"/>
      <c r="H259" s="182"/>
      <c r="I259" s="182"/>
      <c r="J259" s="183"/>
      <c r="K259" s="183"/>
      <c r="L259" s="182"/>
      <c r="N259" s="367">
        <f t="shared" si="10"/>
        <v>0</v>
      </c>
      <c r="O259" s="368">
        <f t="shared" si="11"/>
        <v>0</v>
      </c>
      <c r="P259" s="606"/>
      <c r="Q259" s="606"/>
      <c r="R259" s="606"/>
      <c r="S259" s="606"/>
      <c r="T259" s="606"/>
      <c r="U259" s="606"/>
      <c r="V259" s="606"/>
      <c r="W259" s="606"/>
      <c r="X259" s="606"/>
      <c r="Y259" s="606"/>
      <c r="Z259" s="606"/>
      <c r="AA259" s="606"/>
      <c r="AB259" s="606"/>
      <c r="AC259" s="606"/>
      <c r="AD259" s="606"/>
    </row>
    <row r="260" spans="2:30">
      <c r="B260" s="367">
        <f t="shared" si="9"/>
        <v>-1</v>
      </c>
      <c r="D260" s="182"/>
      <c r="E260" s="182"/>
      <c r="F260" s="184"/>
      <c r="G260" s="182"/>
      <c r="H260" s="182"/>
      <c r="I260" s="182"/>
      <c r="J260" s="183"/>
      <c r="K260" s="183"/>
      <c r="L260" s="182"/>
      <c r="N260" s="367">
        <f t="shared" si="10"/>
        <v>0</v>
      </c>
      <c r="O260" s="368">
        <f t="shared" si="11"/>
        <v>0</v>
      </c>
      <c r="P260" s="606"/>
      <c r="Q260" s="606"/>
      <c r="R260" s="606"/>
      <c r="S260" s="606"/>
      <c r="T260" s="606"/>
      <c r="U260" s="606"/>
      <c r="V260" s="606"/>
      <c r="W260" s="606"/>
      <c r="X260" s="606"/>
      <c r="Y260" s="606"/>
      <c r="Z260" s="606"/>
      <c r="AA260" s="606"/>
      <c r="AB260" s="606"/>
      <c r="AC260" s="606"/>
      <c r="AD260" s="606"/>
    </row>
    <row r="261" spans="2:30">
      <c r="B261" s="367">
        <f t="shared" si="9"/>
        <v>-1</v>
      </c>
      <c r="D261" s="182"/>
      <c r="E261" s="182"/>
      <c r="F261" s="184"/>
      <c r="G261" s="182"/>
      <c r="H261" s="182"/>
      <c r="I261" s="182"/>
      <c r="J261" s="183"/>
      <c r="K261" s="183"/>
      <c r="L261" s="182"/>
      <c r="N261" s="367">
        <f t="shared" si="10"/>
        <v>0</v>
      </c>
      <c r="O261" s="368">
        <f t="shared" si="11"/>
        <v>0</v>
      </c>
      <c r="P261" s="606"/>
      <c r="Q261" s="606"/>
      <c r="R261" s="606"/>
      <c r="S261" s="606"/>
      <c r="T261" s="606"/>
      <c r="U261" s="606"/>
      <c r="V261" s="606"/>
      <c r="W261" s="606"/>
      <c r="X261" s="606"/>
      <c r="Y261" s="606"/>
      <c r="Z261" s="606"/>
      <c r="AA261" s="606"/>
      <c r="AB261" s="606"/>
      <c r="AC261" s="606"/>
      <c r="AD261" s="606"/>
    </row>
    <row r="262" spans="2:30">
      <c r="B262" s="367">
        <f t="shared" si="9"/>
        <v>-1</v>
      </c>
      <c r="D262" s="182"/>
      <c r="E262" s="182"/>
      <c r="F262" s="184"/>
      <c r="G262" s="182"/>
      <c r="H262" s="182"/>
      <c r="I262" s="182"/>
      <c r="J262" s="183"/>
      <c r="K262" s="183"/>
      <c r="L262" s="182"/>
      <c r="N262" s="367">
        <f t="shared" si="10"/>
        <v>0</v>
      </c>
      <c r="O262" s="368">
        <f t="shared" si="11"/>
        <v>0</v>
      </c>
      <c r="P262" s="606"/>
      <c r="Q262" s="606"/>
      <c r="R262" s="606"/>
      <c r="S262" s="606"/>
      <c r="T262" s="606"/>
      <c r="U262" s="606"/>
      <c r="V262" s="606"/>
      <c r="W262" s="606"/>
      <c r="X262" s="606"/>
      <c r="Y262" s="606"/>
      <c r="Z262" s="606"/>
      <c r="AA262" s="606"/>
      <c r="AB262" s="606"/>
      <c r="AC262" s="606"/>
      <c r="AD262" s="606"/>
    </row>
    <row r="263" spans="2:30">
      <c r="B263" s="367">
        <f t="shared" si="9"/>
        <v>-1</v>
      </c>
      <c r="D263" s="182"/>
      <c r="E263" s="182"/>
      <c r="F263" s="184"/>
      <c r="G263" s="182"/>
      <c r="H263" s="182"/>
      <c r="I263" s="182"/>
      <c r="J263" s="183"/>
      <c r="K263" s="183"/>
      <c r="L263" s="182"/>
      <c r="N263" s="367">
        <f t="shared" si="10"/>
        <v>0</v>
      </c>
      <c r="O263" s="368">
        <f t="shared" si="11"/>
        <v>0</v>
      </c>
      <c r="P263" s="606"/>
      <c r="Q263" s="606"/>
      <c r="R263" s="606"/>
      <c r="S263" s="606"/>
      <c r="T263" s="606"/>
      <c r="U263" s="606"/>
      <c r="V263" s="606"/>
      <c r="W263" s="606"/>
      <c r="X263" s="606"/>
      <c r="Y263" s="606"/>
      <c r="Z263" s="606"/>
      <c r="AA263" s="606"/>
      <c r="AB263" s="606"/>
      <c r="AC263" s="606"/>
      <c r="AD263" s="606"/>
    </row>
    <row r="264" spans="2:30">
      <c r="B264" s="367">
        <f t="shared" si="9"/>
        <v>-1</v>
      </c>
      <c r="D264" s="182"/>
      <c r="E264" s="182"/>
      <c r="F264" s="184"/>
      <c r="G264" s="182"/>
      <c r="H264" s="182"/>
      <c r="I264" s="182"/>
      <c r="J264" s="183"/>
      <c r="K264" s="183"/>
      <c r="L264" s="182"/>
      <c r="N264" s="367">
        <f t="shared" si="10"/>
        <v>0</v>
      </c>
      <c r="O264" s="368">
        <f t="shared" si="11"/>
        <v>0</v>
      </c>
      <c r="P264" s="606"/>
      <c r="Q264" s="606"/>
      <c r="R264" s="606"/>
      <c r="S264" s="606"/>
      <c r="T264" s="606"/>
      <c r="U264" s="606"/>
      <c r="V264" s="606"/>
      <c r="W264" s="606"/>
      <c r="X264" s="606"/>
      <c r="Y264" s="606"/>
      <c r="Z264" s="606"/>
      <c r="AA264" s="606"/>
      <c r="AB264" s="606"/>
      <c r="AC264" s="606"/>
      <c r="AD264" s="606"/>
    </row>
    <row r="265" spans="2:30">
      <c r="B265" s="367">
        <f t="shared" si="9"/>
        <v>-1</v>
      </c>
      <c r="D265" s="182"/>
      <c r="E265" s="182"/>
      <c r="F265" s="184"/>
      <c r="G265" s="182"/>
      <c r="H265" s="182"/>
      <c r="I265" s="182"/>
      <c r="J265" s="183"/>
      <c r="K265" s="183"/>
      <c r="L265" s="182"/>
      <c r="N265" s="367">
        <f t="shared" si="10"/>
        <v>0</v>
      </c>
      <c r="O265" s="368">
        <f t="shared" si="11"/>
        <v>0</v>
      </c>
      <c r="P265" s="606"/>
      <c r="Q265" s="606"/>
      <c r="R265" s="606"/>
      <c r="S265" s="606"/>
      <c r="T265" s="606"/>
      <c r="U265" s="606"/>
      <c r="V265" s="606"/>
      <c r="W265" s="606"/>
      <c r="X265" s="606"/>
      <c r="Y265" s="606"/>
      <c r="Z265" s="606"/>
      <c r="AA265" s="606"/>
      <c r="AB265" s="606"/>
      <c r="AC265" s="606"/>
      <c r="AD265" s="606"/>
    </row>
    <row r="266" spans="2:30">
      <c r="B266" s="367">
        <f t="shared" ref="B266:B329" si="12">IF(G266="buy",1,-1)</f>
        <v>-1</v>
      </c>
      <c r="D266" s="182"/>
      <c r="E266" s="182"/>
      <c r="F266" s="184"/>
      <c r="G266" s="182"/>
      <c r="H266" s="182"/>
      <c r="I266" s="182"/>
      <c r="J266" s="183"/>
      <c r="K266" s="183"/>
      <c r="L266" s="182"/>
      <c r="N266" s="367">
        <f t="shared" ref="N266:N329" si="13">+H266*((K266-J266)+1)*B266</f>
        <v>0</v>
      </c>
      <c r="O266" s="368">
        <f t="shared" ref="O266:O329" si="14">N266*L266/100</f>
        <v>0</v>
      </c>
      <c r="P266" s="606"/>
      <c r="Q266" s="606"/>
      <c r="R266" s="606"/>
      <c r="S266" s="606"/>
      <c r="T266" s="606"/>
      <c r="U266" s="606"/>
      <c r="V266" s="606"/>
      <c r="W266" s="606"/>
      <c r="X266" s="606"/>
      <c r="Y266" s="606"/>
      <c r="Z266" s="606"/>
      <c r="AA266" s="606"/>
      <c r="AB266" s="606"/>
      <c r="AC266" s="606"/>
      <c r="AD266" s="606"/>
    </row>
    <row r="267" spans="2:30">
      <c r="B267" s="367">
        <f t="shared" si="12"/>
        <v>-1</v>
      </c>
      <c r="D267" s="182"/>
      <c r="E267" s="182"/>
      <c r="F267" s="184"/>
      <c r="G267" s="182"/>
      <c r="H267" s="182"/>
      <c r="I267" s="182"/>
      <c r="J267" s="183"/>
      <c r="K267" s="183"/>
      <c r="L267" s="182"/>
      <c r="N267" s="367">
        <f t="shared" si="13"/>
        <v>0</v>
      </c>
      <c r="O267" s="368">
        <f t="shared" si="14"/>
        <v>0</v>
      </c>
      <c r="P267" s="606"/>
      <c r="Q267" s="606"/>
      <c r="R267" s="606"/>
      <c r="S267" s="606"/>
      <c r="T267" s="606"/>
      <c r="U267" s="606"/>
      <c r="V267" s="606"/>
      <c r="W267" s="606"/>
      <c r="X267" s="606"/>
      <c r="Y267" s="606"/>
      <c r="Z267" s="606"/>
      <c r="AA267" s="606"/>
      <c r="AB267" s="606"/>
      <c r="AC267" s="606"/>
      <c r="AD267" s="606"/>
    </row>
    <row r="268" spans="2:30">
      <c r="B268" s="367">
        <f t="shared" si="12"/>
        <v>-1</v>
      </c>
      <c r="D268" s="182"/>
      <c r="E268" s="182"/>
      <c r="F268" s="184"/>
      <c r="G268" s="182"/>
      <c r="H268" s="182"/>
      <c r="I268" s="182"/>
      <c r="J268" s="183"/>
      <c r="K268" s="183"/>
      <c r="L268" s="182"/>
      <c r="N268" s="367">
        <f t="shared" si="13"/>
        <v>0</v>
      </c>
      <c r="O268" s="368">
        <f t="shared" si="14"/>
        <v>0</v>
      </c>
      <c r="P268" s="606"/>
      <c r="Q268" s="606"/>
      <c r="R268" s="606"/>
      <c r="S268" s="606"/>
      <c r="T268" s="606"/>
      <c r="U268" s="606"/>
      <c r="V268" s="606"/>
      <c r="W268" s="606"/>
      <c r="X268" s="606"/>
      <c r="Y268" s="606"/>
      <c r="Z268" s="606"/>
      <c r="AA268" s="606"/>
      <c r="AB268" s="606"/>
      <c r="AC268" s="606"/>
      <c r="AD268" s="606"/>
    </row>
    <row r="269" spans="2:30">
      <c r="B269" s="367">
        <f t="shared" si="12"/>
        <v>-1</v>
      </c>
      <c r="D269" s="182"/>
      <c r="E269" s="182"/>
      <c r="F269" s="184"/>
      <c r="G269" s="182"/>
      <c r="H269" s="182"/>
      <c r="I269" s="182"/>
      <c r="J269" s="183"/>
      <c r="K269" s="183"/>
      <c r="L269" s="182"/>
      <c r="N269" s="367">
        <f t="shared" si="13"/>
        <v>0</v>
      </c>
      <c r="O269" s="368">
        <f t="shared" si="14"/>
        <v>0</v>
      </c>
      <c r="P269" s="606"/>
      <c r="Q269" s="606"/>
      <c r="R269" s="606"/>
      <c r="S269" s="606"/>
      <c r="T269" s="606"/>
      <c r="U269" s="606"/>
      <c r="V269" s="606"/>
      <c r="W269" s="606"/>
      <c r="X269" s="606"/>
      <c r="Y269" s="606"/>
      <c r="Z269" s="606"/>
      <c r="AA269" s="606"/>
      <c r="AB269" s="606"/>
      <c r="AC269" s="606"/>
      <c r="AD269" s="606"/>
    </row>
    <row r="270" spans="2:30">
      <c r="B270" s="367">
        <f t="shared" si="12"/>
        <v>-1</v>
      </c>
      <c r="D270" s="182"/>
      <c r="E270" s="182"/>
      <c r="F270" s="184"/>
      <c r="G270" s="182"/>
      <c r="H270" s="182"/>
      <c r="I270" s="182"/>
      <c r="J270" s="183"/>
      <c r="K270" s="183"/>
      <c r="L270" s="182"/>
      <c r="N270" s="367">
        <f t="shared" si="13"/>
        <v>0</v>
      </c>
      <c r="O270" s="368">
        <f t="shared" si="14"/>
        <v>0</v>
      </c>
      <c r="P270" s="606"/>
      <c r="Q270" s="606"/>
      <c r="R270" s="606"/>
      <c r="S270" s="606"/>
      <c r="T270" s="606"/>
      <c r="U270" s="606"/>
      <c r="V270" s="606"/>
      <c r="W270" s="606"/>
      <c r="X270" s="606"/>
      <c r="Y270" s="606"/>
      <c r="Z270" s="606"/>
      <c r="AA270" s="606"/>
      <c r="AB270" s="606"/>
      <c r="AC270" s="606"/>
      <c r="AD270" s="606"/>
    </row>
    <row r="271" spans="2:30">
      <c r="B271" s="367">
        <f t="shared" si="12"/>
        <v>-1</v>
      </c>
      <c r="D271" s="182"/>
      <c r="E271" s="182"/>
      <c r="F271" s="184"/>
      <c r="G271" s="182"/>
      <c r="H271" s="182"/>
      <c r="I271" s="182"/>
      <c r="J271" s="183"/>
      <c r="K271" s="183"/>
      <c r="L271" s="182"/>
      <c r="N271" s="367">
        <f t="shared" si="13"/>
        <v>0</v>
      </c>
      <c r="O271" s="368">
        <f t="shared" si="14"/>
        <v>0</v>
      </c>
      <c r="P271" s="606"/>
      <c r="Q271" s="606"/>
      <c r="R271" s="606"/>
      <c r="S271" s="606"/>
      <c r="T271" s="606"/>
      <c r="U271" s="606"/>
      <c r="V271" s="606"/>
      <c r="W271" s="606"/>
      <c r="X271" s="606"/>
      <c r="Y271" s="606"/>
      <c r="Z271" s="606"/>
      <c r="AA271" s="606"/>
      <c r="AB271" s="606"/>
      <c r="AC271" s="606"/>
      <c r="AD271" s="606"/>
    </row>
    <row r="272" spans="2:30">
      <c r="B272" s="367">
        <f t="shared" si="12"/>
        <v>-1</v>
      </c>
      <c r="D272" s="182"/>
      <c r="E272" s="182"/>
      <c r="F272" s="184"/>
      <c r="G272" s="182"/>
      <c r="H272" s="182"/>
      <c r="I272" s="182"/>
      <c r="J272" s="183"/>
      <c r="K272" s="183"/>
      <c r="L272" s="182"/>
      <c r="N272" s="367">
        <f t="shared" si="13"/>
        <v>0</v>
      </c>
      <c r="O272" s="368">
        <f t="shared" si="14"/>
        <v>0</v>
      </c>
      <c r="P272" s="606"/>
      <c r="Q272" s="606"/>
      <c r="R272" s="606"/>
      <c r="S272" s="606"/>
      <c r="T272" s="606"/>
      <c r="U272" s="606"/>
      <c r="V272" s="606"/>
      <c r="W272" s="606"/>
      <c r="X272" s="606"/>
      <c r="Y272" s="606"/>
      <c r="Z272" s="606"/>
      <c r="AA272" s="606"/>
      <c r="AB272" s="606"/>
      <c r="AC272" s="606"/>
      <c r="AD272" s="606"/>
    </row>
    <row r="273" spans="2:30">
      <c r="B273" s="367">
        <f t="shared" si="12"/>
        <v>-1</v>
      </c>
      <c r="D273" s="182"/>
      <c r="E273" s="182"/>
      <c r="F273" s="184"/>
      <c r="G273" s="182"/>
      <c r="H273" s="182"/>
      <c r="I273" s="182"/>
      <c r="J273" s="183"/>
      <c r="K273" s="183"/>
      <c r="L273" s="182"/>
      <c r="N273" s="367">
        <f t="shared" si="13"/>
        <v>0</v>
      </c>
      <c r="O273" s="368">
        <f t="shared" si="14"/>
        <v>0</v>
      </c>
      <c r="P273" s="606"/>
      <c r="Q273" s="606"/>
      <c r="R273" s="606"/>
      <c r="S273" s="606"/>
      <c r="T273" s="606"/>
      <c r="U273" s="606"/>
      <c r="V273" s="606"/>
      <c r="W273" s="606"/>
      <c r="X273" s="606"/>
      <c r="Y273" s="606"/>
      <c r="Z273" s="606"/>
      <c r="AA273" s="606"/>
      <c r="AB273" s="606"/>
      <c r="AC273" s="606"/>
      <c r="AD273" s="606"/>
    </row>
    <row r="274" spans="2:30">
      <c r="B274" s="367">
        <f t="shared" si="12"/>
        <v>-1</v>
      </c>
      <c r="D274" s="182"/>
      <c r="E274" s="182"/>
      <c r="F274" s="184"/>
      <c r="G274" s="182"/>
      <c r="H274" s="182"/>
      <c r="I274" s="182"/>
      <c r="J274" s="183"/>
      <c r="K274" s="183"/>
      <c r="L274" s="182"/>
      <c r="N274" s="367">
        <f t="shared" si="13"/>
        <v>0</v>
      </c>
      <c r="O274" s="368">
        <f t="shared" si="14"/>
        <v>0</v>
      </c>
      <c r="P274" s="606"/>
      <c r="Q274" s="606"/>
      <c r="R274" s="606"/>
      <c r="S274" s="606"/>
      <c r="T274" s="606"/>
      <c r="U274" s="606"/>
      <c r="V274" s="606"/>
      <c r="W274" s="606"/>
      <c r="X274" s="606"/>
      <c r="Y274" s="606"/>
      <c r="Z274" s="606"/>
      <c r="AA274" s="606"/>
      <c r="AB274" s="606"/>
      <c r="AC274" s="606"/>
      <c r="AD274" s="606"/>
    </row>
    <row r="275" spans="2:30">
      <c r="B275" s="367">
        <f t="shared" si="12"/>
        <v>-1</v>
      </c>
      <c r="D275" s="182"/>
      <c r="E275" s="182"/>
      <c r="F275" s="184"/>
      <c r="G275" s="182"/>
      <c r="H275" s="182"/>
      <c r="I275" s="182"/>
      <c r="J275" s="183"/>
      <c r="K275" s="183"/>
      <c r="L275" s="182"/>
      <c r="N275" s="367">
        <f t="shared" si="13"/>
        <v>0</v>
      </c>
      <c r="O275" s="368">
        <f t="shared" si="14"/>
        <v>0</v>
      </c>
      <c r="P275" s="606"/>
      <c r="Q275" s="606"/>
      <c r="R275" s="606"/>
      <c r="S275" s="606"/>
      <c r="T275" s="606"/>
      <c r="U275" s="606"/>
      <c r="V275" s="606"/>
      <c r="W275" s="606"/>
      <c r="X275" s="606"/>
      <c r="Y275" s="606"/>
      <c r="Z275" s="606"/>
      <c r="AA275" s="606"/>
      <c r="AB275" s="606"/>
      <c r="AC275" s="606"/>
      <c r="AD275" s="606"/>
    </row>
    <row r="276" spans="2:30">
      <c r="B276" s="367">
        <f t="shared" si="12"/>
        <v>-1</v>
      </c>
      <c r="D276" s="182"/>
      <c r="E276" s="182"/>
      <c r="F276" s="184"/>
      <c r="G276" s="182"/>
      <c r="H276" s="182"/>
      <c r="I276" s="182"/>
      <c r="J276" s="183"/>
      <c r="K276" s="183"/>
      <c r="L276" s="182"/>
      <c r="N276" s="367">
        <f t="shared" si="13"/>
        <v>0</v>
      </c>
      <c r="O276" s="368">
        <f t="shared" si="14"/>
        <v>0</v>
      </c>
      <c r="P276" s="606"/>
      <c r="Q276" s="606"/>
      <c r="R276" s="606"/>
      <c r="S276" s="606"/>
      <c r="T276" s="606"/>
      <c r="U276" s="606"/>
      <c r="V276" s="606"/>
      <c r="W276" s="606"/>
      <c r="X276" s="606"/>
      <c r="Y276" s="606"/>
      <c r="Z276" s="606"/>
      <c r="AA276" s="606"/>
      <c r="AB276" s="606"/>
      <c r="AC276" s="606"/>
      <c r="AD276" s="606"/>
    </row>
    <row r="277" spans="2:30">
      <c r="B277" s="367">
        <f t="shared" si="12"/>
        <v>-1</v>
      </c>
      <c r="D277" s="182"/>
      <c r="E277" s="182"/>
      <c r="F277" s="184"/>
      <c r="G277" s="182"/>
      <c r="H277" s="182"/>
      <c r="I277" s="182"/>
      <c r="J277" s="183"/>
      <c r="K277" s="183"/>
      <c r="L277" s="182"/>
      <c r="N277" s="367">
        <f t="shared" si="13"/>
        <v>0</v>
      </c>
      <c r="O277" s="368">
        <f t="shared" si="14"/>
        <v>0</v>
      </c>
      <c r="P277" s="606"/>
      <c r="Q277" s="606"/>
      <c r="R277" s="606"/>
      <c r="S277" s="606"/>
      <c r="T277" s="606"/>
      <c r="U277" s="606"/>
      <c r="V277" s="606"/>
      <c r="W277" s="606"/>
      <c r="X277" s="606"/>
      <c r="Y277" s="606"/>
      <c r="Z277" s="606"/>
      <c r="AA277" s="606"/>
      <c r="AB277" s="606"/>
      <c r="AC277" s="606"/>
      <c r="AD277" s="606"/>
    </row>
    <row r="278" spans="2:30">
      <c r="B278" s="367">
        <f t="shared" si="12"/>
        <v>-1</v>
      </c>
      <c r="D278" s="182"/>
      <c r="E278" s="182"/>
      <c r="F278" s="184"/>
      <c r="G278" s="182"/>
      <c r="H278" s="182"/>
      <c r="I278" s="182"/>
      <c r="J278" s="183"/>
      <c r="K278" s="183"/>
      <c r="L278" s="182"/>
      <c r="N278" s="367">
        <f t="shared" si="13"/>
        <v>0</v>
      </c>
      <c r="O278" s="368">
        <f t="shared" si="14"/>
        <v>0</v>
      </c>
      <c r="P278" s="606"/>
      <c r="Q278" s="606"/>
      <c r="R278" s="606"/>
      <c r="S278" s="606"/>
      <c r="T278" s="606"/>
      <c r="U278" s="606"/>
      <c r="V278" s="606"/>
      <c r="W278" s="606"/>
      <c r="X278" s="606"/>
      <c r="Y278" s="606"/>
      <c r="Z278" s="606"/>
      <c r="AA278" s="606"/>
      <c r="AB278" s="606"/>
      <c r="AC278" s="606"/>
      <c r="AD278" s="606"/>
    </row>
    <row r="279" spans="2:30">
      <c r="B279" s="367">
        <f t="shared" si="12"/>
        <v>-1</v>
      </c>
      <c r="D279" s="182"/>
      <c r="E279" s="182"/>
      <c r="F279" s="184"/>
      <c r="G279" s="182"/>
      <c r="H279" s="182"/>
      <c r="I279" s="182"/>
      <c r="J279" s="183"/>
      <c r="K279" s="183"/>
      <c r="L279" s="182"/>
      <c r="N279" s="367">
        <f t="shared" si="13"/>
        <v>0</v>
      </c>
      <c r="O279" s="368">
        <f t="shared" si="14"/>
        <v>0</v>
      </c>
      <c r="P279" s="606"/>
      <c r="Q279" s="606"/>
      <c r="R279" s="606"/>
      <c r="S279" s="606"/>
      <c r="T279" s="606"/>
      <c r="U279" s="606"/>
      <c r="V279" s="606"/>
      <c r="W279" s="606"/>
      <c r="X279" s="606"/>
      <c r="Y279" s="606"/>
      <c r="Z279" s="606"/>
      <c r="AA279" s="606"/>
      <c r="AB279" s="606"/>
      <c r="AC279" s="606"/>
      <c r="AD279" s="606"/>
    </row>
    <row r="280" spans="2:30">
      <c r="B280" s="367">
        <f t="shared" si="12"/>
        <v>-1</v>
      </c>
      <c r="D280" s="182"/>
      <c r="E280" s="182"/>
      <c r="F280" s="184"/>
      <c r="G280" s="182"/>
      <c r="H280" s="182"/>
      <c r="I280" s="182"/>
      <c r="J280" s="183"/>
      <c r="K280" s="183"/>
      <c r="L280" s="182"/>
      <c r="N280" s="367">
        <f t="shared" si="13"/>
        <v>0</v>
      </c>
      <c r="O280" s="368">
        <f t="shared" si="14"/>
        <v>0</v>
      </c>
      <c r="P280" s="606"/>
      <c r="Q280" s="606"/>
      <c r="R280" s="606"/>
      <c r="S280" s="606"/>
      <c r="T280" s="606"/>
      <c r="U280" s="606"/>
      <c r="V280" s="606"/>
      <c r="W280" s="606"/>
      <c r="X280" s="606"/>
      <c r="Y280" s="606"/>
      <c r="Z280" s="606"/>
      <c r="AA280" s="606"/>
      <c r="AB280" s="606"/>
      <c r="AC280" s="606"/>
      <c r="AD280" s="606"/>
    </row>
    <row r="281" spans="2:30">
      <c r="B281" s="367">
        <f t="shared" si="12"/>
        <v>-1</v>
      </c>
      <c r="D281" s="182"/>
      <c r="E281" s="182"/>
      <c r="F281" s="184"/>
      <c r="G281" s="182"/>
      <c r="H281" s="182"/>
      <c r="I281" s="182"/>
      <c r="J281" s="183"/>
      <c r="K281" s="183"/>
      <c r="L281" s="182"/>
      <c r="N281" s="367">
        <f t="shared" si="13"/>
        <v>0</v>
      </c>
      <c r="O281" s="368">
        <f t="shared" si="14"/>
        <v>0</v>
      </c>
      <c r="P281" s="606"/>
      <c r="Q281" s="606"/>
      <c r="R281" s="606"/>
      <c r="S281" s="606"/>
      <c r="T281" s="606"/>
      <c r="U281" s="606"/>
      <c r="V281" s="606"/>
      <c r="W281" s="606"/>
      <c r="X281" s="606"/>
      <c r="Y281" s="606"/>
      <c r="Z281" s="606"/>
      <c r="AA281" s="606"/>
      <c r="AB281" s="606"/>
      <c r="AC281" s="606"/>
      <c r="AD281" s="606"/>
    </row>
    <row r="282" spans="2:30">
      <c r="B282" s="367">
        <f t="shared" si="12"/>
        <v>-1</v>
      </c>
      <c r="D282" s="182"/>
      <c r="E282" s="182"/>
      <c r="F282" s="184"/>
      <c r="G282" s="182"/>
      <c r="H282" s="182"/>
      <c r="I282" s="182"/>
      <c r="J282" s="183"/>
      <c r="K282" s="183"/>
      <c r="L282" s="182"/>
      <c r="N282" s="367">
        <f t="shared" si="13"/>
        <v>0</v>
      </c>
      <c r="O282" s="368">
        <f t="shared" si="14"/>
        <v>0</v>
      </c>
      <c r="P282" s="606"/>
      <c r="Q282" s="606"/>
      <c r="R282" s="606"/>
      <c r="S282" s="606"/>
      <c r="T282" s="606"/>
      <c r="U282" s="606"/>
      <c r="V282" s="606"/>
      <c r="W282" s="606"/>
      <c r="X282" s="606"/>
      <c r="Y282" s="606"/>
      <c r="Z282" s="606"/>
      <c r="AA282" s="606"/>
      <c r="AB282" s="606"/>
      <c r="AC282" s="606"/>
      <c r="AD282" s="606"/>
    </row>
    <row r="283" spans="2:30">
      <c r="B283" s="367">
        <f t="shared" si="12"/>
        <v>-1</v>
      </c>
      <c r="D283" s="182"/>
      <c r="E283" s="182"/>
      <c r="F283" s="184"/>
      <c r="G283" s="182"/>
      <c r="H283" s="182"/>
      <c r="I283" s="182"/>
      <c r="J283" s="183"/>
      <c r="K283" s="183"/>
      <c r="L283" s="182"/>
      <c r="N283" s="367">
        <f t="shared" si="13"/>
        <v>0</v>
      </c>
      <c r="O283" s="368">
        <f t="shared" si="14"/>
        <v>0</v>
      </c>
      <c r="P283" s="606"/>
      <c r="Q283" s="606"/>
      <c r="R283" s="606"/>
      <c r="S283" s="606"/>
      <c r="T283" s="606"/>
      <c r="U283" s="606"/>
      <c r="V283" s="606"/>
      <c r="W283" s="606"/>
      <c r="X283" s="606"/>
      <c r="Y283" s="606"/>
      <c r="Z283" s="606"/>
      <c r="AA283" s="606"/>
      <c r="AB283" s="606"/>
      <c r="AC283" s="606"/>
      <c r="AD283" s="606"/>
    </row>
    <row r="284" spans="2:30">
      <c r="B284" s="367">
        <f t="shared" si="12"/>
        <v>-1</v>
      </c>
      <c r="D284" s="182"/>
      <c r="E284" s="182"/>
      <c r="F284" s="184"/>
      <c r="G284" s="182"/>
      <c r="H284" s="182"/>
      <c r="I284" s="182"/>
      <c r="J284" s="183"/>
      <c r="K284" s="183"/>
      <c r="L284" s="182"/>
      <c r="N284" s="367">
        <f t="shared" si="13"/>
        <v>0</v>
      </c>
      <c r="O284" s="368">
        <f t="shared" si="14"/>
        <v>0</v>
      </c>
      <c r="P284" s="606"/>
      <c r="Q284" s="606"/>
      <c r="R284" s="606"/>
      <c r="S284" s="606"/>
      <c r="T284" s="606"/>
      <c r="U284" s="606"/>
      <c r="V284" s="606"/>
      <c r="W284" s="606"/>
      <c r="X284" s="606"/>
      <c r="Y284" s="606"/>
      <c r="Z284" s="606"/>
      <c r="AA284" s="606"/>
      <c r="AB284" s="606"/>
      <c r="AC284" s="606"/>
      <c r="AD284" s="606"/>
    </row>
    <row r="285" spans="2:30">
      <c r="B285" s="367">
        <f t="shared" si="12"/>
        <v>-1</v>
      </c>
      <c r="D285" s="182"/>
      <c r="E285" s="182"/>
      <c r="F285" s="184"/>
      <c r="G285" s="182"/>
      <c r="H285" s="182"/>
      <c r="I285" s="182"/>
      <c r="J285" s="183"/>
      <c r="K285" s="183"/>
      <c r="L285" s="182"/>
      <c r="N285" s="367">
        <f t="shared" si="13"/>
        <v>0</v>
      </c>
      <c r="O285" s="368">
        <f t="shared" si="14"/>
        <v>0</v>
      </c>
      <c r="P285" s="606"/>
      <c r="Q285" s="606"/>
      <c r="R285" s="606"/>
      <c r="S285" s="606"/>
      <c r="T285" s="606"/>
      <c r="U285" s="606"/>
      <c r="V285" s="606"/>
      <c r="W285" s="606"/>
      <c r="X285" s="606"/>
      <c r="Y285" s="606"/>
      <c r="Z285" s="606"/>
      <c r="AA285" s="606"/>
      <c r="AB285" s="606"/>
      <c r="AC285" s="606"/>
      <c r="AD285" s="606"/>
    </row>
    <row r="286" spans="2:30">
      <c r="B286" s="367">
        <f t="shared" si="12"/>
        <v>-1</v>
      </c>
      <c r="D286" s="182"/>
      <c r="E286" s="182"/>
      <c r="F286" s="184"/>
      <c r="G286" s="182"/>
      <c r="H286" s="182"/>
      <c r="I286" s="182"/>
      <c r="J286" s="183"/>
      <c r="K286" s="183"/>
      <c r="L286" s="182"/>
      <c r="N286" s="367">
        <f t="shared" si="13"/>
        <v>0</v>
      </c>
      <c r="O286" s="368">
        <f t="shared" si="14"/>
        <v>0</v>
      </c>
      <c r="P286" s="606"/>
      <c r="Q286" s="606"/>
      <c r="R286" s="606"/>
      <c r="S286" s="606"/>
      <c r="T286" s="606"/>
      <c r="U286" s="606"/>
      <c r="V286" s="606"/>
      <c r="W286" s="606"/>
      <c r="X286" s="606"/>
      <c r="Y286" s="606"/>
      <c r="Z286" s="606"/>
      <c r="AA286" s="606"/>
      <c r="AB286" s="606"/>
      <c r="AC286" s="606"/>
      <c r="AD286" s="606"/>
    </row>
    <row r="287" spans="2:30">
      <c r="B287" s="367">
        <f t="shared" si="12"/>
        <v>-1</v>
      </c>
      <c r="D287" s="182"/>
      <c r="E287" s="182"/>
      <c r="F287" s="184"/>
      <c r="G287" s="182"/>
      <c r="H287" s="182"/>
      <c r="I287" s="182"/>
      <c r="J287" s="183"/>
      <c r="K287" s="183"/>
      <c r="L287" s="182"/>
      <c r="N287" s="367">
        <f t="shared" si="13"/>
        <v>0</v>
      </c>
      <c r="O287" s="368">
        <f t="shared" si="14"/>
        <v>0</v>
      </c>
      <c r="P287" s="606"/>
      <c r="Q287" s="606"/>
      <c r="R287" s="606"/>
      <c r="S287" s="606"/>
      <c r="T287" s="606"/>
      <c r="U287" s="606"/>
      <c r="V287" s="606"/>
      <c r="W287" s="606"/>
      <c r="X287" s="606"/>
      <c r="Y287" s="606"/>
      <c r="Z287" s="606"/>
      <c r="AA287" s="606"/>
      <c r="AB287" s="606"/>
      <c r="AC287" s="606"/>
      <c r="AD287" s="606"/>
    </row>
    <row r="288" spans="2:30">
      <c r="B288" s="367">
        <f t="shared" si="12"/>
        <v>-1</v>
      </c>
      <c r="D288" s="182"/>
      <c r="E288" s="182"/>
      <c r="F288" s="184"/>
      <c r="G288" s="182"/>
      <c r="H288" s="182"/>
      <c r="I288" s="182"/>
      <c r="J288" s="183"/>
      <c r="K288" s="183"/>
      <c r="L288" s="182"/>
      <c r="N288" s="367">
        <f t="shared" si="13"/>
        <v>0</v>
      </c>
      <c r="O288" s="368">
        <f t="shared" si="14"/>
        <v>0</v>
      </c>
      <c r="P288" s="606"/>
      <c r="Q288" s="606"/>
      <c r="R288" s="606"/>
      <c r="S288" s="606"/>
      <c r="T288" s="606"/>
      <c r="U288" s="606"/>
      <c r="V288" s="606"/>
      <c r="W288" s="606"/>
      <c r="X288" s="606"/>
      <c r="Y288" s="606"/>
      <c r="Z288" s="606"/>
      <c r="AA288" s="606"/>
      <c r="AB288" s="606"/>
      <c r="AC288" s="606"/>
      <c r="AD288" s="606"/>
    </row>
    <row r="289" spans="2:30">
      <c r="B289" s="367">
        <f t="shared" si="12"/>
        <v>-1</v>
      </c>
      <c r="D289" s="182"/>
      <c r="E289" s="182"/>
      <c r="F289" s="184"/>
      <c r="G289" s="182"/>
      <c r="H289" s="182"/>
      <c r="I289" s="182"/>
      <c r="J289" s="183"/>
      <c r="K289" s="183"/>
      <c r="L289" s="182"/>
      <c r="N289" s="367">
        <f t="shared" si="13"/>
        <v>0</v>
      </c>
      <c r="O289" s="368">
        <f t="shared" si="14"/>
        <v>0</v>
      </c>
      <c r="P289" s="606"/>
      <c r="Q289" s="606"/>
      <c r="R289" s="606"/>
      <c r="S289" s="606"/>
      <c r="T289" s="606"/>
      <c r="U289" s="606"/>
      <c r="V289" s="606"/>
      <c r="W289" s="606"/>
      <c r="X289" s="606"/>
      <c r="Y289" s="606"/>
      <c r="Z289" s="606"/>
      <c r="AA289" s="606"/>
      <c r="AB289" s="606"/>
      <c r="AC289" s="606"/>
      <c r="AD289" s="606"/>
    </row>
    <row r="290" spans="2:30">
      <c r="B290" s="367">
        <f t="shared" si="12"/>
        <v>-1</v>
      </c>
      <c r="D290" s="182"/>
      <c r="E290" s="182"/>
      <c r="F290" s="184"/>
      <c r="G290" s="182"/>
      <c r="H290" s="182"/>
      <c r="I290" s="182"/>
      <c r="J290" s="183"/>
      <c r="K290" s="183"/>
      <c r="L290" s="182"/>
      <c r="N290" s="367">
        <f t="shared" si="13"/>
        <v>0</v>
      </c>
      <c r="O290" s="368">
        <f t="shared" si="14"/>
        <v>0</v>
      </c>
      <c r="P290" s="606"/>
      <c r="Q290" s="606"/>
      <c r="R290" s="606"/>
      <c r="S290" s="606"/>
      <c r="T290" s="606"/>
      <c r="U290" s="606"/>
      <c r="V290" s="606"/>
      <c r="W290" s="606"/>
      <c r="X290" s="606"/>
      <c r="Y290" s="606"/>
      <c r="Z290" s="606"/>
      <c r="AA290" s="606"/>
      <c r="AB290" s="606"/>
      <c r="AC290" s="606"/>
      <c r="AD290" s="606"/>
    </row>
    <row r="291" spans="2:30">
      <c r="B291" s="367">
        <f t="shared" si="12"/>
        <v>-1</v>
      </c>
      <c r="D291" s="182"/>
      <c r="E291" s="182"/>
      <c r="F291" s="184"/>
      <c r="G291" s="182"/>
      <c r="H291" s="182"/>
      <c r="I291" s="182"/>
      <c r="J291" s="183"/>
      <c r="K291" s="183"/>
      <c r="L291" s="182"/>
      <c r="N291" s="367">
        <f t="shared" si="13"/>
        <v>0</v>
      </c>
      <c r="O291" s="368">
        <f t="shared" si="14"/>
        <v>0</v>
      </c>
      <c r="P291" s="606"/>
      <c r="Q291" s="606"/>
      <c r="R291" s="606"/>
      <c r="S291" s="606"/>
      <c r="T291" s="606"/>
      <c r="U291" s="606"/>
      <c r="V291" s="606"/>
      <c r="W291" s="606"/>
      <c r="X291" s="606"/>
      <c r="Y291" s="606"/>
      <c r="Z291" s="606"/>
      <c r="AA291" s="606"/>
      <c r="AB291" s="606"/>
      <c r="AC291" s="606"/>
      <c r="AD291" s="606"/>
    </row>
    <row r="292" spans="2:30">
      <c r="B292" s="367">
        <f t="shared" si="12"/>
        <v>-1</v>
      </c>
      <c r="D292" s="182"/>
      <c r="E292" s="182"/>
      <c r="F292" s="184"/>
      <c r="G292" s="182"/>
      <c r="H292" s="182"/>
      <c r="I292" s="182"/>
      <c r="J292" s="183"/>
      <c r="K292" s="183"/>
      <c r="L292" s="182"/>
      <c r="N292" s="367">
        <f t="shared" si="13"/>
        <v>0</v>
      </c>
      <c r="O292" s="368">
        <f t="shared" si="14"/>
        <v>0</v>
      </c>
      <c r="P292" s="606"/>
      <c r="Q292" s="606"/>
      <c r="R292" s="606"/>
      <c r="S292" s="606"/>
      <c r="T292" s="606"/>
      <c r="U292" s="606"/>
      <c r="V292" s="606"/>
      <c r="W292" s="606"/>
      <c r="X292" s="606"/>
      <c r="Y292" s="606"/>
      <c r="Z292" s="606"/>
      <c r="AA292" s="606"/>
      <c r="AB292" s="606"/>
      <c r="AC292" s="606"/>
      <c r="AD292" s="606"/>
    </row>
    <row r="293" spans="2:30">
      <c r="B293" s="367">
        <f t="shared" si="12"/>
        <v>-1</v>
      </c>
      <c r="D293" s="182"/>
      <c r="E293" s="182"/>
      <c r="F293" s="184"/>
      <c r="G293" s="182"/>
      <c r="H293" s="182"/>
      <c r="I293" s="182"/>
      <c r="J293" s="183"/>
      <c r="K293" s="183"/>
      <c r="L293" s="182"/>
      <c r="N293" s="367">
        <f t="shared" si="13"/>
        <v>0</v>
      </c>
      <c r="O293" s="368">
        <f t="shared" si="14"/>
        <v>0</v>
      </c>
      <c r="P293" s="606"/>
      <c r="Q293" s="606"/>
      <c r="R293" s="606"/>
      <c r="S293" s="606"/>
      <c r="T293" s="606"/>
      <c r="U293" s="606"/>
      <c r="V293" s="606"/>
      <c r="W293" s="606"/>
      <c r="X293" s="606"/>
      <c r="Y293" s="606"/>
      <c r="Z293" s="606"/>
      <c r="AA293" s="606"/>
      <c r="AB293" s="606"/>
      <c r="AC293" s="606"/>
      <c r="AD293" s="606"/>
    </row>
    <row r="294" spans="2:30">
      <c r="B294" s="367">
        <f t="shared" si="12"/>
        <v>-1</v>
      </c>
      <c r="D294" s="182"/>
      <c r="E294" s="182"/>
      <c r="F294" s="184"/>
      <c r="G294" s="182"/>
      <c r="H294" s="182"/>
      <c r="I294" s="182"/>
      <c r="J294" s="183"/>
      <c r="K294" s="183"/>
      <c r="L294" s="182"/>
      <c r="N294" s="367">
        <f t="shared" si="13"/>
        <v>0</v>
      </c>
      <c r="O294" s="368">
        <f t="shared" si="14"/>
        <v>0</v>
      </c>
      <c r="P294" s="606"/>
      <c r="Q294" s="606"/>
      <c r="R294" s="606"/>
      <c r="S294" s="606"/>
      <c r="T294" s="606"/>
      <c r="U294" s="606"/>
      <c r="V294" s="606"/>
      <c r="W294" s="606"/>
      <c r="X294" s="606"/>
      <c r="Y294" s="606"/>
      <c r="Z294" s="606"/>
      <c r="AA294" s="606"/>
      <c r="AB294" s="606"/>
      <c r="AC294" s="606"/>
      <c r="AD294" s="606"/>
    </row>
    <row r="295" spans="2:30">
      <c r="B295" s="367">
        <f t="shared" si="12"/>
        <v>-1</v>
      </c>
      <c r="D295" s="182"/>
      <c r="E295" s="182"/>
      <c r="F295" s="184"/>
      <c r="G295" s="182"/>
      <c r="H295" s="182"/>
      <c r="I295" s="182"/>
      <c r="J295" s="183"/>
      <c r="K295" s="183"/>
      <c r="L295" s="182"/>
      <c r="N295" s="367">
        <f t="shared" si="13"/>
        <v>0</v>
      </c>
      <c r="O295" s="368">
        <f t="shared" si="14"/>
        <v>0</v>
      </c>
      <c r="P295" s="606"/>
      <c r="Q295" s="606"/>
      <c r="R295" s="606"/>
      <c r="S295" s="606"/>
      <c r="T295" s="606"/>
      <c r="U295" s="606"/>
      <c r="V295" s="606"/>
      <c r="W295" s="606"/>
      <c r="X295" s="606"/>
      <c r="Y295" s="606"/>
      <c r="Z295" s="606"/>
      <c r="AA295" s="606"/>
      <c r="AB295" s="606"/>
      <c r="AC295" s="606"/>
      <c r="AD295" s="606"/>
    </row>
    <row r="296" spans="2:30">
      <c r="B296" s="367">
        <f t="shared" si="12"/>
        <v>-1</v>
      </c>
      <c r="D296" s="182"/>
      <c r="E296" s="182"/>
      <c r="F296" s="184"/>
      <c r="G296" s="182"/>
      <c r="H296" s="182"/>
      <c r="I296" s="182"/>
      <c r="J296" s="183"/>
      <c r="K296" s="183"/>
      <c r="L296" s="182"/>
      <c r="N296" s="367">
        <f t="shared" si="13"/>
        <v>0</v>
      </c>
      <c r="O296" s="368">
        <f t="shared" si="14"/>
        <v>0</v>
      </c>
      <c r="P296" s="606"/>
      <c r="Q296" s="606"/>
      <c r="R296" s="606"/>
      <c r="S296" s="606"/>
      <c r="T296" s="606"/>
      <c r="U296" s="606"/>
      <c r="V296" s="606"/>
      <c r="W296" s="606"/>
      <c r="X296" s="606"/>
      <c r="Y296" s="606"/>
      <c r="Z296" s="606"/>
      <c r="AA296" s="606"/>
      <c r="AB296" s="606"/>
      <c r="AC296" s="606"/>
      <c r="AD296" s="606"/>
    </row>
    <row r="297" spans="2:30">
      <c r="B297" s="367">
        <f t="shared" si="12"/>
        <v>-1</v>
      </c>
      <c r="D297" s="182"/>
      <c r="E297" s="182"/>
      <c r="F297" s="184"/>
      <c r="G297" s="182"/>
      <c r="H297" s="182"/>
      <c r="I297" s="182"/>
      <c r="J297" s="183"/>
      <c r="K297" s="183"/>
      <c r="L297" s="182"/>
      <c r="N297" s="367">
        <f t="shared" si="13"/>
        <v>0</v>
      </c>
      <c r="O297" s="368">
        <f t="shared" si="14"/>
        <v>0</v>
      </c>
      <c r="P297" s="606"/>
      <c r="Q297" s="606"/>
      <c r="R297" s="606"/>
      <c r="S297" s="606"/>
      <c r="T297" s="606"/>
      <c r="U297" s="606"/>
      <c r="V297" s="606"/>
      <c r="W297" s="606"/>
      <c r="X297" s="606"/>
      <c r="Y297" s="606"/>
      <c r="Z297" s="606"/>
      <c r="AA297" s="606"/>
      <c r="AB297" s="606"/>
      <c r="AC297" s="606"/>
      <c r="AD297" s="606"/>
    </row>
    <row r="298" spans="2:30">
      <c r="B298" s="367">
        <f t="shared" si="12"/>
        <v>-1</v>
      </c>
      <c r="D298" s="182"/>
      <c r="E298" s="182"/>
      <c r="F298" s="184"/>
      <c r="G298" s="182"/>
      <c r="H298" s="182"/>
      <c r="I298" s="182"/>
      <c r="J298" s="183"/>
      <c r="K298" s="183"/>
      <c r="L298" s="182"/>
      <c r="N298" s="367">
        <f t="shared" si="13"/>
        <v>0</v>
      </c>
      <c r="O298" s="368">
        <f t="shared" si="14"/>
        <v>0</v>
      </c>
      <c r="P298" s="606"/>
      <c r="Q298" s="606"/>
      <c r="R298" s="606"/>
      <c r="S298" s="606"/>
      <c r="T298" s="606"/>
      <c r="U298" s="606"/>
      <c r="V298" s="606"/>
      <c r="W298" s="606"/>
      <c r="X298" s="606"/>
      <c r="Y298" s="606"/>
      <c r="Z298" s="606"/>
      <c r="AA298" s="606"/>
      <c r="AB298" s="606"/>
      <c r="AC298" s="606"/>
      <c r="AD298" s="606"/>
    </row>
    <row r="299" spans="2:30">
      <c r="B299" s="367">
        <f t="shared" si="12"/>
        <v>-1</v>
      </c>
      <c r="D299" s="182"/>
      <c r="E299" s="182"/>
      <c r="F299" s="184"/>
      <c r="G299" s="182"/>
      <c r="H299" s="182"/>
      <c r="I299" s="182"/>
      <c r="J299" s="183"/>
      <c r="K299" s="183"/>
      <c r="L299" s="182"/>
      <c r="N299" s="367">
        <f t="shared" si="13"/>
        <v>0</v>
      </c>
      <c r="O299" s="368">
        <f t="shared" si="14"/>
        <v>0</v>
      </c>
      <c r="P299" s="606"/>
      <c r="Q299" s="606"/>
      <c r="R299" s="606"/>
      <c r="S299" s="606"/>
      <c r="T299" s="606"/>
      <c r="U299" s="606"/>
      <c r="V299" s="606"/>
      <c r="W299" s="606"/>
      <c r="X299" s="606"/>
      <c r="Y299" s="606"/>
      <c r="Z299" s="606"/>
      <c r="AA299" s="606"/>
      <c r="AB299" s="606"/>
      <c r="AC299" s="606"/>
      <c r="AD299" s="606"/>
    </row>
    <row r="300" spans="2:30">
      <c r="B300" s="367">
        <f t="shared" si="12"/>
        <v>-1</v>
      </c>
      <c r="D300" s="182"/>
      <c r="E300" s="182"/>
      <c r="F300" s="184"/>
      <c r="G300" s="182"/>
      <c r="H300" s="182"/>
      <c r="I300" s="182"/>
      <c r="J300" s="183"/>
      <c r="K300" s="183"/>
      <c r="L300" s="182"/>
      <c r="N300" s="367">
        <f t="shared" si="13"/>
        <v>0</v>
      </c>
      <c r="O300" s="368">
        <f t="shared" si="14"/>
        <v>0</v>
      </c>
      <c r="P300" s="606"/>
      <c r="Q300" s="606"/>
      <c r="R300" s="606"/>
      <c r="S300" s="606"/>
      <c r="T300" s="606"/>
      <c r="U300" s="606"/>
      <c r="V300" s="606"/>
      <c r="W300" s="606"/>
      <c r="X300" s="606"/>
      <c r="Y300" s="606"/>
      <c r="Z300" s="606"/>
      <c r="AA300" s="606"/>
      <c r="AB300" s="606"/>
      <c r="AC300" s="606"/>
      <c r="AD300" s="606"/>
    </row>
    <row r="301" spans="2:30">
      <c r="B301" s="367">
        <f t="shared" si="12"/>
        <v>-1</v>
      </c>
      <c r="D301" s="182"/>
      <c r="E301" s="182"/>
      <c r="F301" s="184"/>
      <c r="G301" s="182"/>
      <c r="H301" s="182"/>
      <c r="I301" s="182"/>
      <c r="J301" s="183"/>
      <c r="K301" s="183"/>
      <c r="L301" s="182"/>
      <c r="N301" s="367">
        <f t="shared" si="13"/>
        <v>0</v>
      </c>
      <c r="O301" s="368">
        <f t="shared" si="14"/>
        <v>0</v>
      </c>
      <c r="P301" s="606"/>
      <c r="Q301" s="606"/>
      <c r="R301" s="606"/>
      <c r="S301" s="606"/>
      <c r="T301" s="606"/>
      <c r="U301" s="606"/>
      <c r="V301" s="606"/>
      <c r="W301" s="606"/>
      <c r="X301" s="606"/>
      <c r="Y301" s="606"/>
      <c r="Z301" s="606"/>
      <c r="AA301" s="606"/>
      <c r="AB301" s="606"/>
      <c r="AC301" s="606"/>
      <c r="AD301" s="606"/>
    </row>
    <row r="302" spans="2:30">
      <c r="B302" s="367">
        <f t="shared" si="12"/>
        <v>-1</v>
      </c>
      <c r="D302" s="182"/>
      <c r="E302" s="182"/>
      <c r="F302" s="184"/>
      <c r="G302" s="182"/>
      <c r="H302" s="182"/>
      <c r="I302" s="182"/>
      <c r="J302" s="183"/>
      <c r="K302" s="183"/>
      <c r="L302" s="182"/>
      <c r="N302" s="367">
        <f t="shared" si="13"/>
        <v>0</v>
      </c>
      <c r="O302" s="368">
        <f t="shared" si="14"/>
        <v>0</v>
      </c>
      <c r="P302" s="606"/>
      <c r="Q302" s="606"/>
      <c r="R302" s="606"/>
      <c r="S302" s="606"/>
      <c r="T302" s="606"/>
      <c r="U302" s="606"/>
      <c r="V302" s="606"/>
      <c r="W302" s="606"/>
      <c r="X302" s="606"/>
      <c r="Y302" s="606"/>
      <c r="Z302" s="606"/>
      <c r="AA302" s="606"/>
      <c r="AB302" s="606"/>
      <c r="AC302" s="606"/>
      <c r="AD302" s="606"/>
    </row>
    <row r="303" spans="2:30">
      <c r="B303" s="367">
        <f t="shared" si="12"/>
        <v>-1</v>
      </c>
      <c r="D303" s="182"/>
      <c r="E303" s="182"/>
      <c r="F303" s="184"/>
      <c r="G303" s="182"/>
      <c r="H303" s="182"/>
      <c r="I303" s="182"/>
      <c r="J303" s="183"/>
      <c r="K303" s="183"/>
      <c r="L303" s="182"/>
      <c r="N303" s="367">
        <f t="shared" si="13"/>
        <v>0</v>
      </c>
      <c r="O303" s="368">
        <f t="shared" si="14"/>
        <v>0</v>
      </c>
      <c r="P303" s="606"/>
      <c r="Q303" s="606"/>
      <c r="R303" s="606"/>
      <c r="S303" s="606"/>
      <c r="T303" s="606"/>
      <c r="U303" s="606"/>
      <c r="V303" s="606"/>
      <c r="W303" s="606"/>
      <c r="X303" s="606"/>
      <c r="Y303" s="606"/>
      <c r="Z303" s="606"/>
      <c r="AA303" s="606"/>
      <c r="AB303" s="606"/>
      <c r="AC303" s="606"/>
      <c r="AD303" s="606"/>
    </row>
    <row r="304" spans="2:30">
      <c r="B304" s="367">
        <f t="shared" si="12"/>
        <v>-1</v>
      </c>
      <c r="D304" s="182"/>
      <c r="E304" s="182"/>
      <c r="F304" s="184"/>
      <c r="G304" s="182"/>
      <c r="H304" s="182"/>
      <c r="I304" s="182"/>
      <c r="J304" s="183"/>
      <c r="K304" s="183"/>
      <c r="L304" s="182"/>
      <c r="N304" s="367">
        <f t="shared" si="13"/>
        <v>0</v>
      </c>
      <c r="O304" s="368">
        <f t="shared" si="14"/>
        <v>0</v>
      </c>
      <c r="P304" s="606"/>
      <c r="Q304" s="606"/>
      <c r="R304" s="606"/>
      <c r="S304" s="606"/>
      <c r="T304" s="606"/>
      <c r="U304" s="606"/>
      <c r="V304" s="606"/>
      <c r="W304" s="606"/>
      <c r="X304" s="606"/>
      <c r="Y304" s="606"/>
      <c r="Z304" s="606"/>
      <c r="AA304" s="606"/>
      <c r="AB304" s="606"/>
      <c r="AC304" s="606"/>
      <c r="AD304" s="606"/>
    </row>
    <row r="305" spans="2:30">
      <c r="B305" s="367">
        <f t="shared" si="12"/>
        <v>-1</v>
      </c>
      <c r="D305" s="182"/>
      <c r="E305" s="182"/>
      <c r="F305" s="184"/>
      <c r="G305" s="182"/>
      <c r="H305" s="182"/>
      <c r="I305" s="182"/>
      <c r="J305" s="183"/>
      <c r="K305" s="183"/>
      <c r="L305" s="182"/>
      <c r="N305" s="367">
        <f t="shared" si="13"/>
        <v>0</v>
      </c>
      <c r="O305" s="368">
        <f t="shared" si="14"/>
        <v>0</v>
      </c>
      <c r="P305" s="606"/>
      <c r="Q305" s="606"/>
      <c r="R305" s="606"/>
      <c r="S305" s="606"/>
      <c r="T305" s="606"/>
      <c r="U305" s="606"/>
      <c r="V305" s="606"/>
      <c r="W305" s="606"/>
      <c r="X305" s="606"/>
      <c r="Y305" s="606"/>
      <c r="Z305" s="606"/>
      <c r="AA305" s="606"/>
      <c r="AB305" s="606"/>
      <c r="AC305" s="606"/>
      <c r="AD305" s="606"/>
    </row>
    <row r="306" spans="2:30">
      <c r="B306" s="367">
        <f t="shared" si="12"/>
        <v>-1</v>
      </c>
      <c r="D306" s="182"/>
      <c r="E306" s="182"/>
      <c r="F306" s="184"/>
      <c r="G306" s="182"/>
      <c r="H306" s="182"/>
      <c r="I306" s="182"/>
      <c r="J306" s="183"/>
      <c r="K306" s="183"/>
      <c r="L306" s="182"/>
      <c r="N306" s="367">
        <f t="shared" si="13"/>
        <v>0</v>
      </c>
      <c r="O306" s="368">
        <f t="shared" si="14"/>
        <v>0</v>
      </c>
      <c r="P306" s="606"/>
      <c r="Q306" s="606"/>
      <c r="R306" s="606"/>
      <c r="S306" s="606"/>
      <c r="T306" s="606"/>
      <c r="U306" s="606"/>
      <c r="V306" s="606"/>
      <c r="W306" s="606"/>
      <c r="X306" s="606"/>
      <c r="Y306" s="606"/>
      <c r="Z306" s="606"/>
      <c r="AA306" s="606"/>
      <c r="AB306" s="606"/>
      <c r="AC306" s="606"/>
      <c r="AD306" s="606"/>
    </row>
    <row r="307" spans="2:30">
      <c r="B307" s="367">
        <f t="shared" si="12"/>
        <v>-1</v>
      </c>
      <c r="D307" s="182"/>
      <c r="E307" s="182"/>
      <c r="F307" s="184"/>
      <c r="G307" s="182"/>
      <c r="H307" s="182"/>
      <c r="I307" s="182"/>
      <c r="J307" s="183"/>
      <c r="K307" s="183"/>
      <c r="L307" s="182"/>
      <c r="N307" s="367">
        <f t="shared" si="13"/>
        <v>0</v>
      </c>
      <c r="O307" s="368">
        <f t="shared" si="14"/>
        <v>0</v>
      </c>
      <c r="P307" s="606"/>
      <c r="Q307" s="606"/>
      <c r="R307" s="606"/>
      <c r="S307" s="606"/>
      <c r="T307" s="606"/>
      <c r="U307" s="606"/>
      <c r="V307" s="606"/>
      <c r="W307" s="606"/>
      <c r="X307" s="606"/>
      <c r="Y307" s="606"/>
      <c r="Z307" s="606"/>
      <c r="AA307" s="606"/>
      <c r="AB307" s="606"/>
      <c r="AC307" s="606"/>
      <c r="AD307" s="606"/>
    </row>
    <row r="308" spans="2:30">
      <c r="B308" s="367">
        <f t="shared" si="12"/>
        <v>-1</v>
      </c>
      <c r="D308" s="182"/>
      <c r="E308" s="182"/>
      <c r="F308" s="184"/>
      <c r="G308" s="182"/>
      <c r="H308" s="182"/>
      <c r="I308" s="182"/>
      <c r="J308" s="183"/>
      <c r="K308" s="183"/>
      <c r="L308" s="182"/>
      <c r="N308" s="367">
        <f t="shared" si="13"/>
        <v>0</v>
      </c>
      <c r="O308" s="368">
        <f t="shared" si="14"/>
        <v>0</v>
      </c>
      <c r="P308" s="606"/>
      <c r="Q308" s="606"/>
      <c r="R308" s="606"/>
      <c r="S308" s="606"/>
      <c r="T308" s="606"/>
      <c r="U308" s="606"/>
      <c r="V308" s="606"/>
      <c r="W308" s="606"/>
      <c r="X308" s="606"/>
      <c r="Y308" s="606"/>
      <c r="Z308" s="606"/>
      <c r="AA308" s="606"/>
      <c r="AB308" s="606"/>
      <c r="AC308" s="606"/>
      <c r="AD308" s="606"/>
    </row>
    <row r="309" spans="2:30">
      <c r="B309" s="367">
        <f t="shared" si="12"/>
        <v>-1</v>
      </c>
      <c r="D309" s="182"/>
      <c r="E309" s="182"/>
      <c r="F309" s="184"/>
      <c r="G309" s="182"/>
      <c r="H309" s="182"/>
      <c r="I309" s="182"/>
      <c r="J309" s="183"/>
      <c r="K309" s="183"/>
      <c r="L309" s="182"/>
      <c r="N309" s="367">
        <f t="shared" si="13"/>
        <v>0</v>
      </c>
      <c r="O309" s="368">
        <f t="shared" si="14"/>
        <v>0</v>
      </c>
      <c r="P309" s="606"/>
      <c r="Q309" s="606"/>
      <c r="R309" s="606"/>
      <c r="S309" s="606"/>
      <c r="T309" s="606"/>
      <c r="U309" s="606"/>
      <c r="V309" s="606"/>
      <c r="W309" s="606"/>
      <c r="X309" s="606"/>
      <c r="Y309" s="606"/>
      <c r="Z309" s="606"/>
      <c r="AA309" s="606"/>
      <c r="AB309" s="606"/>
      <c r="AC309" s="606"/>
      <c r="AD309" s="606"/>
    </row>
    <row r="310" spans="2:30">
      <c r="B310" s="367">
        <f t="shared" si="12"/>
        <v>-1</v>
      </c>
      <c r="D310" s="182"/>
      <c r="E310" s="182"/>
      <c r="F310" s="184"/>
      <c r="G310" s="182"/>
      <c r="H310" s="182"/>
      <c r="I310" s="182"/>
      <c r="J310" s="183"/>
      <c r="K310" s="183"/>
      <c r="L310" s="182"/>
      <c r="N310" s="367">
        <f t="shared" si="13"/>
        <v>0</v>
      </c>
      <c r="O310" s="368">
        <f t="shared" si="14"/>
        <v>0</v>
      </c>
      <c r="P310" s="606"/>
      <c r="Q310" s="606"/>
      <c r="R310" s="606"/>
      <c r="S310" s="606"/>
      <c r="T310" s="606"/>
      <c r="U310" s="606"/>
      <c r="V310" s="606"/>
      <c r="W310" s="606"/>
      <c r="X310" s="606"/>
      <c r="Y310" s="606"/>
      <c r="Z310" s="606"/>
      <c r="AA310" s="606"/>
      <c r="AB310" s="606"/>
      <c r="AC310" s="606"/>
      <c r="AD310" s="606"/>
    </row>
    <row r="311" spans="2:30">
      <c r="B311" s="367">
        <f t="shared" si="12"/>
        <v>-1</v>
      </c>
      <c r="D311" s="182"/>
      <c r="E311" s="182"/>
      <c r="F311" s="184"/>
      <c r="G311" s="182"/>
      <c r="H311" s="182"/>
      <c r="I311" s="182"/>
      <c r="J311" s="183"/>
      <c r="K311" s="183"/>
      <c r="L311" s="182"/>
      <c r="N311" s="367">
        <f t="shared" si="13"/>
        <v>0</v>
      </c>
      <c r="O311" s="368">
        <f t="shared" si="14"/>
        <v>0</v>
      </c>
      <c r="P311" s="606"/>
      <c r="Q311" s="606"/>
      <c r="R311" s="606"/>
      <c r="S311" s="606"/>
      <c r="T311" s="606"/>
      <c r="U311" s="606"/>
      <c r="V311" s="606"/>
      <c r="W311" s="606"/>
      <c r="X311" s="606"/>
      <c r="Y311" s="606"/>
      <c r="Z311" s="606"/>
      <c r="AA311" s="606"/>
      <c r="AB311" s="606"/>
      <c r="AC311" s="606"/>
      <c r="AD311" s="606"/>
    </row>
    <row r="312" spans="2:30">
      <c r="B312" s="367">
        <f t="shared" si="12"/>
        <v>-1</v>
      </c>
      <c r="D312" s="182"/>
      <c r="E312" s="182"/>
      <c r="F312" s="184"/>
      <c r="G312" s="182"/>
      <c r="H312" s="182"/>
      <c r="I312" s="182"/>
      <c r="J312" s="183"/>
      <c r="K312" s="183"/>
      <c r="L312" s="182"/>
      <c r="N312" s="367">
        <f t="shared" si="13"/>
        <v>0</v>
      </c>
      <c r="O312" s="368">
        <f t="shared" si="14"/>
        <v>0</v>
      </c>
      <c r="P312" s="606"/>
      <c r="Q312" s="606"/>
      <c r="R312" s="606"/>
      <c r="S312" s="606"/>
      <c r="T312" s="606"/>
      <c r="U312" s="606"/>
      <c r="V312" s="606"/>
      <c r="W312" s="606"/>
      <c r="X312" s="606"/>
      <c r="Y312" s="606"/>
      <c r="Z312" s="606"/>
      <c r="AA312" s="606"/>
      <c r="AB312" s="606"/>
      <c r="AC312" s="606"/>
      <c r="AD312" s="606"/>
    </row>
    <row r="313" spans="2:30">
      <c r="B313" s="367">
        <f t="shared" si="12"/>
        <v>-1</v>
      </c>
      <c r="D313" s="182"/>
      <c r="E313" s="182"/>
      <c r="F313" s="184"/>
      <c r="G313" s="182"/>
      <c r="H313" s="182"/>
      <c r="I313" s="182"/>
      <c r="J313" s="183"/>
      <c r="K313" s="183"/>
      <c r="L313" s="182"/>
      <c r="N313" s="367">
        <f t="shared" si="13"/>
        <v>0</v>
      </c>
      <c r="O313" s="368">
        <f t="shared" si="14"/>
        <v>0</v>
      </c>
      <c r="P313" s="606"/>
      <c r="Q313" s="606"/>
      <c r="R313" s="606"/>
      <c r="S313" s="606"/>
      <c r="T313" s="606"/>
      <c r="U313" s="606"/>
      <c r="V313" s="606"/>
      <c r="W313" s="606"/>
      <c r="X313" s="606"/>
      <c r="Y313" s="606"/>
      <c r="Z313" s="606"/>
      <c r="AA313" s="606"/>
      <c r="AB313" s="606"/>
      <c r="AC313" s="606"/>
      <c r="AD313" s="606"/>
    </row>
    <row r="314" spans="2:30">
      <c r="B314" s="367">
        <f t="shared" si="12"/>
        <v>-1</v>
      </c>
      <c r="D314" s="182"/>
      <c r="E314" s="182"/>
      <c r="F314" s="184"/>
      <c r="G314" s="182"/>
      <c r="H314" s="182"/>
      <c r="I314" s="182"/>
      <c r="J314" s="183"/>
      <c r="K314" s="183"/>
      <c r="L314" s="182"/>
      <c r="N314" s="367">
        <f t="shared" si="13"/>
        <v>0</v>
      </c>
      <c r="O314" s="368">
        <f t="shared" si="14"/>
        <v>0</v>
      </c>
      <c r="P314" s="606"/>
      <c r="Q314" s="606"/>
      <c r="R314" s="606"/>
      <c r="S314" s="606"/>
      <c r="T314" s="606"/>
      <c r="U314" s="606"/>
      <c r="V314" s="606"/>
      <c r="W314" s="606"/>
      <c r="X314" s="606"/>
      <c r="Y314" s="606"/>
      <c r="Z314" s="606"/>
      <c r="AA314" s="606"/>
      <c r="AB314" s="606"/>
      <c r="AC314" s="606"/>
      <c r="AD314" s="606"/>
    </row>
    <row r="315" spans="2:30">
      <c r="B315" s="367">
        <f t="shared" si="12"/>
        <v>-1</v>
      </c>
      <c r="D315" s="182"/>
      <c r="E315" s="182"/>
      <c r="F315" s="184"/>
      <c r="G315" s="182"/>
      <c r="H315" s="182"/>
      <c r="I315" s="182"/>
      <c r="J315" s="183"/>
      <c r="K315" s="183"/>
      <c r="L315" s="182"/>
      <c r="N315" s="367">
        <f t="shared" si="13"/>
        <v>0</v>
      </c>
      <c r="O315" s="368">
        <f t="shared" si="14"/>
        <v>0</v>
      </c>
      <c r="P315" s="606"/>
      <c r="Q315" s="606"/>
      <c r="R315" s="606"/>
      <c r="S315" s="606"/>
      <c r="T315" s="606"/>
      <c r="U315" s="606"/>
      <c r="V315" s="606"/>
      <c r="W315" s="606"/>
      <c r="X315" s="606"/>
      <c r="Y315" s="606"/>
      <c r="Z315" s="606"/>
      <c r="AA315" s="606"/>
      <c r="AB315" s="606"/>
      <c r="AC315" s="606"/>
      <c r="AD315" s="606"/>
    </row>
    <row r="316" spans="2:30">
      <c r="B316" s="367">
        <f t="shared" si="12"/>
        <v>-1</v>
      </c>
      <c r="D316" s="182"/>
      <c r="E316" s="182"/>
      <c r="F316" s="184"/>
      <c r="G316" s="182"/>
      <c r="H316" s="182"/>
      <c r="I316" s="182"/>
      <c r="J316" s="183"/>
      <c r="K316" s="183"/>
      <c r="L316" s="182"/>
      <c r="N316" s="367">
        <f t="shared" si="13"/>
        <v>0</v>
      </c>
      <c r="O316" s="368">
        <f t="shared" si="14"/>
        <v>0</v>
      </c>
      <c r="P316" s="606"/>
      <c r="Q316" s="606"/>
      <c r="R316" s="606"/>
      <c r="S316" s="606"/>
      <c r="T316" s="606"/>
      <c r="U316" s="606"/>
      <c r="V316" s="606"/>
      <c r="W316" s="606"/>
      <c r="X316" s="606"/>
      <c r="Y316" s="606"/>
      <c r="Z316" s="606"/>
      <c r="AA316" s="606"/>
      <c r="AB316" s="606"/>
      <c r="AC316" s="606"/>
      <c r="AD316" s="606"/>
    </row>
    <row r="317" spans="2:30">
      <c r="B317" s="367">
        <f t="shared" si="12"/>
        <v>-1</v>
      </c>
      <c r="D317" s="182"/>
      <c r="E317" s="182"/>
      <c r="F317" s="184"/>
      <c r="G317" s="182"/>
      <c r="H317" s="182"/>
      <c r="I317" s="182"/>
      <c r="J317" s="183"/>
      <c r="K317" s="183"/>
      <c r="L317" s="182"/>
      <c r="N317" s="367">
        <f t="shared" si="13"/>
        <v>0</v>
      </c>
      <c r="O317" s="368">
        <f t="shared" si="14"/>
        <v>0</v>
      </c>
      <c r="P317" s="606"/>
      <c r="Q317" s="606"/>
      <c r="R317" s="606"/>
      <c r="S317" s="606"/>
      <c r="T317" s="606"/>
      <c r="U317" s="606"/>
      <c r="V317" s="606"/>
      <c r="W317" s="606"/>
      <c r="X317" s="606"/>
      <c r="Y317" s="606"/>
      <c r="Z317" s="606"/>
      <c r="AA317" s="606"/>
      <c r="AB317" s="606"/>
      <c r="AC317" s="606"/>
      <c r="AD317" s="606"/>
    </row>
    <row r="318" spans="2:30">
      <c r="B318" s="367">
        <f t="shared" si="12"/>
        <v>-1</v>
      </c>
      <c r="D318" s="182"/>
      <c r="E318" s="182"/>
      <c r="F318" s="184"/>
      <c r="G318" s="182"/>
      <c r="H318" s="182"/>
      <c r="I318" s="182"/>
      <c r="J318" s="183"/>
      <c r="K318" s="183"/>
      <c r="L318" s="182"/>
      <c r="N318" s="367">
        <f t="shared" si="13"/>
        <v>0</v>
      </c>
      <c r="O318" s="368">
        <f t="shared" si="14"/>
        <v>0</v>
      </c>
      <c r="P318" s="606"/>
      <c r="Q318" s="606"/>
      <c r="R318" s="606"/>
      <c r="S318" s="606"/>
      <c r="T318" s="606"/>
      <c r="U318" s="606"/>
      <c r="V318" s="606"/>
      <c r="W318" s="606"/>
      <c r="X318" s="606"/>
      <c r="Y318" s="606"/>
      <c r="Z318" s="606"/>
      <c r="AA318" s="606"/>
      <c r="AB318" s="606"/>
      <c r="AC318" s="606"/>
      <c r="AD318" s="606"/>
    </row>
    <row r="319" spans="2:30">
      <c r="B319" s="367">
        <f t="shared" si="12"/>
        <v>-1</v>
      </c>
      <c r="D319" s="182"/>
      <c r="E319" s="182"/>
      <c r="F319" s="184"/>
      <c r="G319" s="182"/>
      <c r="H319" s="182"/>
      <c r="I319" s="182"/>
      <c r="J319" s="183"/>
      <c r="K319" s="183"/>
      <c r="L319" s="182"/>
      <c r="N319" s="367">
        <f t="shared" si="13"/>
        <v>0</v>
      </c>
      <c r="O319" s="368">
        <f t="shared" si="14"/>
        <v>0</v>
      </c>
      <c r="P319" s="606"/>
      <c r="Q319" s="606"/>
      <c r="R319" s="606"/>
      <c r="S319" s="606"/>
      <c r="T319" s="606"/>
      <c r="U319" s="606"/>
      <c r="V319" s="606"/>
      <c r="W319" s="606"/>
      <c r="X319" s="606"/>
      <c r="Y319" s="606"/>
      <c r="Z319" s="606"/>
      <c r="AA319" s="606"/>
      <c r="AB319" s="606"/>
      <c r="AC319" s="606"/>
      <c r="AD319" s="606"/>
    </row>
    <row r="320" spans="2:30">
      <c r="B320" s="367">
        <f t="shared" si="12"/>
        <v>-1</v>
      </c>
      <c r="D320" s="182"/>
      <c r="E320" s="182"/>
      <c r="F320" s="184"/>
      <c r="G320" s="182"/>
      <c r="H320" s="182"/>
      <c r="I320" s="182"/>
      <c r="J320" s="183"/>
      <c r="K320" s="183"/>
      <c r="L320" s="182"/>
      <c r="N320" s="367">
        <f t="shared" si="13"/>
        <v>0</v>
      </c>
      <c r="O320" s="368">
        <f t="shared" si="14"/>
        <v>0</v>
      </c>
      <c r="P320" s="606"/>
      <c r="Q320" s="606"/>
      <c r="R320" s="606"/>
      <c r="S320" s="606"/>
      <c r="T320" s="606"/>
      <c r="U320" s="606"/>
      <c r="V320" s="606"/>
      <c r="W320" s="606"/>
      <c r="X320" s="606"/>
      <c r="Y320" s="606"/>
      <c r="Z320" s="606"/>
      <c r="AA320" s="606"/>
      <c r="AB320" s="606"/>
      <c r="AC320" s="606"/>
      <c r="AD320" s="606"/>
    </row>
    <row r="321" spans="2:30">
      <c r="B321" s="367">
        <f t="shared" si="12"/>
        <v>-1</v>
      </c>
      <c r="D321" s="182"/>
      <c r="E321" s="182"/>
      <c r="F321" s="184"/>
      <c r="G321" s="182"/>
      <c r="H321" s="182"/>
      <c r="I321" s="182"/>
      <c r="J321" s="183"/>
      <c r="K321" s="183"/>
      <c r="L321" s="182"/>
      <c r="N321" s="367">
        <f t="shared" si="13"/>
        <v>0</v>
      </c>
      <c r="O321" s="368">
        <f t="shared" si="14"/>
        <v>0</v>
      </c>
      <c r="P321" s="606"/>
      <c r="Q321" s="606"/>
      <c r="R321" s="606"/>
      <c r="S321" s="606"/>
      <c r="T321" s="606"/>
      <c r="U321" s="606"/>
      <c r="V321" s="606"/>
      <c r="W321" s="606"/>
      <c r="X321" s="606"/>
      <c r="Y321" s="606"/>
      <c r="Z321" s="606"/>
      <c r="AA321" s="606"/>
      <c r="AB321" s="606"/>
      <c r="AC321" s="606"/>
      <c r="AD321" s="606"/>
    </row>
    <row r="322" spans="2:30">
      <c r="B322" s="367">
        <f t="shared" si="12"/>
        <v>-1</v>
      </c>
      <c r="D322" s="182"/>
      <c r="E322" s="182"/>
      <c r="F322" s="184"/>
      <c r="G322" s="182"/>
      <c r="H322" s="182"/>
      <c r="I322" s="182"/>
      <c r="J322" s="183"/>
      <c r="K322" s="183"/>
      <c r="L322" s="182"/>
      <c r="N322" s="367">
        <f t="shared" si="13"/>
        <v>0</v>
      </c>
      <c r="O322" s="368">
        <f t="shared" si="14"/>
        <v>0</v>
      </c>
      <c r="P322" s="606"/>
      <c r="Q322" s="606"/>
      <c r="R322" s="606"/>
      <c r="S322" s="606"/>
      <c r="T322" s="606"/>
      <c r="U322" s="606"/>
      <c r="V322" s="606"/>
      <c r="W322" s="606"/>
      <c r="X322" s="606"/>
      <c r="Y322" s="606"/>
      <c r="Z322" s="606"/>
      <c r="AA322" s="606"/>
      <c r="AB322" s="606"/>
      <c r="AC322" s="606"/>
      <c r="AD322" s="606"/>
    </row>
    <row r="323" spans="2:30">
      <c r="B323" s="367">
        <f t="shared" si="12"/>
        <v>-1</v>
      </c>
      <c r="D323" s="182"/>
      <c r="E323" s="182"/>
      <c r="F323" s="184"/>
      <c r="G323" s="182"/>
      <c r="H323" s="182"/>
      <c r="I323" s="182"/>
      <c r="J323" s="183"/>
      <c r="K323" s="183"/>
      <c r="L323" s="182"/>
      <c r="N323" s="367">
        <f t="shared" si="13"/>
        <v>0</v>
      </c>
      <c r="O323" s="368">
        <f t="shared" si="14"/>
        <v>0</v>
      </c>
      <c r="P323" s="606"/>
      <c r="Q323" s="606"/>
      <c r="R323" s="606"/>
      <c r="S323" s="606"/>
      <c r="T323" s="606"/>
      <c r="U323" s="606"/>
      <c r="V323" s="606"/>
      <c r="W323" s="606"/>
      <c r="X323" s="606"/>
      <c r="Y323" s="606"/>
      <c r="Z323" s="606"/>
      <c r="AA323" s="606"/>
      <c r="AB323" s="606"/>
      <c r="AC323" s="606"/>
      <c r="AD323" s="606"/>
    </row>
    <row r="324" spans="2:30">
      <c r="B324" s="367">
        <f t="shared" si="12"/>
        <v>-1</v>
      </c>
      <c r="D324" s="182"/>
      <c r="E324" s="182"/>
      <c r="F324" s="184"/>
      <c r="G324" s="182"/>
      <c r="H324" s="182"/>
      <c r="I324" s="182"/>
      <c r="J324" s="183"/>
      <c r="K324" s="183"/>
      <c r="L324" s="182"/>
      <c r="N324" s="367">
        <f t="shared" si="13"/>
        <v>0</v>
      </c>
      <c r="O324" s="368">
        <f t="shared" si="14"/>
        <v>0</v>
      </c>
      <c r="P324" s="606"/>
      <c r="Q324" s="606"/>
      <c r="R324" s="606"/>
      <c r="S324" s="606"/>
      <c r="T324" s="606"/>
      <c r="U324" s="606"/>
      <c r="V324" s="606"/>
      <c r="W324" s="606"/>
      <c r="X324" s="606"/>
      <c r="Y324" s="606"/>
      <c r="Z324" s="606"/>
      <c r="AA324" s="606"/>
      <c r="AB324" s="606"/>
      <c r="AC324" s="606"/>
      <c r="AD324" s="606"/>
    </row>
    <row r="325" spans="2:30">
      <c r="B325" s="367">
        <f t="shared" si="12"/>
        <v>-1</v>
      </c>
      <c r="D325" s="182"/>
      <c r="E325" s="182"/>
      <c r="F325" s="184"/>
      <c r="G325" s="182"/>
      <c r="H325" s="182"/>
      <c r="I325" s="182"/>
      <c r="J325" s="183"/>
      <c r="K325" s="183"/>
      <c r="L325" s="182"/>
      <c r="N325" s="367">
        <f t="shared" si="13"/>
        <v>0</v>
      </c>
      <c r="O325" s="368">
        <f t="shared" si="14"/>
        <v>0</v>
      </c>
      <c r="P325" s="606"/>
      <c r="Q325" s="606"/>
      <c r="R325" s="606"/>
      <c r="S325" s="606"/>
      <c r="T325" s="606"/>
      <c r="U325" s="606"/>
      <c r="V325" s="606"/>
      <c r="W325" s="606"/>
      <c r="X325" s="606"/>
      <c r="Y325" s="606"/>
      <c r="Z325" s="606"/>
      <c r="AA325" s="606"/>
      <c r="AB325" s="606"/>
      <c r="AC325" s="606"/>
      <c r="AD325" s="606"/>
    </row>
    <row r="326" spans="2:30">
      <c r="B326" s="367">
        <f t="shared" si="12"/>
        <v>-1</v>
      </c>
      <c r="D326" s="182"/>
      <c r="E326" s="182"/>
      <c r="F326" s="184"/>
      <c r="G326" s="182"/>
      <c r="H326" s="182"/>
      <c r="I326" s="182"/>
      <c r="J326" s="183"/>
      <c r="K326" s="183"/>
      <c r="L326" s="182"/>
      <c r="N326" s="367">
        <f t="shared" si="13"/>
        <v>0</v>
      </c>
      <c r="O326" s="368">
        <f t="shared" si="14"/>
        <v>0</v>
      </c>
      <c r="P326" s="606"/>
      <c r="Q326" s="606"/>
      <c r="R326" s="606"/>
      <c r="S326" s="606"/>
      <c r="T326" s="606"/>
      <c r="U326" s="606"/>
      <c r="V326" s="606"/>
      <c r="W326" s="606"/>
      <c r="X326" s="606"/>
      <c r="Y326" s="606"/>
      <c r="Z326" s="606"/>
      <c r="AA326" s="606"/>
      <c r="AB326" s="606"/>
      <c r="AC326" s="606"/>
      <c r="AD326" s="606"/>
    </row>
    <row r="327" spans="2:30">
      <c r="B327" s="367">
        <f t="shared" si="12"/>
        <v>-1</v>
      </c>
      <c r="D327" s="182"/>
      <c r="E327" s="182"/>
      <c r="F327" s="184"/>
      <c r="G327" s="182"/>
      <c r="H327" s="182"/>
      <c r="I327" s="182"/>
      <c r="J327" s="183"/>
      <c r="K327" s="183"/>
      <c r="L327" s="182"/>
      <c r="N327" s="367">
        <f t="shared" si="13"/>
        <v>0</v>
      </c>
      <c r="O327" s="368">
        <f t="shared" si="14"/>
        <v>0</v>
      </c>
      <c r="P327" s="606"/>
      <c r="Q327" s="606"/>
      <c r="R327" s="606"/>
      <c r="S327" s="606"/>
      <c r="T327" s="606"/>
      <c r="U327" s="606"/>
      <c r="V327" s="606"/>
      <c r="W327" s="606"/>
      <c r="X327" s="606"/>
      <c r="Y327" s="606"/>
      <c r="Z327" s="606"/>
      <c r="AA327" s="606"/>
      <c r="AB327" s="606"/>
      <c r="AC327" s="606"/>
      <c r="AD327" s="606"/>
    </row>
    <row r="328" spans="2:30">
      <c r="B328" s="367">
        <f t="shared" si="12"/>
        <v>-1</v>
      </c>
      <c r="D328" s="182"/>
      <c r="E328" s="182"/>
      <c r="F328" s="184"/>
      <c r="G328" s="182"/>
      <c r="H328" s="182"/>
      <c r="I328" s="182"/>
      <c r="J328" s="183"/>
      <c r="K328" s="183"/>
      <c r="L328" s="182"/>
      <c r="N328" s="367">
        <f t="shared" si="13"/>
        <v>0</v>
      </c>
      <c r="O328" s="368">
        <f t="shared" si="14"/>
        <v>0</v>
      </c>
      <c r="P328" s="606"/>
      <c r="Q328" s="606"/>
      <c r="R328" s="606"/>
      <c r="S328" s="606"/>
      <c r="T328" s="606"/>
      <c r="U328" s="606"/>
      <c r="V328" s="606"/>
      <c r="W328" s="606"/>
      <c r="X328" s="606"/>
      <c r="Y328" s="606"/>
      <c r="Z328" s="606"/>
      <c r="AA328" s="606"/>
      <c r="AB328" s="606"/>
      <c r="AC328" s="606"/>
      <c r="AD328" s="606"/>
    </row>
    <row r="329" spans="2:30">
      <c r="B329" s="367">
        <f t="shared" si="12"/>
        <v>-1</v>
      </c>
      <c r="D329" s="182"/>
      <c r="E329" s="182"/>
      <c r="F329" s="184"/>
      <c r="G329" s="182"/>
      <c r="H329" s="182"/>
      <c r="I329" s="182"/>
      <c r="J329" s="183"/>
      <c r="K329" s="183"/>
      <c r="L329" s="182"/>
      <c r="N329" s="367">
        <f t="shared" si="13"/>
        <v>0</v>
      </c>
      <c r="O329" s="368">
        <f t="shared" si="14"/>
        <v>0</v>
      </c>
      <c r="P329" s="606"/>
      <c r="Q329" s="606"/>
      <c r="R329" s="606"/>
      <c r="S329" s="606"/>
      <c r="T329" s="606"/>
      <c r="U329" s="606"/>
      <c r="V329" s="606"/>
      <c r="W329" s="606"/>
      <c r="X329" s="606"/>
      <c r="Y329" s="606"/>
      <c r="Z329" s="606"/>
      <c r="AA329" s="606"/>
      <c r="AB329" s="606"/>
      <c r="AC329" s="606"/>
      <c r="AD329" s="606"/>
    </row>
    <row r="330" spans="2:30">
      <c r="B330" s="367">
        <f t="shared" ref="B330:B393" si="15">IF(G330="buy",1,-1)</f>
        <v>-1</v>
      </c>
      <c r="D330" s="182"/>
      <c r="E330" s="182"/>
      <c r="F330" s="184"/>
      <c r="G330" s="182"/>
      <c r="H330" s="182"/>
      <c r="I330" s="182"/>
      <c r="J330" s="183"/>
      <c r="K330" s="183"/>
      <c r="L330" s="182"/>
      <c r="N330" s="367">
        <f t="shared" ref="N330:N393" si="16">+H330*((K330-J330)+1)*B330</f>
        <v>0</v>
      </c>
      <c r="O330" s="368">
        <f t="shared" ref="O330:O393" si="17">N330*L330/100</f>
        <v>0</v>
      </c>
      <c r="P330" s="606"/>
      <c r="Q330" s="606"/>
      <c r="R330" s="606"/>
      <c r="S330" s="606"/>
      <c r="T330" s="606"/>
      <c r="U330" s="606"/>
      <c r="V330" s="606"/>
      <c r="W330" s="606"/>
      <c r="X330" s="606"/>
      <c r="Y330" s="606"/>
      <c r="Z330" s="606"/>
      <c r="AA330" s="606"/>
      <c r="AB330" s="606"/>
      <c r="AC330" s="606"/>
      <c r="AD330" s="606"/>
    </row>
    <row r="331" spans="2:30">
      <c r="B331" s="367">
        <f t="shared" si="15"/>
        <v>-1</v>
      </c>
      <c r="D331" s="182"/>
      <c r="E331" s="182"/>
      <c r="F331" s="184"/>
      <c r="G331" s="182"/>
      <c r="H331" s="182"/>
      <c r="I331" s="182"/>
      <c r="J331" s="183"/>
      <c r="K331" s="183"/>
      <c r="L331" s="182"/>
      <c r="N331" s="367">
        <f t="shared" si="16"/>
        <v>0</v>
      </c>
      <c r="O331" s="368">
        <f t="shared" si="17"/>
        <v>0</v>
      </c>
      <c r="P331" s="606"/>
      <c r="Q331" s="606"/>
      <c r="R331" s="606"/>
      <c r="S331" s="606"/>
      <c r="T331" s="606"/>
      <c r="U331" s="606"/>
      <c r="V331" s="606"/>
      <c r="W331" s="606"/>
      <c r="X331" s="606"/>
      <c r="Y331" s="606"/>
      <c r="Z331" s="606"/>
      <c r="AA331" s="606"/>
      <c r="AB331" s="606"/>
      <c r="AC331" s="606"/>
      <c r="AD331" s="606"/>
    </row>
    <row r="332" spans="2:30">
      <c r="B332" s="367">
        <f t="shared" si="15"/>
        <v>-1</v>
      </c>
      <c r="D332" s="182"/>
      <c r="E332" s="182"/>
      <c r="F332" s="184"/>
      <c r="G332" s="182"/>
      <c r="H332" s="182"/>
      <c r="I332" s="182"/>
      <c r="J332" s="183"/>
      <c r="K332" s="183"/>
      <c r="L332" s="182"/>
      <c r="N332" s="367">
        <f t="shared" si="16"/>
        <v>0</v>
      </c>
      <c r="O332" s="368">
        <f t="shared" si="17"/>
        <v>0</v>
      </c>
      <c r="P332" s="606"/>
      <c r="Q332" s="606"/>
      <c r="R332" s="606"/>
      <c r="S332" s="606"/>
      <c r="T332" s="606"/>
      <c r="U332" s="606"/>
      <c r="V332" s="606"/>
      <c r="W332" s="606"/>
      <c r="X332" s="606"/>
      <c r="Y332" s="606"/>
      <c r="Z332" s="606"/>
      <c r="AA332" s="606"/>
      <c r="AB332" s="606"/>
      <c r="AC332" s="606"/>
      <c r="AD332" s="606"/>
    </row>
    <row r="333" spans="2:30">
      <c r="B333" s="367">
        <f t="shared" si="15"/>
        <v>-1</v>
      </c>
      <c r="D333" s="182"/>
      <c r="E333" s="182"/>
      <c r="F333" s="184"/>
      <c r="G333" s="182"/>
      <c r="H333" s="182"/>
      <c r="I333" s="182"/>
      <c r="J333" s="183"/>
      <c r="K333" s="183"/>
      <c r="L333" s="182"/>
      <c r="N333" s="367">
        <f t="shared" si="16"/>
        <v>0</v>
      </c>
      <c r="O333" s="368">
        <f t="shared" si="17"/>
        <v>0</v>
      </c>
      <c r="P333" s="606"/>
      <c r="Q333" s="606"/>
      <c r="R333" s="606"/>
      <c r="S333" s="606"/>
      <c r="T333" s="606"/>
      <c r="U333" s="606"/>
      <c r="V333" s="606"/>
      <c r="W333" s="606"/>
      <c r="X333" s="606"/>
      <c r="Y333" s="606"/>
      <c r="Z333" s="606"/>
      <c r="AA333" s="606"/>
      <c r="AB333" s="606"/>
      <c r="AC333" s="606"/>
      <c r="AD333" s="606"/>
    </row>
    <row r="334" spans="2:30">
      <c r="B334" s="367">
        <f t="shared" si="15"/>
        <v>-1</v>
      </c>
      <c r="D334" s="182"/>
      <c r="E334" s="182"/>
      <c r="F334" s="184"/>
      <c r="G334" s="182"/>
      <c r="H334" s="182"/>
      <c r="I334" s="182"/>
      <c r="J334" s="183"/>
      <c r="K334" s="183"/>
      <c r="L334" s="182"/>
      <c r="N334" s="367">
        <f t="shared" si="16"/>
        <v>0</v>
      </c>
      <c r="O334" s="368">
        <f t="shared" si="17"/>
        <v>0</v>
      </c>
      <c r="P334" s="606"/>
      <c r="Q334" s="606"/>
      <c r="R334" s="606"/>
      <c r="S334" s="606"/>
      <c r="T334" s="606"/>
      <c r="U334" s="606"/>
      <c r="V334" s="606"/>
      <c r="W334" s="606"/>
      <c r="X334" s="606"/>
      <c r="Y334" s="606"/>
      <c r="Z334" s="606"/>
      <c r="AA334" s="606"/>
      <c r="AB334" s="606"/>
      <c r="AC334" s="606"/>
      <c r="AD334" s="606"/>
    </row>
    <row r="335" spans="2:30">
      <c r="B335" s="367">
        <f t="shared" si="15"/>
        <v>-1</v>
      </c>
      <c r="D335" s="182"/>
      <c r="E335" s="182"/>
      <c r="F335" s="184"/>
      <c r="G335" s="182"/>
      <c r="H335" s="182"/>
      <c r="I335" s="182"/>
      <c r="J335" s="183"/>
      <c r="K335" s="183"/>
      <c r="L335" s="182"/>
      <c r="N335" s="367">
        <f t="shared" si="16"/>
        <v>0</v>
      </c>
      <c r="O335" s="368">
        <f t="shared" si="17"/>
        <v>0</v>
      </c>
      <c r="P335" s="606"/>
      <c r="Q335" s="606"/>
      <c r="R335" s="606"/>
      <c r="S335" s="606"/>
      <c r="T335" s="606"/>
      <c r="U335" s="606"/>
      <c r="V335" s="606"/>
      <c r="W335" s="606"/>
      <c r="X335" s="606"/>
      <c r="Y335" s="606"/>
      <c r="Z335" s="606"/>
      <c r="AA335" s="606"/>
      <c r="AB335" s="606"/>
      <c r="AC335" s="606"/>
      <c r="AD335" s="606"/>
    </row>
    <row r="336" spans="2:30">
      <c r="B336" s="367">
        <f t="shared" si="15"/>
        <v>-1</v>
      </c>
      <c r="D336" s="182"/>
      <c r="E336" s="182"/>
      <c r="F336" s="184"/>
      <c r="G336" s="182"/>
      <c r="H336" s="182"/>
      <c r="I336" s="182"/>
      <c r="J336" s="183"/>
      <c r="K336" s="183"/>
      <c r="L336" s="182"/>
      <c r="N336" s="367">
        <f t="shared" si="16"/>
        <v>0</v>
      </c>
      <c r="O336" s="368">
        <f t="shared" si="17"/>
        <v>0</v>
      </c>
      <c r="P336" s="606"/>
      <c r="Q336" s="606"/>
      <c r="R336" s="606"/>
      <c r="S336" s="606"/>
      <c r="T336" s="606"/>
      <c r="U336" s="606"/>
      <c r="V336" s="606"/>
      <c r="W336" s="606"/>
      <c r="X336" s="606"/>
      <c r="Y336" s="606"/>
      <c r="Z336" s="606"/>
      <c r="AA336" s="606"/>
      <c r="AB336" s="606"/>
      <c r="AC336" s="606"/>
      <c r="AD336" s="606"/>
    </row>
    <row r="337" spans="2:30">
      <c r="B337" s="367">
        <f t="shared" si="15"/>
        <v>-1</v>
      </c>
      <c r="D337" s="182"/>
      <c r="E337" s="182"/>
      <c r="F337" s="184"/>
      <c r="G337" s="182"/>
      <c r="H337" s="182"/>
      <c r="I337" s="182"/>
      <c r="J337" s="183"/>
      <c r="K337" s="183"/>
      <c r="L337" s="182"/>
      <c r="N337" s="367">
        <f t="shared" si="16"/>
        <v>0</v>
      </c>
      <c r="O337" s="368">
        <f t="shared" si="17"/>
        <v>0</v>
      </c>
      <c r="P337" s="606"/>
      <c r="Q337" s="606"/>
      <c r="R337" s="606"/>
      <c r="S337" s="606"/>
      <c r="T337" s="606"/>
      <c r="U337" s="606"/>
      <c r="V337" s="606"/>
      <c r="W337" s="606"/>
      <c r="X337" s="606"/>
      <c r="Y337" s="606"/>
      <c r="Z337" s="606"/>
      <c r="AA337" s="606"/>
      <c r="AB337" s="606"/>
      <c r="AC337" s="606"/>
      <c r="AD337" s="606"/>
    </row>
    <row r="338" spans="2:30">
      <c r="B338" s="367">
        <f t="shared" si="15"/>
        <v>-1</v>
      </c>
      <c r="D338" s="182"/>
      <c r="E338" s="182"/>
      <c r="F338" s="184"/>
      <c r="G338" s="182"/>
      <c r="H338" s="182"/>
      <c r="I338" s="182"/>
      <c r="J338" s="183"/>
      <c r="K338" s="183"/>
      <c r="L338" s="182"/>
      <c r="N338" s="367">
        <f t="shared" si="16"/>
        <v>0</v>
      </c>
      <c r="O338" s="368">
        <f t="shared" si="17"/>
        <v>0</v>
      </c>
      <c r="P338" s="606"/>
      <c r="Q338" s="606"/>
      <c r="R338" s="606"/>
      <c r="S338" s="606"/>
      <c r="T338" s="606"/>
      <c r="U338" s="606"/>
      <c r="V338" s="606"/>
      <c r="W338" s="606"/>
      <c r="X338" s="606"/>
      <c r="Y338" s="606"/>
      <c r="Z338" s="606"/>
      <c r="AA338" s="606"/>
      <c r="AB338" s="606"/>
      <c r="AC338" s="606"/>
      <c r="AD338" s="606"/>
    </row>
    <row r="339" spans="2:30">
      <c r="B339" s="367">
        <f t="shared" si="15"/>
        <v>-1</v>
      </c>
      <c r="D339" s="182"/>
      <c r="E339" s="182"/>
      <c r="F339" s="184"/>
      <c r="G339" s="182"/>
      <c r="H339" s="182"/>
      <c r="I339" s="182"/>
      <c r="J339" s="183"/>
      <c r="K339" s="183"/>
      <c r="L339" s="182"/>
      <c r="N339" s="367">
        <f t="shared" si="16"/>
        <v>0</v>
      </c>
      <c r="O339" s="368">
        <f t="shared" si="17"/>
        <v>0</v>
      </c>
      <c r="P339" s="606"/>
      <c r="Q339" s="606"/>
      <c r="R339" s="606"/>
      <c r="S339" s="606"/>
      <c r="T339" s="606"/>
      <c r="U339" s="606"/>
      <c r="V339" s="606"/>
      <c r="W339" s="606"/>
      <c r="X339" s="606"/>
      <c r="Y339" s="606"/>
      <c r="Z339" s="606"/>
      <c r="AA339" s="606"/>
      <c r="AB339" s="606"/>
      <c r="AC339" s="606"/>
      <c r="AD339" s="606"/>
    </row>
    <row r="340" spans="2:30">
      <c r="B340" s="367">
        <f t="shared" si="15"/>
        <v>-1</v>
      </c>
      <c r="D340" s="182"/>
      <c r="E340" s="182"/>
      <c r="F340" s="184"/>
      <c r="G340" s="182"/>
      <c r="H340" s="182"/>
      <c r="I340" s="182"/>
      <c r="J340" s="183"/>
      <c r="K340" s="183"/>
      <c r="L340" s="182"/>
      <c r="N340" s="367">
        <f t="shared" si="16"/>
        <v>0</v>
      </c>
      <c r="O340" s="368">
        <f t="shared" si="17"/>
        <v>0</v>
      </c>
      <c r="P340" s="606"/>
      <c r="Q340" s="606"/>
      <c r="R340" s="606"/>
      <c r="S340" s="606"/>
      <c r="T340" s="606"/>
      <c r="U340" s="606"/>
      <c r="V340" s="606"/>
      <c r="W340" s="606"/>
      <c r="X340" s="606"/>
      <c r="Y340" s="606"/>
      <c r="Z340" s="606"/>
      <c r="AA340" s="606"/>
      <c r="AB340" s="606"/>
      <c r="AC340" s="606"/>
      <c r="AD340" s="606"/>
    </row>
    <row r="341" spans="2:30">
      <c r="B341" s="367">
        <f t="shared" si="15"/>
        <v>-1</v>
      </c>
      <c r="D341" s="182"/>
      <c r="E341" s="182"/>
      <c r="F341" s="184"/>
      <c r="G341" s="182"/>
      <c r="H341" s="182"/>
      <c r="I341" s="182"/>
      <c r="J341" s="183"/>
      <c r="K341" s="183"/>
      <c r="L341" s="182"/>
      <c r="N341" s="367">
        <f t="shared" si="16"/>
        <v>0</v>
      </c>
      <c r="O341" s="368">
        <f t="shared" si="17"/>
        <v>0</v>
      </c>
      <c r="P341" s="606"/>
      <c r="Q341" s="606"/>
      <c r="R341" s="606"/>
      <c r="S341" s="606"/>
      <c r="T341" s="606"/>
      <c r="U341" s="606"/>
      <c r="V341" s="606"/>
      <c r="W341" s="606"/>
      <c r="X341" s="606"/>
      <c r="Y341" s="606"/>
      <c r="Z341" s="606"/>
      <c r="AA341" s="606"/>
      <c r="AB341" s="606"/>
      <c r="AC341" s="606"/>
      <c r="AD341" s="606"/>
    </row>
    <row r="342" spans="2:30">
      <c r="B342" s="367">
        <f t="shared" si="15"/>
        <v>-1</v>
      </c>
      <c r="D342" s="182"/>
      <c r="E342" s="182"/>
      <c r="F342" s="184"/>
      <c r="G342" s="182"/>
      <c r="H342" s="182"/>
      <c r="I342" s="182"/>
      <c r="J342" s="183"/>
      <c r="K342" s="183"/>
      <c r="L342" s="182"/>
      <c r="N342" s="367">
        <f t="shared" si="16"/>
        <v>0</v>
      </c>
      <c r="O342" s="368">
        <f t="shared" si="17"/>
        <v>0</v>
      </c>
      <c r="P342" s="606"/>
      <c r="Q342" s="606"/>
      <c r="R342" s="606"/>
      <c r="S342" s="606"/>
      <c r="T342" s="606"/>
      <c r="U342" s="606"/>
      <c r="V342" s="606"/>
      <c r="W342" s="606"/>
      <c r="X342" s="606"/>
      <c r="Y342" s="606"/>
      <c r="Z342" s="606"/>
      <c r="AA342" s="606"/>
      <c r="AB342" s="606"/>
      <c r="AC342" s="606"/>
      <c r="AD342" s="606"/>
    </row>
    <row r="343" spans="2:30">
      <c r="B343" s="367">
        <f t="shared" si="15"/>
        <v>-1</v>
      </c>
      <c r="D343" s="182"/>
      <c r="E343" s="182"/>
      <c r="F343" s="184"/>
      <c r="G343" s="182"/>
      <c r="H343" s="182"/>
      <c r="I343" s="182"/>
      <c r="J343" s="183"/>
      <c r="K343" s="183"/>
      <c r="L343" s="182"/>
      <c r="N343" s="367">
        <f t="shared" si="16"/>
        <v>0</v>
      </c>
      <c r="O343" s="368">
        <f t="shared" si="17"/>
        <v>0</v>
      </c>
      <c r="P343" s="606"/>
      <c r="Q343" s="606"/>
      <c r="R343" s="606"/>
      <c r="S343" s="606"/>
      <c r="T343" s="606"/>
      <c r="U343" s="606"/>
      <c r="V343" s="606"/>
      <c r="W343" s="606"/>
      <c r="X343" s="606"/>
      <c r="Y343" s="606"/>
      <c r="Z343" s="606"/>
      <c r="AA343" s="606"/>
      <c r="AB343" s="606"/>
      <c r="AC343" s="606"/>
      <c r="AD343" s="606"/>
    </row>
    <row r="344" spans="2:30">
      <c r="B344" s="367">
        <f t="shared" si="15"/>
        <v>-1</v>
      </c>
      <c r="D344" s="182"/>
      <c r="E344" s="182"/>
      <c r="F344" s="184"/>
      <c r="G344" s="182"/>
      <c r="H344" s="182"/>
      <c r="I344" s="182"/>
      <c r="J344" s="183"/>
      <c r="K344" s="183"/>
      <c r="L344" s="182"/>
      <c r="N344" s="367">
        <f t="shared" si="16"/>
        <v>0</v>
      </c>
      <c r="O344" s="368">
        <f t="shared" si="17"/>
        <v>0</v>
      </c>
      <c r="P344" s="606"/>
      <c r="Q344" s="606"/>
      <c r="R344" s="606"/>
      <c r="S344" s="606"/>
      <c r="T344" s="606"/>
      <c r="U344" s="606"/>
      <c r="V344" s="606"/>
      <c r="W344" s="606"/>
      <c r="X344" s="606"/>
      <c r="Y344" s="606"/>
      <c r="Z344" s="606"/>
      <c r="AA344" s="606"/>
      <c r="AB344" s="606"/>
      <c r="AC344" s="606"/>
      <c r="AD344" s="606"/>
    </row>
    <row r="345" spans="2:30">
      <c r="B345" s="367">
        <f t="shared" si="15"/>
        <v>-1</v>
      </c>
      <c r="D345" s="182"/>
      <c r="E345" s="182"/>
      <c r="F345" s="184"/>
      <c r="G345" s="182"/>
      <c r="H345" s="182"/>
      <c r="I345" s="182"/>
      <c r="J345" s="183"/>
      <c r="K345" s="183"/>
      <c r="L345" s="182"/>
      <c r="N345" s="367">
        <f t="shared" si="16"/>
        <v>0</v>
      </c>
      <c r="O345" s="368">
        <f t="shared" si="17"/>
        <v>0</v>
      </c>
      <c r="P345" s="606"/>
      <c r="Q345" s="606"/>
      <c r="R345" s="606"/>
      <c r="S345" s="606"/>
      <c r="T345" s="606"/>
      <c r="U345" s="606"/>
      <c r="V345" s="606"/>
      <c r="W345" s="606"/>
      <c r="X345" s="606"/>
      <c r="Y345" s="606"/>
      <c r="Z345" s="606"/>
      <c r="AA345" s="606"/>
      <c r="AB345" s="606"/>
      <c r="AC345" s="606"/>
      <c r="AD345" s="606"/>
    </row>
    <row r="346" spans="2:30">
      <c r="B346" s="367">
        <f t="shared" si="15"/>
        <v>-1</v>
      </c>
      <c r="D346" s="182"/>
      <c r="E346" s="182"/>
      <c r="F346" s="184"/>
      <c r="G346" s="182"/>
      <c r="H346" s="182"/>
      <c r="I346" s="182"/>
      <c r="J346" s="183"/>
      <c r="K346" s="183"/>
      <c r="L346" s="182"/>
      <c r="N346" s="367">
        <f t="shared" si="16"/>
        <v>0</v>
      </c>
      <c r="O346" s="368">
        <f t="shared" si="17"/>
        <v>0</v>
      </c>
      <c r="P346" s="606"/>
      <c r="Q346" s="606"/>
      <c r="R346" s="606"/>
      <c r="S346" s="606"/>
      <c r="T346" s="606"/>
      <c r="U346" s="606"/>
      <c r="V346" s="606"/>
      <c r="W346" s="606"/>
      <c r="X346" s="606"/>
      <c r="Y346" s="606"/>
      <c r="Z346" s="606"/>
      <c r="AA346" s="606"/>
      <c r="AB346" s="606"/>
      <c r="AC346" s="606"/>
      <c r="AD346" s="606"/>
    </row>
    <row r="347" spans="2:30">
      <c r="B347" s="367">
        <f t="shared" si="15"/>
        <v>-1</v>
      </c>
      <c r="D347" s="182"/>
      <c r="E347" s="182"/>
      <c r="F347" s="184"/>
      <c r="G347" s="182"/>
      <c r="H347" s="182"/>
      <c r="I347" s="182"/>
      <c r="J347" s="183"/>
      <c r="K347" s="183"/>
      <c r="L347" s="182"/>
      <c r="N347" s="367">
        <f t="shared" si="16"/>
        <v>0</v>
      </c>
      <c r="O347" s="368">
        <f t="shared" si="17"/>
        <v>0</v>
      </c>
      <c r="P347" s="606"/>
      <c r="Q347" s="606"/>
      <c r="R347" s="606"/>
      <c r="S347" s="606"/>
      <c r="T347" s="606"/>
      <c r="U347" s="606"/>
      <c r="V347" s="606"/>
      <c r="W347" s="606"/>
      <c r="X347" s="606"/>
      <c r="Y347" s="606"/>
      <c r="Z347" s="606"/>
      <c r="AA347" s="606"/>
      <c r="AB347" s="606"/>
      <c r="AC347" s="606"/>
      <c r="AD347" s="606"/>
    </row>
    <row r="348" spans="2:30">
      <c r="B348" s="367">
        <f t="shared" si="15"/>
        <v>-1</v>
      </c>
      <c r="D348" s="182"/>
      <c r="E348" s="182"/>
      <c r="F348" s="184"/>
      <c r="G348" s="182"/>
      <c r="H348" s="182"/>
      <c r="I348" s="182"/>
      <c r="J348" s="183"/>
      <c r="K348" s="183"/>
      <c r="L348" s="182"/>
      <c r="N348" s="367">
        <f t="shared" si="16"/>
        <v>0</v>
      </c>
      <c r="O348" s="368">
        <f t="shared" si="17"/>
        <v>0</v>
      </c>
      <c r="P348" s="606"/>
      <c r="Q348" s="606"/>
      <c r="R348" s="606"/>
      <c r="S348" s="606"/>
      <c r="T348" s="606"/>
      <c r="U348" s="606"/>
      <c r="V348" s="606"/>
      <c r="W348" s="606"/>
      <c r="X348" s="606"/>
      <c r="Y348" s="606"/>
      <c r="Z348" s="606"/>
      <c r="AA348" s="606"/>
      <c r="AB348" s="606"/>
      <c r="AC348" s="606"/>
      <c r="AD348" s="606"/>
    </row>
    <row r="349" spans="2:30">
      <c r="B349" s="367">
        <f t="shared" si="15"/>
        <v>-1</v>
      </c>
      <c r="D349" s="182"/>
      <c r="E349" s="182"/>
      <c r="F349" s="184"/>
      <c r="G349" s="182"/>
      <c r="H349" s="182"/>
      <c r="I349" s="182"/>
      <c r="J349" s="183"/>
      <c r="K349" s="183"/>
      <c r="L349" s="182"/>
      <c r="N349" s="367">
        <f t="shared" si="16"/>
        <v>0</v>
      </c>
      <c r="O349" s="368">
        <f t="shared" si="17"/>
        <v>0</v>
      </c>
      <c r="P349" s="606"/>
      <c r="Q349" s="606"/>
      <c r="R349" s="606"/>
      <c r="S349" s="606"/>
      <c r="T349" s="606"/>
      <c r="U349" s="606"/>
      <c r="V349" s="606"/>
      <c r="W349" s="606"/>
      <c r="X349" s="606"/>
      <c r="Y349" s="606"/>
      <c r="Z349" s="606"/>
      <c r="AA349" s="606"/>
      <c r="AB349" s="606"/>
      <c r="AC349" s="606"/>
      <c r="AD349" s="606"/>
    </row>
    <row r="350" spans="2:30">
      <c r="B350" s="367">
        <f t="shared" si="15"/>
        <v>-1</v>
      </c>
      <c r="D350" s="182"/>
      <c r="E350" s="182"/>
      <c r="F350" s="184"/>
      <c r="G350" s="182"/>
      <c r="H350" s="182"/>
      <c r="I350" s="182"/>
      <c r="J350" s="183"/>
      <c r="K350" s="183"/>
      <c r="L350" s="182"/>
      <c r="N350" s="367">
        <f t="shared" si="16"/>
        <v>0</v>
      </c>
      <c r="O350" s="368">
        <f t="shared" si="17"/>
        <v>0</v>
      </c>
      <c r="P350" s="606"/>
      <c r="Q350" s="606"/>
      <c r="R350" s="606"/>
      <c r="S350" s="606"/>
      <c r="T350" s="606"/>
      <c r="U350" s="606"/>
      <c r="V350" s="606"/>
      <c r="W350" s="606"/>
      <c r="X350" s="606"/>
      <c r="Y350" s="606"/>
      <c r="Z350" s="606"/>
      <c r="AA350" s="606"/>
      <c r="AB350" s="606"/>
      <c r="AC350" s="606"/>
      <c r="AD350" s="606"/>
    </row>
    <row r="351" spans="2:30">
      <c r="B351" s="367">
        <f t="shared" si="15"/>
        <v>-1</v>
      </c>
      <c r="D351" s="182"/>
      <c r="E351" s="182"/>
      <c r="F351" s="184"/>
      <c r="G351" s="182"/>
      <c r="H351" s="182"/>
      <c r="I351" s="182"/>
      <c r="J351" s="183"/>
      <c r="K351" s="183"/>
      <c r="L351" s="182"/>
      <c r="N351" s="367">
        <f t="shared" si="16"/>
        <v>0</v>
      </c>
      <c r="O351" s="368">
        <f t="shared" si="17"/>
        <v>0</v>
      </c>
      <c r="P351" s="606"/>
      <c r="Q351" s="606"/>
      <c r="R351" s="606"/>
      <c r="S351" s="606"/>
      <c r="T351" s="606"/>
      <c r="U351" s="606"/>
      <c r="V351" s="606"/>
      <c r="W351" s="606"/>
      <c r="X351" s="606"/>
      <c r="Y351" s="606"/>
      <c r="Z351" s="606"/>
      <c r="AA351" s="606"/>
      <c r="AB351" s="606"/>
      <c r="AC351" s="606"/>
      <c r="AD351" s="606"/>
    </row>
    <row r="352" spans="2:30">
      <c r="B352" s="367">
        <f t="shared" si="15"/>
        <v>-1</v>
      </c>
      <c r="D352" s="182"/>
      <c r="E352" s="182"/>
      <c r="F352" s="184"/>
      <c r="G352" s="182"/>
      <c r="H352" s="182"/>
      <c r="I352" s="182"/>
      <c r="J352" s="183"/>
      <c r="K352" s="183"/>
      <c r="L352" s="182"/>
      <c r="N352" s="367">
        <f t="shared" si="16"/>
        <v>0</v>
      </c>
      <c r="O352" s="368">
        <f t="shared" si="17"/>
        <v>0</v>
      </c>
      <c r="P352" s="606"/>
      <c r="Q352" s="606"/>
      <c r="R352" s="606"/>
      <c r="S352" s="606"/>
      <c r="T352" s="606"/>
      <c r="U352" s="606"/>
      <c r="V352" s="606"/>
      <c r="W352" s="606"/>
      <c r="X352" s="606"/>
      <c r="Y352" s="606"/>
      <c r="Z352" s="606"/>
      <c r="AA352" s="606"/>
      <c r="AB352" s="606"/>
      <c r="AC352" s="606"/>
      <c r="AD352" s="606"/>
    </row>
    <row r="353" spans="2:30">
      <c r="B353" s="367">
        <f t="shared" si="15"/>
        <v>-1</v>
      </c>
      <c r="D353" s="182"/>
      <c r="E353" s="182"/>
      <c r="F353" s="184"/>
      <c r="G353" s="182"/>
      <c r="H353" s="182"/>
      <c r="I353" s="182"/>
      <c r="J353" s="183"/>
      <c r="K353" s="183"/>
      <c r="L353" s="182"/>
      <c r="N353" s="367">
        <f t="shared" si="16"/>
        <v>0</v>
      </c>
      <c r="O353" s="368">
        <f t="shared" si="17"/>
        <v>0</v>
      </c>
      <c r="P353" s="606"/>
      <c r="Q353" s="606"/>
      <c r="R353" s="606"/>
      <c r="S353" s="606"/>
      <c r="T353" s="606"/>
      <c r="U353" s="606"/>
      <c r="V353" s="606"/>
      <c r="W353" s="606"/>
      <c r="X353" s="606"/>
      <c r="Y353" s="606"/>
      <c r="Z353" s="606"/>
      <c r="AA353" s="606"/>
      <c r="AB353" s="606"/>
      <c r="AC353" s="606"/>
      <c r="AD353" s="606"/>
    </row>
    <row r="354" spans="2:30">
      <c r="B354" s="367">
        <f t="shared" si="15"/>
        <v>-1</v>
      </c>
      <c r="D354" s="182"/>
      <c r="E354" s="182"/>
      <c r="F354" s="184"/>
      <c r="G354" s="182"/>
      <c r="H354" s="182"/>
      <c r="I354" s="182"/>
      <c r="J354" s="183"/>
      <c r="K354" s="183"/>
      <c r="L354" s="182"/>
      <c r="N354" s="367">
        <f t="shared" si="16"/>
        <v>0</v>
      </c>
      <c r="O354" s="368">
        <f t="shared" si="17"/>
        <v>0</v>
      </c>
      <c r="P354" s="606"/>
      <c r="Q354" s="606"/>
      <c r="R354" s="606"/>
      <c r="S354" s="606"/>
      <c r="T354" s="606"/>
      <c r="U354" s="606"/>
      <c r="V354" s="606"/>
      <c r="W354" s="606"/>
      <c r="X354" s="606"/>
      <c r="Y354" s="606"/>
      <c r="Z354" s="606"/>
      <c r="AA354" s="606"/>
      <c r="AB354" s="606"/>
      <c r="AC354" s="606"/>
      <c r="AD354" s="606"/>
    </row>
    <row r="355" spans="2:30">
      <c r="B355" s="367">
        <f t="shared" si="15"/>
        <v>-1</v>
      </c>
      <c r="D355" s="182"/>
      <c r="E355" s="182"/>
      <c r="F355" s="184"/>
      <c r="G355" s="182"/>
      <c r="H355" s="182"/>
      <c r="I355" s="182"/>
      <c r="J355" s="183"/>
      <c r="K355" s="183"/>
      <c r="L355" s="182"/>
      <c r="N355" s="367">
        <f t="shared" si="16"/>
        <v>0</v>
      </c>
      <c r="O355" s="368">
        <f t="shared" si="17"/>
        <v>0</v>
      </c>
      <c r="P355" s="606"/>
      <c r="Q355" s="606"/>
      <c r="R355" s="606"/>
      <c r="S355" s="606"/>
      <c r="T355" s="606"/>
      <c r="U355" s="606"/>
      <c r="V355" s="606"/>
      <c r="W355" s="606"/>
      <c r="X355" s="606"/>
      <c r="Y355" s="606"/>
      <c r="Z355" s="606"/>
      <c r="AA355" s="606"/>
      <c r="AB355" s="606"/>
      <c r="AC355" s="606"/>
      <c r="AD355" s="606"/>
    </row>
    <row r="356" spans="2:30">
      <c r="B356" s="367">
        <f t="shared" si="15"/>
        <v>-1</v>
      </c>
      <c r="D356" s="182"/>
      <c r="E356" s="182"/>
      <c r="F356" s="184"/>
      <c r="G356" s="182"/>
      <c r="H356" s="182"/>
      <c r="I356" s="182"/>
      <c r="J356" s="183"/>
      <c r="K356" s="183"/>
      <c r="L356" s="182"/>
      <c r="N356" s="367">
        <f t="shared" si="16"/>
        <v>0</v>
      </c>
      <c r="O356" s="368">
        <f t="shared" si="17"/>
        <v>0</v>
      </c>
      <c r="P356" s="606"/>
      <c r="Q356" s="606"/>
      <c r="R356" s="606"/>
      <c r="S356" s="606"/>
      <c r="T356" s="606"/>
      <c r="U356" s="606"/>
      <c r="V356" s="606"/>
      <c r="W356" s="606"/>
      <c r="X356" s="606"/>
      <c r="Y356" s="606"/>
      <c r="Z356" s="606"/>
      <c r="AA356" s="606"/>
      <c r="AB356" s="606"/>
      <c r="AC356" s="606"/>
      <c r="AD356" s="606"/>
    </row>
    <row r="357" spans="2:30">
      <c r="B357" s="367">
        <f t="shared" si="15"/>
        <v>-1</v>
      </c>
      <c r="D357" s="182"/>
      <c r="E357" s="182"/>
      <c r="F357" s="184"/>
      <c r="G357" s="182"/>
      <c r="H357" s="182"/>
      <c r="I357" s="182"/>
      <c r="J357" s="183"/>
      <c r="K357" s="183"/>
      <c r="L357" s="182"/>
      <c r="N357" s="367">
        <f t="shared" si="16"/>
        <v>0</v>
      </c>
      <c r="O357" s="368">
        <f t="shared" si="17"/>
        <v>0</v>
      </c>
      <c r="P357" s="606"/>
      <c r="Q357" s="606"/>
      <c r="R357" s="606"/>
      <c r="S357" s="606"/>
      <c r="T357" s="606"/>
      <c r="U357" s="606"/>
      <c r="V357" s="606"/>
      <c r="W357" s="606"/>
      <c r="X357" s="606"/>
      <c r="Y357" s="606"/>
      <c r="Z357" s="606"/>
      <c r="AA357" s="606"/>
      <c r="AB357" s="606"/>
      <c r="AC357" s="606"/>
      <c r="AD357" s="606"/>
    </row>
    <row r="358" spans="2:30">
      <c r="B358" s="367">
        <f t="shared" si="15"/>
        <v>-1</v>
      </c>
      <c r="D358" s="182"/>
      <c r="E358" s="182"/>
      <c r="F358" s="184"/>
      <c r="G358" s="182"/>
      <c r="H358" s="182"/>
      <c r="I358" s="182"/>
      <c r="J358" s="183"/>
      <c r="K358" s="183"/>
      <c r="L358" s="182"/>
      <c r="N358" s="367">
        <f t="shared" si="16"/>
        <v>0</v>
      </c>
      <c r="O358" s="368">
        <f t="shared" si="17"/>
        <v>0</v>
      </c>
      <c r="P358" s="606"/>
      <c r="Q358" s="606"/>
      <c r="R358" s="606"/>
      <c r="S358" s="606"/>
      <c r="T358" s="606"/>
      <c r="U358" s="606"/>
      <c r="V358" s="606"/>
      <c r="W358" s="606"/>
      <c r="X358" s="606"/>
      <c r="Y358" s="606"/>
      <c r="Z358" s="606"/>
      <c r="AA358" s="606"/>
      <c r="AB358" s="606"/>
      <c r="AC358" s="606"/>
      <c r="AD358" s="606"/>
    </row>
    <row r="359" spans="2:30">
      <c r="B359" s="367">
        <f t="shared" si="15"/>
        <v>-1</v>
      </c>
      <c r="D359" s="182"/>
      <c r="E359" s="182"/>
      <c r="F359" s="184"/>
      <c r="G359" s="182"/>
      <c r="H359" s="182"/>
      <c r="I359" s="182"/>
      <c r="J359" s="183"/>
      <c r="K359" s="183"/>
      <c r="L359" s="182"/>
      <c r="N359" s="367">
        <f t="shared" si="16"/>
        <v>0</v>
      </c>
      <c r="O359" s="368">
        <f t="shared" si="17"/>
        <v>0</v>
      </c>
      <c r="P359" s="606"/>
      <c r="Q359" s="606"/>
      <c r="R359" s="606"/>
      <c r="S359" s="606"/>
      <c r="T359" s="606"/>
      <c r="U359" s="606"/>
      <c r="V359" s="606"/>
      <c r="W359" s="606"/>
      <c r="X359" s="606"/>
      <c r="Y359" s="606"/>
      <c r="Z359" s="606"/>
      <c r="AA359" s="606"/>
      <c r="AB359" s="606"/>
      <c r="AC359" s="606"/>
      <c r="AD359" s="606"/>
    </row>
    <row r="360" spans="2:30">
      <c r="B360" s="367">
        <f t="shared" si="15"/>
        <v>-1</v>
      </c>
      <c r="D360" s="182"/>
      <c r="E360" s="182"/>
      <c r="F360" s="184"/>
      <c r="G360" s="182"/>
      <c r="H360" s="182"/>
      <c r="I360" s="182"/>
      <c r="J360" s="183"/>
      <c r="K360" s="183"/>
      <c r="L360" s="182"/>
      <c r="N360" s="367">
        <f t="shared" si="16"/>
        <v>0</v>
      </c>
      <c r="O360" s="368">
        <f t="shared" si="17"/>
        <v>0</v>
      </c>
      <c r="P360" s="606"/>
      <c r="Q360" s="606"/>
      <c r="R360" s="606"/>
      <c r="S360" s="606"/>
      <c r="T360" s="606"/>
      <c r="U360" s="606"/>
      <c r="V360" s="606"/>
      <c r="W360" s="606"/>
      <c r="X360" s="606"/>
      <c r="Y360" s="606"/>
      <c r="Z360" s="606"/>
      <c r="AA360" s="606"/>
      <c r="AB360" s="606"/>
      <c r="AC360" s="606"/>
      <c r="AD360" s="606"/>
    </row>
    <row r="361" spans="2:30">
      <c r="B361" s="367">
        <f t="shared" si="15"/>
        <v>-1</v>
      </c>
      <c r="D361" s="182"/>
      <c r="E361" s="182"/>
      <c r="F361" s="184"/>
      <c r="G361" s="182"/>
      <c r="H361" s="182"/>
      <c r="I361" s="182"/>
      <c r="J361" s="183"/>
      <c r="K361" s="183"/>
      <c r="L361" s="182"/>
      <c r="N361" s="367">
        <f t="shared" si="16"/>
        <v>0</v>
      </c>
      <c r="O361" s="368">
        <f t="shared" si="17"/>
        <v>0</v>
      </c>
      <c r="P361" s="606"/>
      <c r="Q361" s="606"/>
      <c r="R361" s="606"/>
      <c r="S361" s="606"/>
      <c r="T361" s="606"/>
      <c r="U361" s="606"/>
      <c r="V361" s="606"/>
      <c r="W361" s="606"/>
      <c r="X361" s="606"/>
      <c r="Y361" s="606"/>
      <c r="Z361" s="606"/>
      <c r="AA361" s="606"/>
      <c r="AB361" s="606"/>
      <c r="AC361" s="606"/>
      <c r="AD361" s="606"/>
    </row>
    <row r="362" spans="2:30">
      <c r="B362" s="367">
        <f t="shared" si="15"/>
        <v>-1</v>
      </c>
      <c r="D362" s="182"/>
      <c r="E362" s="182"/>
      <c r="F362" s="184"/>
      <c r="G362" s="182"/>
      <c r="H362" s="182"/>
      <c r="I362" s="182"/>
      <c r="J362" s="183"/>
      <c r="K362" s="183"/>
      <c r="L362" s="182"/>
      <c r="N362" s="367">
        <f t="shared" si="16"/>
        <v>0</v>
      </c>
      <c r="O362" s="368">
        <f t="shared" si="17"/>
        <v>0</v>
      </c>
      <c r="P362" s="606"/>
      <c r="Q362" s="606"/>
      <c r="R362" s="606"/>
      <c r="S362" s="606"/>
      <c r="T362" s="606"/>
      <c r="U362" s="606"/>
      <c r="V362" s="606"/>
      <c r="W362" s="606"/>
      <c r="X362" s="606"/>
      <c r="Y362" s="606"/>
      <c r="Z362" s="606"/>
      <c r="AA362" s="606"/>
      <c r="AB362" s="606"/>
      <c r="AC362" s="606"/>
      <c r="AD362" s="606"/>
    </row>
    <row r="363" spans="2:30">
      <c r="B363" s="367">
        <f t="shared" si="15"/>
        <v>-1</v>
      </c>
      <c r="D363" s="182"/>
      <c r="E363" s="182"/>
      <c r="F363" s="184"/>
      <c r="G363" s="182"/>
      <c r="H363" s="182"/>
      <c r="I363" s="182"/>
      <c r="J363" s="183"/>
      <c r="K363" s="183"/>
      <c r="L363" s="182"/>
      <c r="N363" s="367">
        <f t="shared" si="16"/>
        <v>0</v>
      </c>
      <c r="O363" s="368">
        <f t="shared" si="17"/>
        <v>0</v>
      </c>
      <c r="P363" s="606"/>
      <c r="Q363" s="606"/>
      <c r="R363" s="606"/>
      <c r="S363" s="606"/>
      <c r="T363" s="606"/>
      <c r="U363" s="606"/>
      <c r="V363" s="606"/>
      <c r="W363" s="606"/>
      <c r="X363" s="606"/>
      <c r="Y363" s="606"/>
      <c r="Z363" s="606"/>
      <c r="AA363" s="606"/>
      <c r="AB363" s="606"/>
      <c r="AC363" s="606"/>
      <c r="AD363" s="606"/>
    </row>
    <row r="364" spans="2:30">
      <c r="B364" s="367">
        <f t="shared" si="15"/>
        <v>-1</v>
      </c>
      <c r="D364" s="182"/>
      <c r="E364" s="182"/>
      <c r="F364" s="184"/>
      <c r="G364" s="182"/>
      <c r="H364" s="182"/>
      <c r="I364" s="182"/>
      <c r="J364" s="183"/>
      <c r="K364" s="183"/>
      <c r="L364" s="182"/>
      <c r="N364" s="367">
        <f t="shared" si="16"/>
        <v>0</v>
      </c>
      <c r="O364" s="368">
        <f t="shared" si="17"/>
        <v>0</v>
      </c>
      <c r="P364" s="606"/>
      <c r="Q364" s="606"/>
      <c r="R364" s="606"/>
      <c r="S364" s="606"/>
      <c r="T364" s="606"/>
      <c r="U364" s="606"/>
      <c r="V364" s="606"/>
      <c r="W364" s="606"/>
      <c r="X364" s="606"/>
      <c r="Y364" s="606"/>
      <c r="Z364" s="606"/>
      <c r="AA364" s="606"/>
      <c r="AB364" s="606"/>
      <c r="AC364" s="606"/>
      <c r="AD364" s="606"/>
    </row>
    <row r="365" spans="2:30">
      <c r="B365" s="367">
        <f t="shared" si="15"/>
        <v>-1</v>
      </c>
      <c r="D365" s="182"/>
      <c r="E365" s="182"/>
      <c r="F365" s="184"/>
      <c r="G365" s="182"/>
      <c r="H365" s="182"/>
      <c r="I365" s="182"/>
      <c r="J365" s="183"/>
      <c r="K365" s="183"/>
      <c r="L365" s="182"/>
      <c r="N365" s="367">
        <f t="shared" si="16"/>
        <v>0</v>
      </c>
      <c r="O365" s="368">
        <f t="shared" si="17"/>
        <v>0</v>
      </c>
      <c r="P365" s="606"/>
      <c r="Q365" s="606"/>
      <c r="R365" s="606"/>
      <c r="S365" s="606"/>
      <c r="T365" s="606"/>
      <c r="U365" s="606"/>
      <c r="V365" s="606"/>
      <c r="W365" s="606"/>
      <c r="X365" s="606"/>
      <c r="Y365" s="606"/>
      <c r="Z365" s="606"/>
      <c r="AA365" s="606"/>
      <c r="AB365" s="606"/>
      <c r="AC365" s="606"/>
      <c r="AD365" s="606"/>
    </row>
    <row r="366" spans="2:30">
      <c r="B366" s="367">
        <f t="shared" si="15"/>
        <v>-1</v>
      </c>
      <c r="D366" s="182"/>
      <c r="E366" s="182"/>
      <c r="F366" s="184"/>
      <c r="G366" s="182"/>
      <c r="H366" s="182"/>
      <c r="I366" s="182"/>
      <c r="J366" s="183"/>
      <c r="K366" s="183"/>
      <c r="L366" s="182"/>
      <c r="N366" s="367">
        <f t="shared" si="16"/>
        <v>0</v>
      </c>
      <c r="O366" s="368">
        <f t="shared" si="17"/>
        <v>0</v>
      </c>
      <c r="P366" s="606"/>
      <c r="Q366" s="606"/>
      <c r="R366" s="606"/>
      <c r="S366" s="606"/>
      <c r="T366" s="606"/>
      <c r="U366" s="606"/>
      <c r="V366" s="606"/>
      <c r="W366" s="606"/>
      <c r="X366" s="606"/>
      <c r="Y366" s="606"/>
      <c r="Z366" s="606"/>
      <c r="AA366" s="606"/>
      <c r="AB366" s="606"/>
      <c r="AC366" s="606"/>
      <c r="AD366" s="606"/>
    </row>
    <row r="367" spans="2:30">
      <c r="B367" s="367">
        <f t="shared" si="15"/>
        <v>-1</v>
      </c>
      <c r="D367" s="182"/>
      <c r="E367" s="182"/>
      <c r="F367" s="184"/>
      <c r="G367" s="182"/>
      <c r="H367" s="182"/>
      <c r="I367" s="182"/>
      <c r="J367" s="183"/>
      <c r="K367" s="183"/>
      <c r="L367" s="182"/>
      <c r="N367" s="367">
        <f t="shared" si="16"/>
        <v>0</v>
      </c>
      <c r="O367" s="368">
        <f t="shared" si="17"/>
        <v>0</v>
      </c>
      <c r="P367" s="606"/>
      <c r="Q367" s="606"/>
      <c r="R367" s="606"/>
      <c r="S367" s="606"/>
      <c r="T367" s="606"/>
      <c r="U367" s="606"/>
      <c r="V367" s="606"/>
      <c r="W367" s="606"/>
      <c r="X367" s="606"/>
      <c r="Y367" s="606"/>
      <c r="Z367" s="606"/>
      <c r="AA367" s="606"/>
      <c r="AB367" s="606"/>
      <c r="AC367" s="606"/>
      <c r="AD367" s="606"/>
    </row>
    <row r="368" spans="2:30">
      <c r="B368" s="367">
        <f t="shared" si="15"/>
        <v>-1</v>
      </c>
      <c r="D368" s="182"/>
      <c r="E368" s="182"/>
      <c r="F368" s="184"/>
      <c r="G368" s="182"/>
      <c r="H368" s="182"/>
      <c r="I368" s="182"/>
      <c r="J368" s="183"/>
      <c r="K368" s="183"/>
      <c r="L368" s="182"/>
      <c r="N368" s="367">
        <f t="shared" si="16"/>
        <v>0</v>
      </c>
      <c r="O368" s="368">
        <f t="shared" si="17"/>
        <v>0</v>
      </c>
      <c r="P368" s="606"/>
      <c r="Q368" s="606"/>
      <c r="R368" s="606"/>
      <c r="S368" s="606"/>
      <c r="T368" s="606"/>
      <c r="U368" s="606"/>
      <c r="V368" s="606"/>
      <c r="W368" s="606"/>
      <c r="X368" s="606"/>
      <c r="Y368" s="606"/>
      <c r="Z368" s="606"/>
      <c r="AA368" s="606"/>
      <c r="AB368" s="606"/>
      <c r="AC368" s="606"/>
      <c r="AD368" s="606"/>
    </row>
    <row r="369" spans="2:30">
      <c r="B369" s="367">
        <f t="shared" si="15"/>
        <v>-1</v>
      </c>
      <c r="D369" s="182"/>
      <c r="E369" s="182"/>
      <c r="F369" s="184"/>
      <c r="G369" s="182"/>
      <c r="H369" s="182"/>
      <c r="I369" s="182"/>
      <c r="J369" s="183"/>
      <c r="K369" s="183"/>
      <c r="L369" s="182"/>
      <c r="N369" s="367">
        <f t="shared" si="16"/>
        <v>0</v>
      </c>
      <c r="O369" s="368">
        <f t="shared" si="17"/>
        <v>0</v>
      </c>
      <c r="P369" s="606"/>
      <c r="Q369" s="606"/>
      <c r="R369" s="606"/>
      <c r="S369" s="606"/>
      <c r="T369" s="606"/>
      <c r="U369" s="606"/>
      <c r="V369" s="606"/>
      <c r="W369" s="606"/>
      <c r="X369" s="606"/>
      <c r="Y369" s="606"/>
      <c r="Z369" s="606"/>
      <c r="AA369" s="606"/>
      <c r="AB369" s="606"/>
      <c r="AC369" s="606"/>
      <c r="AD369" s="606"/>
    </row>
    <row r="370" spans="2:30">
      <c r="B370" s="367">
        <f t="shared" si="15"/>
        <v>-1</v>
      </c>
      <c r="D370" s="182"/>
      <c r="E370" s="182"/>
      <c r="F370" s="184"/>
      <c r="G370" s="182"/>
      <c r="H370" s="182"/>
      <c r="I370" s="182"/>
      <c r="J370" s="183"/>
      <c r="K370" s="183"/>
      <c r="L370" s="182"/>
      <c r="N370" s="367">
        <f t="shared" si="16"/>
        <v>0</v>
      </c>
      <c r="O370" s="368">
        <f t="shared" si="17"/>
        <v>0</v>
      </c>
      <c r="P370" s="606"/>
      <c r="Q370" s="606"/>
      <c r="R370" s="606"/>
      <c r="S370" s="606"/>
      <c r="T370" s="606"/>
      <c r="U370" s="606"/>
      <c r="V370" s="606"/>
      <c r="W370" s="606"/>
      <c r="X370" s="606"/>
      <c r="Y370" s="606"/>
      <c r="Z370" s="606"/>
      <c r="AA370" s="606"/>
      <c r="AB370" s="606"/>
      <c r="AC370" s="606"/>
      <c r="AD370" s="606"/>
    </row>
    <row r="371" spans="2:30">
      <c r="B371" s="367">
        <f t="shared" si="15"/>
        <v>-1</v>
      </c>
      <c r="D371" s="182"/>
      <c r="E371" s="182"/>
      <c r="F371" s="184"/>
      <c r="G371" s="182"/>
      <c r="H371" s="182"/>
      <c r="I371" s="182"/>
      <c r="J371" s="183"/>
      <c r="K371" s="183"/>
      <c r="L371" s="182"/>
      <c r="N371" s="367">
        <f t="shared" si="16"/>
        <v>0</v>
      </c>
      <c r="O371" s="368">
        <f t="shared" si="17"/>
        <v>0</v>
      </c>
      <c r="P371" s="606"/>
      <c r="Q371" s="606"/>
      <c r="R371" s="606"/>
      <c r="S371" s="606"/>
      <c r="T371" s="606"/>
      <c r="U371" s="606"/>
      <c r="V371" s="606"/>
      <c r="W371" s="606"/>
      <c r="X371" s="606"/>
      <c r="Y371" s="606"/>
      <c r="Z371" s="606"/>
      <c r="AA371" s="606"/>
      <c r="AB371" s="606"/>
      <c r="AC371" s="606"/>
      <c r="AD371" s="606"/>
    </row>
    <row r="372" spans="2:30">
      <c r="B372" s="367">
        <f t="shared" si="15"/>
        <v>-1</v>
      </c>
      <c r="D372" s="182"/>
      <c r="E372" s="182"/>
      <c r="F372" s="184"/>
      <c r="G372" s="182"/>
      <c r="H372" s="182"/>
      <c r="I372" s="182"/>
      <c r="J372" s="183"/>
      <c r="K372" s="183"/>
      <c r="L372" s="182"/>
      <c r="N372" s="367">
        <f t="shared" si="16"/>
        <v>0</v>
      </c>
      <c r="O372" s="368">
        <f t="shared" si="17"/>
        <v>0</v>
      </c>
      <c r="P372" s="606"/>
      <c r="Q372" s="606"/>
      <c r="R372" s="606"/>
      <c r="S372" s="606"/>
      <c r="T372" s="606"/>
      <c r="U372" s="606"/>
      <c r="V372" s="606"/>
      <c r="W372" s="606"/>
      <c r="X372" s="606"/>
      <c r="Y372" s="606"/>
      <c r="Z372" s="606"/>
      <c r="AA372" s="606"/>
      <c r="AB372" s="606"/>
      <c r="AC372" s="606"/>
      <c r="AD372" s="606"/>
    </row>
    <row r="373" spans="2:30">
      <c r="B373" s="367">
        <f t="shared" si="15"/>
        <v>-1</v>
      </c>
      <c r="D373" s="182"/>
      <c r="E373" s="182"/>
      <c r="F373" s="184"/>
      <c r="G373" s="182"/>
      <c r="H373" s="182"/>
      <c r="I373" s="182"/>
      <c r="J373" s="183"/>
      <c r="K373" s="183"/>
      <c r="L373" s="182"/>
      <c r="N373" s="367">
        <f t="shared" si="16"/>
        <v>0</v>
      </c>
      <c r="O373" s="368">
        <f t="shared" si="17"/>
        <v>0</v>
      </c>
      <c r="P373" s="606"/>
      <c r="Q373" s="606"/>
      <c r="R373" s="606"/>
      <c r="S373" s="606"/>
      <c r="T373" s="606"/>
      <c r="U373" s="606"/>
      <c r="V373" s="606"/>
      <c r="W373" s="606"/>
      <c r="X373" s="606"/>
      <c r="Y373" s="606"/>
      <c r="Z373" s="606"/>
      <c r="AA373" s="606"/>
      <c r="AB373" s="606"/>
      <c r="AC373" s="606"/>
      <c r="AD373" s="606"/>
    </row>
    <row r="374" spans="2:30">
      <c r="B374" s="367">
        <f t="shared" si="15"/>
        <v>-1</v>
      </c>
      <c r="D374" s="182"/>
      <c r="E374" s="182"/>
      <c r="F374" s="184"/>
      <c r="G374" s="182"/>
      <c r="H374" s="182"/>
      <c r="I374" s="182"/>
      <c r="J374" s="183"/>
      <c r="K374" s="183"/>
      <c r="L374" s="182"/>
      <c r="N374" s="367">
        <f t="shared" si="16"/>
        <v>0</v>
      </c>
      <c r="O374" s="368">
        <f t="shared" si="17"/>
        <v>0</v>
      </c>
      <c r="P374" s="606"/>
      <c r="Q374" s="606"/>
      <c r="R374" s="606"/>
      <c r="S374" s="606"/>
      <c r="T374" s="606"/>
      <c r="U374" s="606"/>
      <c r="V374" s="606"/>
      <c r="W374" s="606"/>
      <c r="X374" s="606"/>
      <c r="Y374" s="606"/>
      <c r="Z374" s="606"/>
      <c r="AA374" s="606"/>
      <c r="AB374" s="606"/>
      <c r="AC374" s="606"/>
      <c r="AD374" s="606"/>
    </row>
    <row r="375" spans="2:30">
      <c r="B375" s="367">
        <f t="shared" si="15"/>
        <v>-1</v>
      </c>
      <c r="D375" s="182"/>
      <c r="E375" s="182"/>
      <c r="F375" s="184"/>
      <c r="G375" s="182"/>
      <c r="H375" s="182"/>
      <c r="I375" s="182"/>
      <c r="J375" s="183"/>
      <c r="K375" s="183"/>
      <c r="L375" s="182"/>
      <c r="N375" s="367">
        <f t="shared" si="16"/>
        <v>0</v>
      </c>
      <c r="O375" s="368">
        <f t="shared" si="17"/>
        <v>0</v>
      </c>
      <c r="P375" s="606"/>
      <c r="Q375" s="606"/>
      <c r="R375" s="606"/>
      <c r="S375" s="606"/>
      <c r="T375" s="606"/>
      <c r="U375" s="606"/>
      <c r="V375" s="606"/>
      <c r="W375" s="606"/>
      <c r="X375" s="606"/>
      <c r="Y375" s="606"/>
      <c r="Z375" s="606"/>
      <c r="AA375" s="606"/>
      <c r="AB375" s="606"/>
      <c r="AC375" s="606"/>
      <c r="AD375" s="606"/>
    </row>
    <row r="376" spans="2:30">
      <c r="B376" s="367">
        <f t="shared" si="15"/>
        <v>-1</v>
      </c>
      <c r="D376" s="182"/>
      <c r="E376" s="182"/>
      <c r="F376" s="184"/>
      <c r="G376" s="182"/>
      <c r="H376" s="182"/>
      <c r="I376" s="182"/>
      <c r="J376" s="183"/>
      <c r="K376" s="183"/>
      <c r="L376" s="182"/>
      <c r="N376" s="367">
        <f t="shared" si="16"/>
        <v>0</v>
      </c>
      <c r="O376" s="368">
        <f t="shared" si="17"/>
        <v>0</v>
      </c>
      <c r="P376" s="606"/>
      <c r="Q376" s="606"/>
      <c r="R376" s="606"/>
      <c r="S376" s="606"/>
      <c r="T376" s="606"/>
      <c r="U376" s="606"/>
      <c r="V376" s="606"/>
      <c r="W376" s="606"/>
      <c r="X376" s="606"/>
      <c r="Y376" s="606"/>
      <c r="Z376" s="606"/>
      <c r="AA376" s="606"/>
      <c r="AB376" s="606"/>
      <c r="AC376" s="606"/>
      <c r="AD376" s="606"/>
    </row>
    <row r="377" spans="2:30">
      <c r="B377" s="367">
        <f t="shared" si="15"/>
        <v>-1</v>
      </c>
      <c r="D377" s="182"/>
      <c r="E377" s="182"/>
      <c r="F377" s="184"/>
      <c r="G377" s="182"/>
      <c r="H377" s="182"/>
      <c r="I377" s="182"/>
      <c r="J377" s="183"/>
      <c r="K377" s="183"/>
      <c r="L377" s="182"/>
      <c r="N377" s="367">
        <f t="shared" si="16"/>
        <v>0</v>
      </c>
      <c r="O377" s="368">
        <f t="shared" si="17"/>
        <v>0</v>
      </c>
      <c r="P377" s="606"/>
      <c r="Q377" s="606"/>
      <c r="R377" s="606"/>
      <c r="S377" s="606"/>
      <c r="T377" s="606"/>
      <c r="U377" s="606"/>
      <c r="V377" s="606"/>
      <c r="W377" s="606"/>
      <c r="X377" s="606"/>
      <c r="Y377" s="606"/>
      <c r="Z377" s="606"/>
      <c r="AA377" s="606"/>
      <c r="AB377" s="606"/>
      <c r="AC377" s="606"/>
      <c r="AD377" s="606"/>
    </row>
    <row r="378" spans="2:30">
      <c r="B378" s="367">
        <f t="shared" si="15"/>
        <v>-1</v>
      </c>
      <c r="D378" s="182"/>
      <c r="E378" s="182"/>
      <c r="F378" s="184"/>
      <c r="G378" s="182"/>
      <c r="H378" s="182"/>
      <c r="I378" s="182"/>
      <c r="J378" s="183"/>
      <c r="K378" s="183"/>
      <c r="L378" s="182"/>
      <c r="N378" s="367">
        <f t="shared" si="16"/>
        <v>0</v>
      </c>
      <c r="O378" s="368">
        <f t="shared" si="17"/>
        <v>0</v>
      </c>
      <c r="P378" s="606"/>
      <c r="Q378" s="606"/>
      <c r="R378" s="606"/>
      <c r="S378" s="606"/>
      <c r="T378" s="606"/>
      <c r="U378" s="606"/>
      <c r="V378" s="606"/>
      <c r="W378" s="606"/>
      <c r="X378" s="606"/>
      <c r="Y378" s="606"/>
      <c r="Z378" s="606"/>
      <c r="AA378" s="606"/>
      <c r="AB378" s="606"/>
      <c r="AC378" s="606"/>
      <c r="AD378" s="606"/>
    </row>
    <row r="379" spans="2:30">
      <c r="B379" s="367">
        <f t="shared" si="15"/>
        <v>-1</v>
      </c>
      <c r="D379" s="182"/>
      <c r="E379" s="182"/>
      <c r="F379" s="184"/>
      <c r="G379" s="182"/>
      <c r="H379" s="182"/>
      <c r="I379" s="182"/>
      <c r="J379" s="183"/>
      <c r="K379" s="183"/>
      <c r="L379" s="182"/>
      <c r="N379" s="367">
        <f t="shared" si="16"/>
        <v>0</v>
      </c>
      <c r="O379" s="368">
        <f t="shared" si="17"/>
        <v>0</v>
      </c>
      <c r="P379" s="606"/>
      <c r="Q379" s="606"/>
      <c r="R379" s="606"/>
      <c r="S379" s="606"/>
      <c r="T379" s="606"/>
      <c r="U379" s="606"/>
      <c r="V379" s="606"/>
      <c r="W379" s="606"/>
      <c r="X379" s="606"/>
      <c r="Y379" s="606"/>
      <c r="Z379" s="606"/>
      <c r="AA379" s="606"/>
      <c r="AB379" s="606"/>
      <c r="AC379" s="606"/>
      <c r="AD379" s="606"/>
    </row>
    <row r="380" spans="2:30">
      <c r="B380" s="367">
        <f t="shared" si="15"/>
        <v>-1</v>
      </c>
      <c r="D380" s="182"/>
      <c r="E380" s="182"/>
      <c r="F380" s="184"/>
      <c r="G380" s="182"/>
      <c r="H380" s="182"/>
      <c r="I380" s="182"/>
      <c r="J380" s="183"/>
      <c r="K380" s="183"/>
      <c r="L380" s="182"/>
      <c r="N380" s="367">
        <f t="shared" si="16"/>
        <v>0</v>
      </c>
      <c r="O380" s="368">
        <f t="shared" si="17"/>
        <v>0</v>
      </c>
      <c r="P380" s="606"/>
      <c r="Q380" s="606"/>
      <c r="R380" s="606"/>
      <c r="S380" s="606"/>
      <c r="T380" s="606"/>
      <c r="U380" s="606"/>
      <c r="V380" s="606"/>
      <c r="W380" s="606"/>
      <c r="X380" s="606"/>
      <c r="Y380" s="606"/>
      <c r="Z380" s="606"/>
      <c r="AA380" s="606"/>
      <c r="AB380" s="606"/>
      <c r="AC380" s="606"/>
      <c r="AD380" s="606"/>
    </row>
    <row r="381" spans="2:30">
      <c r="B381" s="367">
        <f t="shared" si="15"/>
        <v>-1</v>
      </c>
      <c r="D381" s="182"/>
      <c r="E381" s="182"/>
      <c r="F381" s="184"/>
      <c r="G381" s="182"/>
      <c r="H381" s="182"/>
      <c r="I381" s="182"/>
      <c r="J381" s="183"/>
      <c r="K381" s="183"/>
      <c r="L381" s="182"/>
      <c r="N381" s="367">
        <f t="shared" si="16"/>
        <v>0</v>
      </c>
      <c r="O381" s="368">
        <f t="shared" si="17"/>
        <v>0</v>
      </c>
      <c r="P381" s="606"/>
      <c r="Q381" s="606"/>
      <c r="R381" s="606"/>
      <c r="S381" s="606"/>
      <c r="T381" s="606"/>
      <c r="U381" s="606"/>
      <c r="V381" s="606"/>
      <c r="W381" s="606"/>
      <c r="X381" s="606"/>
      <c r="Y381" s="606"/>
      <c r="Z381" s="606"/>
      <c r="AA381" s="606"/>
      <c r="AB381" s="606"/>
      <c r="AC381" s="606"/>
      <c r="AD381" s="606"/>
    </row>
    <row r="382" spans="2:30">
      <c r="B382" s="367">
        <f t="shared" si="15"/>
        <v>-1</v>
      </c>
      <c r="D382" s="182"/>
      <c r="E382" s="182"/>
      <c r="F382" s="184"/>
      <c r="G382" s="182"/>
      <c r="H382" s="182"/>
      <c r="I382" s="182"/>
      <c r="J382" s="183"/>
      <c r="K382" s="183"/>
      <c r="L382" s="182"/>
      <c r="N382" s="367">
        <f t="shared" si="16"/>
        <v>0</v>
      </c>
      <c r="O382" s="368">
        <f t="shared" si="17"/>
        <v>0</v>
      </c>
      <c r="P382" s="606"/>
      <c r="Q382" s="606"/>
      <c r="R382" s="606"/>
      <c r="S382" s="606"/>
      <c r="T382" s="606"/>
      <c r="U382" s="606"/>
      <c r="V382" s="606"/>
      <c r="W382" s="606"/>
      <c r="X382" s="606"/>
      <c r="Y382" s="606"/>
      <c r="Z382" s="606"/>
      <c r="AA382" s="606"/>
      <c r="AB382" s="606"/>
      <c r="AC382" s="606"/>
      <c r="AD382" s="606"/>
    </row>
    <row r="383" spans="2:30">
      <c r="B383" s="367">
        <f t="shared" si="15"/>
        <v>-1</v>
      </c>
      <c r="D383" s="182"/>
      <c r="E383" s="182"/>
      <c r="F383" s="184"/>
      <c r="G383" s="182"/>
      <c r="H383" s="182"/>
      <c r="I383" s="182"/>
      <c r="J383" s="183"/>
      <c r="K383" s="183"/>
      <c r="L383" s="182"/>
      <c r="N383" s="367">
        <f t="shared" si="16"/>
        <v>0</v>
      </c>
      <c r="O383" s="368">
        <f t="shared" si="17"/>
        <v>0</v>
      </c>
      <c r="P383" s="606"/>
      <c r="Q383" s="606"/>
      <c r="R383" s="606"/>
      <c r="S383" s="606"/>
      <c r="T383" s="606"/>
      <c r="U383" s="606"/>
      <c r="V383" s="606"/>
      <c r="W383" s="606"/>
      <c r="X383" s="606"/>
      <c r="Y383" s="606"/>
      <c r="Z383" s="606"/>
      <c r="AA383" s="606"/>
      <c r="AB383" s="606"/>
      <c r="AC383" s="606"/>
      <c r="AD383" s="606"/>
    </row>
    <row r="384" spans="2:30">
      <c r="B384" s="367">
        <f t="shared" si="15"/>
        <v>-1</v>
      </c>
      <c r="D384" s="182"/>
      <c r="E384" s="182"/>
      <c r="F384" s="184"/>
      <c r="G384" s="182"/>
      <c r="H384" s="182"/>
      <c r="I384" s="182"/>
      <c r="J384" s="183"/>
      <c r="K384" s="183"/>
      <c r="L384" s="182"/>
      <c r="N384" s="367">
        <f t="shared" si="16"/>
        <v>0</v>
      </c>
      <c r="O384" s="368">
        <f t="shared" si="17"/>
        <v>0</v>
      </c>
      <c r="P384" s="606"/>
      <c r="Q384" s="606"/>
      <c r="R384" s="606"/>
      <c r="S384" s="606"/>
      <c r="T384" s="606"/>
      <c r="U384" s="606"/>
      <c r="V384" s="606"/>
      <c r="W384" s="606"/>
      <c r="X384" s="606"/>
      <c r="Y384" s="606"/>
      <c r="Z384" s="606"/>
      <c r="AA384" s="606"/>
      <c r="AB384" s="606"/>
      <c r="AC384" s="606"/>
      <c r="AD384" s="606"/>
    </row>
    <row r="385" spans="2:30">
      <c r="B385" s="367">
        <f t="shared" si="15"/>
        <v>-1</v>
      </c>
      <c r="D385" s="182"/>
      <c r="E385" s="182"/>
      <c r="F385" s="184"/>
      <c r="G385" s="182"/>
      <c r="H385" s="182"/>
      <c r="I385" s="182"/>
      <c r="J385" s="183"/>
      <c r="K385" s="183"/>
      <c r="L385" s="182"/>
      <c r="N385" s="367">
        <f t="shared" si="16"/>
        <v>0</v>
      </c>
      <c r="O385" s="368">
        <f t="shared" si="17"/>
        <v>0</v>
      </c>
      <c r="P385" s="606"/>
      <c r="Q385" s="606"/>
      <c r="R385" s="606"/>
      <c r="S385" s="606"/>
      <c r="T385" s="606"/>
      <c r="U385" s="606"/>
      <c r="V385" s="606"/>
      <c r="W385" s="606"/>
      <c r="X385" s="606"/>
      <c r="Y385" s="606"/>
      <c r="Z385" s="606"/>
      <c r="AA385" s="606"/>
      <c r="AB385" s="606"/>
      <c r="AC385" s="606"/>
      <c r="AD385" s="606"/>
    </row>
    <row r="386" spans="2:30">
      <c r="B386" s="367">
        <f t="shared" si="15"/>
        <v>-1</v>
      </c>
      <c r="D386" s="182"/>
      <c r="E386" s="182"/>
      <c r="F386" s="184"/>
      <c r="G386" s="182"/>
      <c r="H386" s="182"/>
      <c r="I386" s="182"/>
      <c r="J386" s="183"/>
      <c r="K386" s="183"/>
      <c r="L386" s="182"/>
      <c r="N386" s="367">
        <f t="shared" si="16"/>
        <v>0</v>
      </c>
      <c r="O386" s="368">
        <f t="shared" si="17"/>
        <v>0</v>
      </c>
      <c r="P386" s="606"/>
      <c r="Q386" s="606"/>
      <c r="R386" s="606"/>
      <c r="S386" s="606"/>
      <c r="T386" s="606"/>
      <c r="U386" s="606"/>
      <c r="V386" s="606"/>
      <c r="W386" s="606"/>
      <c r="X386" s="606"/>
      <c r="Y386" s="606"/>
      <c r="Z386" s="606"/>
      <c r="AA386" s="606"/>
      <c r="AB386" s="606"/>
      <c r="AC386" s="606"/>
      <c r="AD386" s="606"/>
    </row>
    <row r="387" spans="2:30">
      <c r="B387" s="367">
        <f t="shared" si="15"/>
        <v>-1</v>
      </c>
      <c r="D387" s="182"/>
      <c r="E387" s="182"/>
      <c r="F387" s="184"/>
      <c r="G387" s="182"/>
      <c r="H387" s="182"/>
      <c r="I387" s="182"/>
      <c r="J387" s="183"/>
      <c r="K387" s="183"/>
      <c r="L387" s="182"/>
      <c r="N387" s="367">
        <f t="shared" si="16"/>
        <v>0</v>
      </c>
      <c r="O387" s="368">
        <f t="shared" si="17"/>
        <v>0</v>
      </c>
      <c r="P387" s="606"/>
      <c r="Q387" s="606"/>
      <c r="R387" s="606"/>
      <c r="S387" s="606"/>
      <c r="T387" s="606"/>
      <c r="U387" s="606"/>
      <c r="V387" s="606"/>
      <c r="W387" s="606"/>
      <c r="X387" s="606"/>
      <c r="Y387" s="606"/>
      <c r="Z387" s="606"/>
      <c r="AA387" s="606"/>
      <c r="AB387" s="606"/>
      <c r="AC387" s="606"/>
      <c r="AD387" s="606"/>
    </row>
    <row r="388" spans="2:30">
      <c r="B388" s="367">
        <f t="shared" si="15"/>
        <v>-1</v>
      </c>
      <c r="D388" s="182"/>
      <c r="E388" s="182"/>
      <c r="F388" s="184"/>
      <c r="G388" s="182"/>
      <c r="H388" s="182"/>
      <c r="I388" s="182"/>
      <c r="J388" s="183"/>
      <c r="K388" s="183"/>
      <c r="L388" s="182"/>
      <c r="N388" s="367">
        <f t="shared" si="16"/>
        <v>0</v>
      </c>
      <c r="O388" s="368">
        <f t="shared" si="17"/>
        <v>0</v>
      </c>
      <c r="P388" s="606"/>
      <c r="Q388" s="606"/>
      <c r="R388" s="606"/>
      <c r="S388" s="606"/>
      <c r="T388" s="606"/>
      <c r="U388" s="606"/>
      <c r="V388" s="606"/>
      <c r="W388" s="606"/>
      <c r="X388" s="606"/>
      <c r="Y388" s="606"/>
      <c r="Z388" s="606"/>
      <c r="AA388" s="606"/>
      <c r="AB388" s="606"/>
      <c r="AC388" s="606"/>
      <c r="AD388" s="606"/>
    </row>
    <row r="389" spans="2:30">
      <c r="B389" s="367">
        <f t="shared" si="15"/>
        <v>-1</v>
      </c>
      <c r="D389" s="182"/>
      <c r="E389" s="182"/>
      <c r="F389" s="184"/>
      <c r="G389" s="182"/>
      <c r="H389" s="182"/>
      <c r="I389" s="182"/>
      <c r="J389" s="183"/>
      <c r="K389" s="183"/>
      <c r="L389" s="182"/>
      <c r="N389" s="367">
        <f t="shared" si="16"/>
        <v>0</v>
      </c>
      <c r="O389" s="368">
        <f t="shared" si="17"/>
        <v>0</v>
      </c>
      <c r="P389" s="606"/>
      <c r="Q389" s="606"/>
      <c r="R389" s="606"/>
      <c r="S389" s="606"/>
      <c r="T389" s="606"/>
      <c r="U389" s="606"/>
      <c r="V389" s="606"/>
      <c r="W389" s="606"/>
      <c r="X389" s="606"/>
      <c r="Y389" s="606"/>
      <c r="Z389" s="606"/>
      <c r="AA389" s="606"/>
      <c r="AB389" s="606"/>
      <c r="AC389" s="606"/>
      <c r="AD389" s="606"/>
    </row>
    <row r="390" spans="2:30">
      <c r="B390" s="367">
        <f t="shared" si="15"/>
        <v>-1</v>
      </c>
      <c r="D390" s="182"/>
      <c r="E390" s="182"/>
      <c r="F390" s="184"/>
      <c r="G390" s="182"/>
      <c r="H390" s="182"/>
      <c r="I390" s="182"/>
      <c r="J390" s="183"/>
      <c r="K390" s="183"/>
      <c r="L390" s="182"/>
      <c r="N390" s="367">
        <f t="shared" si="16"/>
        <v>0</v>
      </c>
      <c r="O390" s="368">
        <f t="shared" si="17"/>
        <v>0</v>
      </c>
      <c r="P390" s="606"/>
      <c r="Q390" s="606"/>
      <c r="R390" s="606"/>
      <c r="S390" s="606"/>
      <c r="T390" s="606"/>
      <c r="U390" s="606"/>
      <c r="V390" s="606"/>
      <c r="W390" s="606"/>
      <c r="X390" s="606"/>
      <c r="Y390" s="606"/>
      <c r="Z390" s="606"/>
      <c r="AA390" s="606"/>
      <c r="AB390" s="606"/>
      <c r="AC390" s="606"/>
      <c r="AD390" s="606"/>
    </row>
    <row r="391" spans="2:30">
      <c r="B391" s="367">
        <f t="shared" si="15"/>
        <v>-1</v>
      </c>
      <c r="D391" s="182"/>
      <c r="E391" s="182"/>
      <c r="F391" s="184"/>
      <c r="G391" s="182"/>
      <c r="H391" s="182"/>
      <c r="I391" s="182"/>
      <c r="J391" s="183"/>
      <c r="K391" s="183"/>
      <c r="L391" s="182"/>
      <c r="N391" s="367">
        <f t="shared" si="16"/>
        <v>0</v>
      </c>
      <c r="O391" s="368">
        <f t="shared" si="17"/>
        <v>0</v>
      </c>
      <c r="P391" s="606"/>
      <c r="Q391" s="606"/>
      <c r="R391" s="606"/>
      <c r="S391" s="606"/>
      <c r="T391" s="606"/>
      <c r="U391" s="606"/>
      <c r="V391" s="606"/>
      <c r="W391" s="606"/>
      <c r="X391" s="606"/>
      <c r="Y391" s="606"/>
      <c r="Z391" s="606"/>
      <c r="AA391" s="606"/>
      <c r="AB391" s="606"/>
      <c r="AC391" s="606"/>
      <c r="AD391" s="606"/>
    </row>
    <row r="392" spans="2:30">
      <c r="B392" s="367">
        <f t="shared" si="15"/>
        <v>-1</v>
      </c>
      <c r="D392" s="182"/>
      <c r="E392" s="182"/>
      <c r="F392" s="184"/>
      <c r="G392" s="182"/>
      <c r="H392" s="182"/>
      <c r="I392" s="182"/>
      <c r="J392" s="183"/>
      <c r="K392" s="183"/>
      <c r="L392" s="182"/>
      <c r="N392" s="367">
        <f t="shared" si="16"/>
        <v>0</v>
      </c>
      <c r="O392" s="368">
        <f t="shared" si="17"/>
        <v>0</v>
      </c>
      <c r="P392" s="606"/>
      <c r="Q392" s="606"/>
      <c r="R392" s="606"/>
      <c r="S392" s="606"/>
      <c r="T392" s="606"/>
      <c r="U392" s="606"/>
      <c r="V392" s="606"/>
      <c r="W392" s="606"/>
      <c r="X392" s="606"/>
      <c r="Y392" s="606"/>
      <c r="Z392" s="606"/>
      <c r="AA392" s="606"/>
      <c r="AB392" s="606"/>
      <c r="AC392" s="606"/>
      <c r="AD392" s="606"/>
    </row>
    <row r="393" spans="2:30">
      <c r="B393" s="367">
        <f t="shared" si="15"/>
        <v>-1</v>
      </c>
      <c r="D393" s="182"/>
      <c r="E393" s="182"/>
      <c r="F393" s="184"/>
      <c r="G393" s="182"/>
      <c r="H393" s="182"/>
      <c r="I393" s="182"/>
      <c r="J393" s="183"/>
      <c r="K393" s="183"/>
      <c r="L393" s="182"/>
      <c r="N393" s="367">
        <f t="shared" si="16"/>
        <v>0</v>
      </c>
      <c r="O393" s="368">
        <f t="shared" si="17"/>
        <v>0</v>
      </c>
      <c r="P393" s="606"/>
      <c r="Q393" s="606"/>
      <c r="R393" s="606"/>
      <c r="S393" s="606"/>
      <c r="T393" s="606"/>
      <c r="U393" s="606"/>
      <c r="V393" s="606"/>
      <c r="W393" s="606"/>
      <c r="X393" s="606"/>
      <c r="Y393" s="606"/>
      <c r="Z393" s="606"/>
      <c r="AA393" s="606"/>
      <c r="AB393" s="606"/>
      <c r="AC393" s="606"/>
      <c r="AD393" s="606"/>
    </row>
    <row r="394" spans="2:30">
      <c r="B394" s="367">
        <f t="shared" ref="B394:B457" si="18">IF(G394="buy",1,-1)</f>
        <v>-1</v>
      </c>
      <c r="D394" s="182"/>
      <c r="E394" s="182"/>
      <c r="F394" s="184"/>
      <c r="G394" s="182"/>
      <c r="H394" s="182"/>
      <c r="I394" s="182"/>
      <c r="J394" s="183"/>
      <c r="K394" s="183"/>
      <c r="L394" s="182"/>
      <c r="N394" s="367">
        <f t="shared" ref="N394:N457" si="19">+H394*((K394-J394)+1)*B394</f>
        <v>0</v>
      </c>
      <c r="O394" s="368">
        <f t="shared" ref="O394:O457" si="20">N394*L394/100</f>
        <v>0</v>
      </c>
      <c r="P394" s="606"/>
      <c r="Q394" s="606"/>
      <c r="R394" s="606"/>
      <c r="S394" s="606"/>
      <c r="T394" s="606"/>
      <c r="U394" s="606"/>
      <c r="V394" s="606"/>
      <c r="W394" s="606"/>
      <c r="X394" s="606"/>
      <c r="Y394" s="606"/>
      <c r="Z394" s="606"/>
      <c r="AA394" s="606"/>
      <c r="AB394" s="606"/>
      <c r="AC394" s="606"/>
      <c r="AD394" s="606"/>
    </row>
    <row r="395" spans="2:30">
      <c r="B395" s="367">
        <f t="shared" si="18"/>
        <v>-1</v>
      </c>
      <c r="D395" s="182"/>
      <c r="E395" s="182"/>
      <c r="F395" s="184"/>
      <c r="G395" s="182"/>
      <c r="H395" s="182"/>
      <c r="I395" s="182"/>
      <c r="J395" s="183"/>
      <c r="K395" s="183"/>
      <c r="L395" s="182"/>
      <c r="N395" s="367">
        <f t="shared" si="19"/>
        <v>0</v>
      </c>
      <c r="O395" s="368">
        <f t="shared" si="20"/>
        <v>0</v>
      </c>
      <c r="P395" s="606"/>
      <c r="Q395" s="606"/>
      <c r="R395" s="606"/>
      <c r="S395" s="606"/>
      <c r="T395" s="606"/>
      <c r="U395" s="606"/>
      <c r="V395" s="606"/>
      <c r="W395" s="606"/>
      <c r="X395" s="606"/>
      <c r="Y395" s="606"/>
      <c r="Z395" s="606"/>
      <c r="AA395" s="606"/>
      <c r="AB395" s="606"/>
      <c r="AC395" s="606"/>
      <c r="AD395" s="606"/>
    </row>
    <row r="396" spans="2:30">
      <c r="B396" s="367">
        <f t="shared" si="18"/>
        <v>-1</v>
      </c>
      <c r="D396" s="182"/>
      <c r="E396" s="182"/>
      <c r="F396" s="184"/>
      <c r="G396" s="182"/>
      <c r="H396" s="182"/>
      <c r="I396" s="182"/>
      <c r="J396" s="183"/>
      <c r="K396" s="183"/>
      <c r="L396" s="182"/>
      <c r="N396" s="367">
        <f t="shared" si="19"/>
        <v>0</v>
      </c>
      <c r="O396" s="368">
        <f t="shared" si="20"/>
        <v>0</v>
      </c>
      <c r="P396" s="606"/>
      <c r="Q396" s="606"/>
      <c r="R396" s="606"/>
      <c r="S396" s="606"/>
      <c r="T396" s="606"/>
      <c r="U396" s="606"/>
      <c r="V396" s="606"/>
      <c r="W396" s="606"/>
      <c r="X396" s="606"/>
      <c r="Y396" s="606"/>
      <c r="Z396" s="606"/>
      <c r="AA396" s="606"/>
      <c r="AB396" s="606"/>
      <c r="AC396" s="606"/>
      <c r="AD396" s="606"/>
    </row>
    <row r="397" spans="2:30">
      <c r="B397" s="367">
        <f t="shared" si="18"/>
        <v>-1</v>
      </c>
      <c r="D397" s="182"/>
      <c r="E397" s="182"/>
      <c r="F397" s="184"/>
      <c r="G397" s="182"/>
      <c r="H397" s="182"/>
      <c r="I397" s="182"/>
      <c r="J397" s="183"/>
      <c r="K397" s="183"/>
      <c r="L397" s="182"/>
      <c r="N397" s="367">
        <f t="shared" si="19"/>
        <v>0</v>
      </c>
      <c r="O397" s="368">
        <f t="shared" si="20"/>
        <v>0</v>
      </c>
      <c r="P397" s="606"/>
      <c r="Q397" s="606"/>
      <c r="R397" s="606"/>
      <c r="S397" s="606"/>
      <c r="T397" s="606"/>
      <c r="U397" s="606"/>
      <c r="V397" s="606"/>
      <c r="W397" s="606"/>
      <c r="X397" s="606"/>
      <c r="Y397" s="606"/>
      <c r="Z397" s="606"/>
      <c r="AA397" s="606"/>
      <c r="AB397" s="606"/>
      <c r="AC397" s="606"/>
      <c r="AD397" s="606"/>
    </row>
    <row r="398" spans="2:30">
      <c r="B398" s="367">
        <f t="shared" si="18"/>
        <v>-1</v>
      </c>
      <c r="D398" s="182"/>
      <c r="E398" s="182"/>
      <c r="F398" s="184"/>
      <c r="G398" s="182"/>
      <c r="H398" s="182"/>
      <c r="I398" s="182"/>
      <c r="J398" s="183"/>
      <c r="K398" s="183"/>
      <c r="L398" s="182"/>
      <c r="N398" s="367">
        <f t="shared" si="19"/>
        <v>0</v>
      </c>
      <c r="O398" s="368">
        <f t="shared" si="20"/>
        <v>0</v>
      </c>
      <c r="P398" s="606"/>
      <c r="Q398" s="606"/>
      <c r="R398" s="606"/>
      <c r="S398" s="606"/>
      <c r="T398" s="606"/>
      <c r="U398" s="606"/>
      <c r="V398" s="606"/>
      <c r="W398" s="606"/>
      <c r="X398" s="606"/>
      <c r="Y398" s="606"/>
      <c r="Z398" s="606"/>
      <c r="AA398" s="606"/>
      <c r="AB398" s="606"/>
      <c r="AC398" s="606"/>
      <c r="AD398" s="606"/>
    </row>
    <row r="399" spans="2:30">
      <c r="B399" s="367">
        <f t="shared" si="18"/>
        <v>-1</v>
      </c>
      <c r="D399" s="182"/>
      <c r="E399" s="182"/>
      <c r="F399" s="184"/>
      <c r="G399" s="182"/>
      <c r="H399" s="182"/>
      <c r="I399" s="182"/>
      <c r="J399" s="183"/>
      <c r="K399" s="183"/>
      <c r="L399" s="182"/>
      <c r="N399" s="367">
        <f t="shared" si="19"/>
        <v>0</v>
      </c>
      <c r="O399" s="368">
        <f t="shared" si="20"/>
        <v>0</v>
      </c>
      <c r="P399" s="606"/>
      <c r="Q399" s="606"/>
      <c r="R399" s="606"/>
      <c r="S399" s="606"/>
      <c r="T399" s="606"/>
      <c r="U399" s="606"/>
      <c r="V399" s="606"/>
      <c r="W399" s="606"/>
      <c r="X399" s="606"/>
      <c r="Y399" s="606"/>
      <c r="Z399" s="606"/>
      <c r="AA399" s="606"/>
      <c r="AB399" s="606"/>
      <c r="AC399" s="606"/>
      <c r="AD399" s="606"/>
    </row>
    <row r="400" spans="2:30">
      <c r="B400" s="367">
        <f t="shared" si="18"/>
        <v>-1</v>
      </c>
      <c r="D400" s="182"/>
      <c r="E400" s="182"/>
      <c r="F400" s="184"/>
      <c r="G400" s="182"/>
      <c r="H400" s="182"/>
      <c r="I400" s="182"/>
      <c r="J400" s="183"/>
      <c r="K400" s="183"/>
      <c r="L400" s="182"/>
      <c r="N400" s="367">
        <f t="shared" si="19"/>
        <v>0</v>
      </c>
      <c r="O400" s="368">
        <f t="shared" si="20"/>
        <v>0</v>
      </c>
      <c r="P400" s="606"/>
      <c r="Q400" s="606"/>
      <c r="R400" s="606"/>
      <c r="S400" s="606"/>
      <c r="T400" s="606"/>
      <c r="U400" s="606"/>
      <c r="V400" s="606"/>
      <c r="W400" s="606"/>
      <c r="X400" s="606"/>
      <c r="Y400" s="606"/>
      <c r="Z400" s="606"/>
      <c r="AA400" s="606"/>
      <c r="AB400" s="606"/>
      <c r="AC400" s="606"/>
      <c r="AD400" s="606"/>
    </row>
    <row r="401" spans="2:30">
      <c r="B401" s="367">
        <f t="shared" si="18"/>
        <v>-1</v>
      </c>
      <c r="D401" s="182"/>
      <c r="E401" s="182"/>
      <c r="F401" s="184"/>
      <c r="G401" s="182"/>
      <c r="H401" s="182"/>
      <c r="I401" s="182"/>
      <c r="J401" s="183"/>
      <c r="K401" s="183"/>
      <c r="L401" s="182"/>
      <c r="N401" s="367">
        <f t="shared" si="19"/>
        <v>0</v>
      </c>
      <c r="O401" s="368">
        <f t="shared" si="20"/>
        <v>0</v>
      </c>
      <c r="P401" s="606"/>
      <c r="Q401" s="606"/>
      <c r="R401" s="606"/>
      <c r="S401" s="606"/>
      <c r="T401" s="606"/>
      <c r="U401" s="606"/>
      <c r="V401" s="606"/>
      <c r="W401" s="606"/>
      <c r="X401" s="606"/>
      <c r="Y401" s="606"/>
      <c r="Z401" s="606"/>
      <c r="AA401" s="606"/>
      <c r="AB401" s="606"/>
      <c r="AC401" s="606"/>
      <c r="AD401" s="606"/>
    </row>
    <row r="402" spans="2:30">
      <c r="B402" s="367">
        <f t="shared" si="18"/>
        <v>-1</v>
      </c>
      <c r="D402" s="182"/>
      <c r="E402" s="182"/>
      <c r="F402" s="184"/>
      <c r="G402" s="182"/>
      <c r="H402" s="182"/>
      <c r="I402" s="182"/>
      <c r="J402" s="183"/>
      <c r="K402" s="183"/>
      <c r="L402" s="182"/>
      <c r="N402" s="367">
        <f t="shared" si="19"/>
        <v>0</v>
      </c>
      <c r="O402" s="368">
        <f t="shared" si="20"/>
        <v>0</v>
      </c>
      <c r="P402" s="606"/>
      <c r="Q402" s="606"/>
      <c r="R402" s="606"/>
      <c r="S402" s="606"/>
      <c r="T402" s="606"/>
      <c r="U402" s="606"/>
      <c r="V402" s="606"/>
      <c r="W402" s="606"/>
      <c r="X402" s="606"/>
      <c r="Y402" s="606"/>
      <c r="Z402" s="606"/>
      <c r="AA402" s="606"/>
      <c r="AB402" s="606"/>
      <c r="AC402" s="606"/>
      <c r="AD402" s="606"/>
    </row>
    <row r="403" spans="2:30">
      <c r="B403" s="367">
        <f t="shared" si="18"/>
        <v>-1</v>
      </c>
      <c r="D403" s="182"/>
      <c r="E403" s="182"/>
      <c r="F403" s="184"/>
      <c r="G403" s="182"/>
      <c r="H403" s="182"/>
      <c r="I403" s="182"/>
      <c r="J403" s="183"/>
      <c r="K403" s="183"/>
      <c r="L403" s="182"/>
      <c r="N403" s="367">
        <f t="shared" si="19"/>
        <v>0</v>
      </c>
      <c r="O403" s="368">
        <f t="shared" si="20"/>
        <v>0</v>
      </c>
      <c r="P403" s="606"/>
      <c r="Q403" s="606"/>
      <c r="R403" s="606"/>
      <c r="S403" s="606"/>
      <c r="T403" s="606"/>
      <c r="U403" s="606"/>
      <c r="V403" s="606"/>
      <c r="W403" s="606"/>
      <c r="X403" s="606"/>
      <c r="Y403" s="606"/>
      <c r="Z403" s="606"/>
      <c r="AA403" s="606"/>
      <c r="AB403" s="606"/>
      <c r="AC403" s="606"/>
      <c r="AD403" s="606"/>
    </row>
    <row r="404" spans="2:30">
      <c r="B404" s="367">
        <f t="shared" si="18"/>
        <v>-1</v>
      </c>
      <c r="D404" s="182"/>
      <c r="E404" s="182"/>
      <c r="F404" s="184"/>
      <c r="G404" s="182"/>
      <c r="H404" s="182"/>
      <c r="I404" s="182"/>
      <c r="J404" s="183"/>
      <c r="K404" s="183"/>
      <c r="L404" s="182"/>
      <c r="N404" s="367">
        <f t="shared" si="19"/>
        <v>0</v>
      </c>
      <c r="O404" s="368">
        <f t="shared" si="20"/>
        <v>0</v>
      </c>
      <c r="P404" s="606"/>
      <c r="Q404" s="606"/>
      <c r="R404" s="606"/>
      <c r="S404" s="606"/>
      <c r="T404" s="606"/>
      <c r="U404" s="606"/>
      <c r="V404" s="606"/>
      <c r="W404" s="606"/>
      <c r="X404" s="606"/>
      <c r="Y404" s="606"/>
      <c r="Z404" s="606"/>
      <c r="AA404" s="606"/>
      <c r="AB404" s="606"/>
      <c r="AC404" s="606"/>
      <c r="AD404" s="606"/>
    </row>
    <row r="405" spans="2:30">
      <c r="B405" s="367">
        <f t="shared" si="18"/>
        <v>-1</v>
      </c>
      <c r="D405" s="182"/>
      <c r="E405" s="182"/>
      <c r="F405" s="184"/>
      <c r="G405" s="182"/>
      <c r="H405" s="182"/>
      <c r="I405" s="182"/>
      <c r="J405" s="183"/>
      <c r="K405" s="183"/>
      <c r="L405" s="182"/>
      <c r="N405" s="367">
        <f t="shared" si="19"/>
        <v>0</v>
      </c>
      <c r="O405" s="368">
        <f t="shared" si="20"/>
        <v>0</v>
      </c>
      <c r="P405" s="606"/>
      <c r="Q405" s="606"/>
      <c r="R405" s="606"/>
      <c r="S405" s="606"/>
      <c r="T405" s="606"/>
      <c r="U405" s="606"/>
      <c r="V405" s="606"/>
      <c r="W405" s="606"/>
      <c r="X405" s="606"/>
      <c r="Y405" s="606"/>
      <c r="Z405" s="606"/>
      <c r="AA405" s="606"/>
      <c r="AB405" s="606"/>
      <c r="AC405" s="606"/>
      <c r="AD405" s="606"/>
    </row>
    <row r="406" spans="2:30">
      <c r="B406" s="367">
        <f t="shared" si="18"/>
        <v>-1</v>
      </c>
      <c r="D406" s="182"/>
      <c r="E406" s="182"/>
      <c r="F406" s="184"/>
      <c r="G406" s="182"/>
      <c r="H406" s="182"/>
      <c r="I406" s="182"/>
      <c r="J406" s="183"/>
      <c r="K406" s="183"/>
      <c r="L406" s="182"/>
      <c r="N406" s="367">
        <f t="shared" si="19"/>
        <v>0</v>
      </c>
      <c r="O406" s="368">
        <f t="shared" si="20"/>
        <v>0</v>
      </c>
      <c r="P406" s="606"/>
      <c r="Q406" s="606"/>
      <c r="R406" s="606"/>
      <c r="S406" s="606"/>
      <c r="T406" s="606"/>
      <c r="U406" s="606"/>
      <c r="V406" s="606"/>
      <c r="W406" s="606"/>
      <c r="X406" s="606"/>
      <c r="Y406" s="606"/>
      <c r="Z406" s="606"/>
      <c r="AA406" s="606"/>
      <c r="AB406" s="606"/>
      <c r="AC406" s="606"/>
      <c r="AD406" s="606"/>
    </row>
    <row r="407" spans="2:30">
      <c r="B407" s="367">
        <f t="shared" si="18"/>
        <v>-1</v>
      </c>
      <c r="D407" s="182"/>
      <c r="E407" s="182"/>
      <c r="F407" s="184"/>
      <c r="G407" s="182"/>
      <c r="H407" s="182"/>
      <c r="I407" s="182"/>
      <c r="J407" s="183"/>
      <c r="K407" s="183"/>
      <c r="L407" s="182"/>
      <c r="N407" s="367">
        <f t="shared" si="19"/>
        <v>0</v>
      </c>
      <c r="O407" s="368">
        <f t="shared" si="20"/>
        <v>0</v>
      </c>
      <c r="P407" s="606"/>
      <c r="Q407" s="606"/>
      <c r="R407" s="606"/>
      <c r="S407" s="606"/>
      <c r="T407" s="606"/>
      <c r="U407" s="606"/>
      <c r="V407" s="606"/>
      <c r="W407" s="606"/>
      <c r="X407" s="606"/>
      <c r="Y407" s="606"/>
      <c r="Z407" s="606"/>
      <c r="AA407" s="606"/>
      <c r="AB407" s="606"/>
      <c r="AC407" s="606"/>
      <c r="AD407" s="606"/>
    </row>
    <row r="408" spans="2:30">
      <c r="B408" s="367">
        <f t="shared" si="18"/>
        <v>-1</v>
      </c>
      <c r="D408" s="182"/>
      <c r="E408" s="182"/>
      <c r="F408" s="184"/>
      <c r="G408" s="182"/>
      <c r="H408" s="182"/>
      <c r="I408" s="182"/>
      <c r="J408" s="183"/>
      <c r="K408" s="183"/>
      <c r="L408" s="182"/>
      <c r="N408" s="367">
        <f t="shared" si="19"/>
        <v>0</v>
      </c>
      <c r="O408" s="368">
        <f t="shared" si="20"/>
        <v>0</v>
      </c>
      <c r="P408" s="606"/>
      <c r="Q408" s="606"/>
      <c r="R408" s="606"/>
      <c r="S408" s="606"/>
      <c r="T408" s="606"/>
      <c r="U408" s="606"/>
      <c r="V408" s="606"/>
      <c r="W408" s="606"/>
      <c r="X408" s="606"/>
      <c r="Y408" s="606"/>
      <c r="Z408" s="606"/>
      <c r="AA408" s="606"/>
      <c r="AB408" s="606"/>
      <c r="AC408" s="606"/>
      <c r="AD408" s="606"/>
    </row>
    <row r="409" spans="2:30">
      <c r="B409" s="367">
        <f t="shared" si="18"/>
        <v>-1</v>
      </c>
      <c r="D409" s="182"/>
      <c r="E409" s="182"/>
      <c r="F409" s="184"/>
      <c r="G409" s="182"/>
      <c r="H409" s="182"/>
      <c r="I409" s="182"/>
      <c r="J409" s="183"/>
      <c r="K409" s="183"/>
      <c r="L409" s="182"/>
      <c r="N409" s="367">
        <f t="shared" si="19"/>
        <v>0</v>
      </c>
      <c r="O409" s="368">
        <f t="shared" si="20"/>
        <v>0</v>
      </c>
      <c r="P409" s="606"/>
      <c r="Q409" s="606"/>
      <c r="R409" s="606"/>
      <c r="S409" s="606"/>
      <c r="T409" s="606"/>
      <c r="U409" s="606"/>
      <c r="V409" s="606"/>
      <c r="W409" s="606"/>
      <c r="X409" s="606"/>
      <c r="Y409" s="606"/>
      <c r="Z409" s="606"/>
      <c r="AA409" s="606"/>
      <c r="AB409" s="606"/>
      <c r="AC409" s="606"/>
      <c r="AD409" s="606"/>
    </row>
    <row r="410" spans="2:30">
      <c r="B410" s="367">
        <f t="shared" si="18"/>
        <v>-1</v>
      </c>
      <c r="D410" s="182"/>
      <c r="E410" s="182"/>
      <c r="F410" s="184"/>
      <c r="G410" s="182"/>
      <c r="H410" s="182"/>
      <c r="I410" s="182"/>
      <c r="J410" s="183"/>
      <c r="K410" s="183"/>
      <c r="L410" s="182"/>
      <c r="N410" s="367">
        <f t="shared" si="19"/>
        <v>0</v>
      </c>
      <c r="O410" s="368">
        <f t="shared" si="20"/>
        <v>0</v>
      </c>
      <c r="P410" s="606"/>
      <c r="Q410" s="606"/>
      <c r="R410" s="606"/>
      <c r="S410" s="606"/>
      <c r="T410" s="606"/>
      <c r="U410" s="606"/>
      <c r="V410" s="606"/>
      <c r="W410" s="606"/>
      <c r="X410" s="606"/>
      <c r="Y410" s="606"/>
      <c r="Z410" s="606"/>
      <c r="AA410" s="606"/>
      <c r="AB410" s="606"/>
      <c r="AC410" s="606"/>
      <c r="AD410" s="606"/>
    </row>
    <row r="411" spans="2:30">
      <c r="B411" s="367">
        <f t="shared" si="18"/>
        <v>-1</v>
      </c>
      <c r="D411" s="182"/>
      <c r="E411" s="182"/>
      <c r="F411" s="184"/>
      <c r="G411" s="182"/>
      <c r="H411" s="182"/>
      <c r="I411" s="182"/>
      <c r="J411" s="183"/>
      <c r="K411" s="183"/>
      <c r="L411" s="182"/>
      <c r="N411" s="367">
        <f t="shared" si="19"/>
        <v>0</v>
      </c>
      <c r="O411" s="368">
        <f t="shared" si="20"/>
        <v>0</v>
      </c>
      <c r="P411" s="606"/>
      <c r="Q411" s="606"/>
      <c r="R411" s="606"/>
      <c r="S411" s="606"/>
      <c r="T411" s="606"/>
      <c r="U411" s="606"/>
      <c r="V411" s="606"/>
      <c r="W411" s="606"/>
      <c r="X411" s="606"/>
      <c r="Y411" s="606"/>
      <c r="Z411" s="606"/>
      <c r="AA411" s="606"/>
      <c r="AB411" s="606"/>
      <c r="AC411" s="606"/>
      <c r="AD411" s="606"/>
    </row>
    <row r="412" spans="2:30">
      <c r="B412" s="367">
        <f t="shared" si="18"/>
        <v>-1</v>
      </c>
      <c r="D412" s="182"/>
      <c r="E412" s="182"/>
      <c r="F412" s="184"/>
      <c r="G412" s="182"/>
      <c r="H412" s="182"/>
      <c r="I412" s="182"/>
      <c r="J412" s="183"/>
      <c r="K412" s="183"/>
      <c r="L412" s="182"/>
      <c r="N412" s="367">
        <f t="shared" si="19"/>
        <v>0</v>
      </c>
      <c r="O412" s="368">
        <f t="shared" si="20"/>
        <v>0</v>
      </c>
      <c r="P412" s="606"/>
      <c r="Q412" s="606"/>
      <c r="R412" s="606"/>
      <c r="S412" s="606"/>
      <c r="T412" s="606"/>
      <c r="U412" s="606"/>
      <c r="V412" s="606"/>
      <c r="W412" s="606"/>
      <c r="X412" s="606"/>
      <c r="Y412" s="606"/>
      <c r="Z412" s="606"/>
      <c r="AA412" s="606"/>
      <c r="AB412" s="606"/>
      <c r="AC412" s="606"/>
      <c r="AD412" s="606"/>
    </row>
    <row r="413" spans="2:30">
      <c r="B413" s="367">
        <f t="shared" si="18"/>
        <v>-1</v>
      </c>
      <c r="D413" s="182"/>
      <c r="E413" s="182"/>
      <c r="F413" s="184"/>
      <c r="G413" s="182"/>
      <c r="H413" s="182"/>
      <c r="I413" s="182"/>
      <c r="J413" s="183"/>
      <c r="K413" s="183"/>
      <c r="L413" s="182"/>
      <c r="N413" s="367">
        <f t="shared" si="19"/>
        <v>0</v>
      </c>
      <c r="O413" s="368">
        <f t="shared" si="20"/>
        <v>0</v>
      </c>
      <c r="P413" s="606"/>
      <c r="Q413" s="606"/>
      <c r="R413" s="606"/>
      <c r="S413" s="606"/>
      <c r="T413" s="606"/>
      <c r="U413" s="606"/>
      <c r="V413" s="606"/>
      <c r="W413" s="606"/>
      <c r="X413" s="606"/>
      <c r="Y413" s="606"/>
      <c r="Z413" s="606"/>
      <c r="AA413" s="606"/>
      <c r="AB413" s="606"/>
      <c r="AC413" s="606"/>
      <c r="AD413" s="606"/>
    </row>
    <row r="414" spans="2:30">
      <c r="B414" s="367">
        <f t="shared" si="18"/>
        <v>-1</v>
      </c>
      <c r="D414" s="182"/>
      <c r="E414" s="182"/>
      <c r="F414" s="184"/>
      <c r="G414" s="182"/>
      <c r="H414" s="182"/>
      <c r="I414" s="182"/>
      <c r="J414" s="183"/>
      <c r="K414" s="183"/>
      <c r="L414" s="182"/>
      <c r="N414" s="367">
        <f t="shared" si="19"/>
        <v>0</v>
      </c>
      <c r="O414" s="368">
        <f t="shared" si="20"/>
        <v>0</v>
      </c>
      <c r="P414" s="606"/>
      <c r="Q414" s="606"/>
      <c r="R414" s="606"/>
      <c r="S414" s="606"/>
      <c r="T414" s="606"/>
      <c r="U414" s="606"/>
      <c r="V414" s="606"/>
      <c r="W414" s="606"/>
      <c r="X414" s="606"/>
      <c r="Y414" s="606"/>
      <c r="Z414" s="606"/>
      <c r="AA414" s="606"/>
      <c r="AB414" s="606"/>
      <c r="AC414" s="606"/>
      <c r="AD414" s="606"/>
    </row>
    <row r="415" spans="2:30">
      <c r="B415" s="367">
        <f t="shared" si="18"/>
        <v>-1</v>
      </c>
      <c r="D415" s="182"/>
      <c r="E415" s="182"/>
      <c r="F415" s="184"/>
      <c r="G415" s="182"/>
      <c r="H415" s="182"/>
      <c r="I415" s="182"/>
      <c r="J415" s="183"/>
      <c r="K415" s="183"/>
      <c r="L415" s="182"/>
      <c r="N415" s="367">
        <f t="shared" si="19"/>
        <v>0</v>
      </c>
      <c r="O415" s="368">
        <f t="shared" si="20"/>
        <v>0</v>
      </c>
      <c r="P415" s="606"/>
      <c r="Q415" s="606"/>
      <c r="R415" s="606"/>
      <c r="S415" s="606"/>
      <c r="T415" s="606"/>
      <c r="U415" s="606"/>
      <c r="V415" s="606"/>
      <c r="W415" s="606"/>
      <c r="X415" s="606"/>
      <c r="Y415" s="606"/>
      <c r="Z415" s="606"/>
      <c r="AA415" s="606"/>
      <c r="AB415" s="606"/>
      <c r="AC415" s="606"/>
      <c r="AD415" s="606"/>
    </row>
    <row r="416" spans="2:30">
      <c r="B416" s="367">
        <f t="shared" si="18"/>
        <v>-1</v>
      </c>
      <c r="D416" s="182"/>
      <c r="E416" s="182"/>
      <c r="F416" s="184"/>
      <c r="G416" s="182"/>
      <c r="H416" s="182"/>
      <c r="I416" s="182"/>
      <c r="J416" s="183"/>
      <c r="K416" s="183"/>
      <c r="L416" s="182"/>
      <c r="N416" s="367">
        <f t="shared" si="19"/>
        <v>0</v>
      </c>
      <c r="O416" s="368">
        <f t="shared" si="20"/>
        <v>0</v>
      </c>
      <c r="P416" s="606"/>
      <c r="Q416" s="606"/>
      <c r="R416" s="606"/>
      <c r="S416" s="606"/>
      <c r="T416" s="606"/>
      <c r="U416" s="606"/>
      <c r="V416" s="606"/>
      <c r="W416" s="606"/>
      <c r="X416" s="606"/>
      <c r="Y416" s="606"/>
      <c r="Z416" s="606"/>
      <c r="AA416" s="606"/>
      <c r="AB416" s="606"/>
      <c r="AC416" s="606"/>
      <c r="AD416" s="606"/>
    </row>
    <row r="417" spans="2:30">
      <c r="B417" s="367">
        <f t="shared" si="18"/>
        <v>-1</v>
      </c>
      <c r="D417" s="182"/>
      <c r="E417" s="182"/>
      <c r="F417" s="184"/>
      <c r="G417" s="182"/>
      <c r="H417" s="182"/>
      <c r="I417" s="182"/>
      <c r="J417" s="183"/>
      <c r="K417" s="183"/>
      <c r="L417" s="182"/>
      <c r="N417" s="367">
        <f t="shared" si="19"/>
        <v>0</v>
      </c>
      <c r="O417" s="368">
        <f t="shared" si="20"/>
        <v>0</v>
      </c>
      <c r="P417" s="606"/>
      <c r="Q417" s="606"/>
      <c r="R417" s="606"/>
      <c r="S417" s="606"/>
      <c r="T417" s="606"/>
      <c r="U417" s="606"/>
      <c r="V417" s="606"/>
      <c r="W417" s="606"/>
      <c r="X417" s="606"/>
      <c r="Y417" s="606"/>
      <c r="Z417" s="606"/>
      <c r="AA417" s="606"/>
      <c r="AB417" s="606"/>
      <c r="AC417" s="606"/>
      <c r="AD417" s="606"/>
    </row>
    <row r="418" spans="2:30">
      <c r="B418" s="367">
        <f t="shared" si="18"/>
        <v>-1</v>
      </c>
      <c r="D418" s="182"/>
      <c r="E418" s="182"/>
      <c r="F418" s="184"/>
      <c r="G418" s="182"/>
      <c r="H418" s="182"/>
      <c r="I418" s="182"/>
      <c r="J418" s="183"/>
      <c r="K418" s="183"/>
      <c r="L418" s="182"/>
      <c r="N418" s="367">
        <f t="shared" si="19"/>
        <v>0</v>
      </c>
      <c r="O418" s="368">
        <f t="shared" si="20"/>
        <v>0</v>
      </c>
      <c r="P418" s="606"/>
      <c r="Q418" s="606"/>
      <c r="R418" s="606"/>
      <c r="S418" s="606"/>
      <c r="T418" s="606"/>
      <c r="U418" s="606"/>
      <c r="V418" s="606"/>
      <c r="W418" s="606"/>
      <c r="X418" s="606"/>
      <c r="Y418" s="606"/>
      <c r="Z418" s="606"/>
      <c r="AA418" s="606"/>
      <c r="AB418" s="606"/>
      <c r="AC418" s="606"/>
      <c r="AD418" s="606"/>
    </row>
    <row r="419" spans="2:30">
      <c r="B419" s="367">
        <f t="shared" si="18"/>
        <v>-1</v>
      </c>
      <c r="D419" s="182"/>
      <c r="E419" s="182"/>
      <c r="F419" s="184"/>
      <c r="G419" s="182"/>
      <c r="H419" s="182"/>
      <c r="I419" s="182"/>
      <c r="J419" s="183"/>
      <c r="K419" s="183"/>
      <c r="L419" s="182"/>
      <c r="N419" s="367">
        <f t="shared" si="19"/>
        <v>0</v>
      </c>
      <c r="O419" s="368">
        <f t="shared" si="20"/>
        <v>0</v>
      </c>
      <c r="P419" s="606"/>
      <c r="Q419" s="606"/>
      <c r="R419" s="606"/>
      <c r="S419" s="606"/>
      <c r="T419" s="606"/>
      <c r="U419" s="606"/>
      <c r="V419" s="606"/>
      <c r="W419" s="606"/>
      <c r="X419" s="606"/>
      <c r="Y419" s="606"/>
      <c r="Z419" s="606"/>
      <c r="AA419" s="606"/>
      <c r="AB419" s="606"/>
      <c r="AC419" s="606"/>
      <c r="AD419" s="606"/>
    </row>
    <row r="420" spans="2:30">
      <c r="B420" s="367">
        <f t="shared" si="18"/>
        <v>-1</v>
      </c>
      <c r="D420" s="182"/>
      <c r="E420" s="182"/>
      <c r="F420" s="184"/>
      <c r="G420" s="182"/>
      <c r="H420" s="182"/>
      <c r="I420" s="182"/>
      <c r="J420" s="183"/>
      <c r="K420" s="183"/>
      <c r="L420" s="182"/>
      <c r="N420" s="367">
        <f t="shared" si="19"/>
        <v>0</v>
      </c>
      <c r="O420" s="368">
        <f t="shared" si="20"/>
        <v>0</v>
      </c>
      <c r="P420" s="606"/>
      <c r="Q420" s="606"/>
      <c r="R420" s="606"/>
      <c r="S420" s="606"/>
      <c r="T420" s="606"/>
      <c r="U420" s="606"/>
      <c r="V420" s="606"/>
      <c r="W420" s="606"/>
      <c r="X420" s="606"/>
      <c r="Y420" s="606"/>
      <c r="Z420" s="606"/>
      <c r="AA420" s="606"/>
      <c r="AB420" s="606"/>
      <c r="AC420" s="606"/>
      <c r="AD420" s="606"/>
    </row>
    <row r="421" spans="2:30">
      <c r="B421" s="367">
        <f t="shared" si="18"/>
        <v>-1</v>
      </c>
      <c r="D421" s="182"/>
      <c r="E421" s="182"/>
      <c r="F421" s="184"/>
      <c r="G421" s="182"/>
      <c r="H421" s="182"/>
      <c r="I421" s="182"/>
      <c r="J421" s="183"/>
      <c r="K421" s="183"/>
      <c r="L421" s="182"/>
      <c r="N421" s="367">
        <f t="shared" si="19"/>
        <v>0</v>
      </c>
      <c r="O421" s="368">
        <f t="shared" si="20"/>
        <v>0</v>
      </c>
      <c r="P421" s="606"/>
      <c r="Q421" s="606"/>
      <c r="R421" s="606"/>
      <c r="S421" s="606"/>
      <c r="T421" s="606"/>
      <c r="U421" s="606"/>
      <c r="V421" s="606"/>
      <c r="W421" s="606"/>
      <c r="X421" s="606"/>
      <c r="Y421" s="606"/>
      <c r="Z421" s="606"/>
      <c r="AA421" s="606"/>
      <c r="AB421" s="606"/>
      <c r="AC421" s="606"/>
      <c r="AD421" s="606"/>
    </row>
    <row r="422" spans="2:30">
      <c r="B422" s="367">
        <f t="shared" si="18"/>
        <v>-1</v>
      </c>
      <c r="D422" s="182"/>
      <c r="E422" s="182"/>
      <c r="F422" s="184"/>
      <c r="G422" s="182"/>
      <c r="H422" s="182"/>
      <c r="I422" s="182"/>
      <c r="J422" s="183"/>
      <c r="K422" s="183"/>
      <c r="L422" s="182"/>
      <c r="N422" s="367">
        <f t="shared" si="19"/>
        <v>0</v>
      </c>
      <c r="O422" s="368">
        <f t="shared" si="20"/>
        <v>0</v>
      </c>
      <c r="P422" s="606"/>
      <c r="Q422" s="606"/>
      <c r="R422" s="606"/>
      <c r="S422" s="606"/>
      <c r="T422" s="606"/>
      <c r="U422" s="606"/>
      <c r="V422" s="606"/>
      <c r="W422" s="606"/>
      <c r="X422" s="606"/>
      <c r="Y422" s="606"/>
      <c r="Z422" s="606"/>
      <c r="AA422" s="606"/>
      <c r="AB422" s="606"/>
      <c r="AC422" s="606"/>
      <c r="AD422" s="606"/>
    </row>
    <row r="423" spans="2:30">
      <c r="B423" s="367">
        <f t="shared" si="18"/>
        <v>-1</v>
      </c>
      <c r="D423" s="182"/>
      <c r="E423" s="182"/>
      <c r="F423" s="184"/>
      <c r="G423" s="182"/>
      <c r="H423" s="182"/>
      <c r="I423" s="182"/>
      <c r="J423" s="183"/>
      <c r="K423" s="183"/>
      <c r="L423" s="182"/>
      <c r="N423" s="367">
        <f t="shared" si="19"/>
        <v>0</v>
      </c>
      <c r="O423" s="368">
        <f t="shared" si="20"/>
        <v>0</v>
      </c>
      <c r="P423" s="606"/>
      <c r="Q423" s="606"/>
      <c r="R423" s="606"/>
      <c r="S423" s="606"/>
      <c r="T423" s="606"/>
      <c r="U423" s="606"/>
      <c r="V423" s="606"/>
      <c r="W423" s="606"/>
      <c r="X423" s="606"/>
      <c r="Y423" s="606"/>
      <c r="Z423" s="606"/>
      <c r="AA423" s="606"/>
      <c r="AB423" s="606"/>
      <c r="AC423" s="606"/>
      <c r="AD423" s="606"/>
    </row>
    <row r="424" spans="2:30">
      <c r="B424" s="367">
        <f t="shared" si="18"/>
        <v>-1</v>
      </c>
      <c r="D424" s="182"/>
      <c r="E424" s="182"/>
      <c r="F424" s="184"/>
      <c r="G424" s="182"/>
      <c r="H424" s="182"/>
      <c r="I424" s="182"/>
      <c r="J424" s="183"/>
      <c r="K424" s="183"/>
      <c r="L424" s="182"/>
      <c r="N424" s="367">
        <f t="shared" si="19"/>
        <v>0</v>
      </c>
      <c r="O424" s="368">
        <f t="shared" si="20"/>
        <v>0</v>
      </c>
      <c r="P424" s="606"/>
      <c r="Q424" s="606"/>
      <c r="R424" s="606"/>
      <c r="S424" s="606"/>
      <c r="T424" s="606"/>
      <c r="U424" s="606"/>
      <c r="V424" s="606"/>
      <c r="W424" s="606"/>
      <c r="X424" s="606"/>
      <c r="Y424" s="606"/>
      <c r="Z424" s="606"/>
      <c r="AA424" s="606"/>
      <c r="AB424" s="606"/>
      <c r="AC424" s="606"/>
      <c r="AD424" s="606"/>
    </row>
    <row r="425" spans="2:30">
      <c r="B425" s="367">
        <f t="shared" si="18"/>
        <v>-1</v>
      </c>
      <c r="D425" s="182"/>
      <c r="E425" s="182"/>
      <c r="F425" s="184"/>
      <c r="G425" s="182"/>
      <c r="H425" s="182"/>
      <c r="I425" s="182"/>
      <c r="J425" s="183"/>
      <c r="K425" s="183"/>
      <c r="L425" s="182"/>
      <c r="N425" s="367">
        <f t="shared" si="19"/>
        <v>0</v>
      </c>
      <c r="O425" s="368">
        <f t="shared" si="20"/>
        <v>0</v>
      </c>
      <c r="P425" s="606"/>
      <c r="Q425" s="606"/>
      <c r="R425" s="606"/>
      <c r="S425" s="606"/>
      <c r="T425" s="606"/>
      <c r="U425" s="606"/>
      <c r="V425" s="606"/>
      <c r="W425" s="606"/>
      <c r="X425" s="606"/>
      <c r="Y425" s="606"/>
      <c r="Z425" s="606"/>
      <c r="AA425" s="606"/>
      <c r="AB425" s="606"/>
      <c r="AC425" s="606"/>
      <c r="AD425" s="606"/>
    </row>
    <row r="426" spans="2:30">
      <c r="B426" s="367">
        <f t="shared" si="18"/>
        <v>-1</v>
      </c>
      <c r="D426" s="182"/>
      <c r="E426" s="182"/>
      <c r="F426" s="184"/>
      <c r="G426" s="182"/>
      <c r="H426" s="182"/>
      <c r="I426" s="182"/>
      <c r="J426" s="183"/>
      <c r="K426" s="183"/>
      <c r="L426" s="182"/>
      <c r="N426" s="367">
        <f t="shared" si="19"/>
        <v>0</v>
      </c>
      <c r="O426" s="368">
        <f t="shared" si="20"/>
        <v>0</v>
      </c>
      <c r="P426" s="606"/>
      <c r="Q426" s="606"/>
      <c r="R426" s="606"/>
      <c r="S426" s="606"/>
      <c r="T426" s="606"/>
      <c r="U426" s="606"/>
      <c r="V426" s="606"/>
      <c r="W426" s="606"/>
      <c r="X426" s="606"/>
      <c r="Y426" s="606"/>
      <c r="Z426" s="606"/>
      <c r="AA426" s="606"/>
      <c r="AB426" s="606"/>
      <c r="AC426" s="606"/>
      <c r="AD426" s="606"/>
    </row>
    <row r="427" spans="2:30">
      <c r="B427" s="367">
        <f t="shared" si="18"/>
        <v>-1</v>
      </c>
      <c r="D427" s="182"/>
      <c r="E427" s="182"/>
      <c r="F427" s="184"/>
      <c r="G427" s="182"/>
      <c r="H427" s="182"/>
      <c r="I427" s="182"/>
      <c r="J427" s="183"/>
      <c r="K427" s="183"/>
      <c r="L427" s="182"/>
      <c r="N427" s="367">
        <f t="shared" si="19"/>
        <v>0</v>
      </c>
      <c r="O427" s="368">
        <f t="shared" si="20"/>
        <v>0</v>
      </c>
      <c r="P427" s="606"/>
      <c r="Q427" s="606"/>
      <c r="R427" s="606"/>
      <c r="S427" s="606"/>
      <c r="T427" s="606"/>
      <c r="U427" s="606"/>
      <c r="V427" s="606"/>
      <c r="W427" s="606"/>
      <c r="X427" s="606"/>
      <c r="Y427" s="606"/>
      <c r="Z427" s="606"/>
      <c r="AA427" s="606"/>
      <c r="AB427" s="606"/>
      <c r="AC427" s="606"/>
      <c r="AD427" s="606"/>
    </row>
    <row r="428" spans="2:30">
      <c r="B428" s="367">
        <f t="shared" si="18"/>
        <v>-1</v>
      </c>
      <c r="D428" s="182"/>
      <c r="E428" s="182"/>
      <c r="F428" s="184"/>
      <c r="G428" s="182"/>
      <c r="H428" s="182"/>
      <c r="I428" s="182"/>
      <c r="J428" s="183"/>
      <c r="K428" s="183"/>
      <c r="L428" s="182"/>
      <c r="N428" s="367">
        <f t="shared" si="19"/>
        <v>0</v>
      </c>
      <c r="O428" s="368">
        <f t="shared" si="20"/>
        <v>0</v>
      </c>
      <c r="P428" s="606"/>
      <c r="Q428" s="606"/>
      <c r="R428" s="606"/>
      <c r="S428" s="606"/>
      <c r="T428" s="606"/>
      <c r="U428" s="606"/>
      <c r="V428" s="606"/>
      <c r="W428" s="606"/>
      <c r="X428" s="606"/>
      <c r="Y428" s="606"/>
      <c r="Z428" s="606"/>
      <c r="AA428" s="606"/>
      <c r="AB428" s="606"/>
      <c r="AC428" s="606"/>
      <c r="AD428" s="606"/>
    </row>
    <row r="429" spans="2:30">
      <c r="B429" s="367">
        <f t="shared" si="18"/>
        <v>-1</v>
      </c>
      <c r="D429" s="182"/>
      <c r="E429" s="182"/>
      <c r="F429" s="184"/>
      <c r="G429" s="182"/>
      <c r="H429" s="182"/>
      <c r="I429" s="182"/>
      <c r="J429" s="183"/>
      <c r="K429" s="183"/>
      <c r="L429" s="182"/>
      <c r="N429" s="367">
        <f t="shared" si="19"/>
        <v>0</v>
      </c>
      <c r="O429" s="368">
        <f t="shared" si="20"/>
        <v>0</v>
      </c>
      <c r="P429" s="606"/>
      <c r="Q429" s="606"/>
      <c r="R429" s="606"/>
      <c r="S429" s="606"/>
      <c r="T429" s="606"/>
      <c r="U429" s="606"/>
      <c r="V429" s="606"/>
      <c r="W429" s="606"/>
      <c r="X429" s="606"/>
      <c r="Y429" s="606"/>
      <c r="Z429" s="606"/>
      <c r="AA429" s="606"/>
      <c r="AB429" s="606"/>
      <c r="AC429" s="606"/>
      <c r="AD429" s="606"/>
    </row>
    <row r="430" spans="2:30">
      <c r="B430" s="367">
        <f t="shared" si="18"/>
        <v>-1</v>
      </c>
      <c r="D430" s="182"/>
      <c r="E430" s="182"/>
      <c r="F430" s="184"/>
      <c r="G430" s="182"/>
      <c r="H430" s="182"/>
      <c r="I430" s="182"/>
      <c r="J430" s="183"/>
      <c r="K430" s="183"/>
      <c r="L430" s="182"/>
      <c r="N430" s="367">
        <f t="shared" si="19"/>
        <v>0</v>
      </c>
      <c r="O430" s="368">
        <f t="shared" si="20"/>
        <v>0</v>
      </c>
      <c r="P430" s="606"/>
      <c r="Q430" s="606"/>
      <c r="R430" s="606"/>
      <c r="S430" s="606"/>
      <c r="T430" s="606"/>
      <c r="U430" s="606"/>
      <c r="V430" s="606"/>
      <c r="W430" s="606"/>
      <c r="X430" s="606"/>
      <c r="Y430" s="606"/>
      <c r="Z430" s="606"/>
      <c r="AA430" s="606"/>
      <c r="AB430" s="606"/>
      <c r="AC430" s="606"/>
      <c r="AD430" s="606"/>
    </row>
    <row r="431" spans="2:30">
      <c r="B431" s="367">
        <f t="shared" si="18"/>
        <v>-1</v>
      </c>
      <c r="D431" s="182"/>
      <c r="E431" s="182"/>
      <c r="F431" s="184"/>
      <c r="G431" s="182"/>
      <c r="H431" s="182"/>
      <c r="I431" s="182"/>
      <c r="J431" s="183"/>
      <c r="K431" s="183"/>
      <c r="L431" s="182"/>
      <c r="N431" s="367">
        <f t="shared" si="19"/>
        <v>0</v>
      </c>
      <c r="O431" s="368">
        <f t="shared" si="20"/>
        <v>0</v>
      </c>
      <c r="P431" s="606"/>
      <c r="Q431" s="606"/>
      <c r="R431" s="606"/>
      <c r="S431" s="606"/>
      <c r="T431" s="606"/>
      <c r="U431" s="606"/>
      <c r="V431" s="606"/>
      <c r="W431" s="606"/>
      <c r="X431" s="606"/>
      <c r="Y431" s="606"/>
      <c r="Z431" s="606"/>
      <c r="AA431" s="606"/>
      <c r="AB431" s="606"/>
      <c r="AC431" s="606"/>
      <c r="AD431" s="606"/>
    </row>
    <row r="432" spans="2:30">
      <c r="B432" s="367">
        <f t="shared" si="18"/>
        <v>-1</v>
      </c>
      <c r="D432" s="182"/>
      <c r="E432" s="182"/>
      <c r="F432" s="184"/>
      <c r="G432" s="182"/>
      <c r="H432" s="182"/>
      <c r="I432" s="182"/>
      <c r="J432" s="183"/>
      <c r="K432" s="183"/>
      <c r="L432" s="182"/>
      <c r="N432" s="367">
        <f t="shared" si="19"/>
        <v>0</v>
      </c>
      <c r="O432" s="368">
        <f t="shared" si="20"/>
        <v>0</v>
      </c>
      <c r="P432" s="606"/>
      <c r="Q432" s="606"/>
      <c r="R432" s="606"/>
      <c r="S432" s="606"/>
      <c r="T432" s="606"/>
      <c r="U432" s="606"/>
      <c r="V432" s="606"/>
      <c r="W432" s="606"/>
      <c r="X432" s="606"/>
      <c r="Y432" s="606"/>
      <c r="Z432" s="606"/>
      <c r="AA432" s="606"/>
      <c r="AB432" s="606"/>
      <c r="AC432" s="606"/>
      <c r="AD432" s="606"/>
    </row>
    <row r="433" spans="2:30">
      <c r="B433" s="367">
        <f t="shared" si="18"/>
        <v>-1</v>
      </c>
      <c r="D433" s="182"/>
      <c r="E433" s="182"/>
      <c r="F433" s="184"/>
      <c r="G433" s="182"/>
      <c r="H433" s="182"/>
      <c r="I433" s="182"/>
      <c r="J433" s="183"/>
      <c r="K433" s="183"/>
      <c r="L433" s="182"/>
      <c r="N433" s="367">
        <f t="shared" si="19"/>
        <v>0</v>
      </c>
      <c r="O433" s="368">
        <f t="shared" si="20"/>
        <v>0</v>
      </c>
      <c r="P433" s="606"/>
      <c r="Q433" s="606"/>
      <c r="R433" s="606"/>
      <c r="S433" s="606"/>
      <c r="T433" s="606"/>
      <c r="U433" s="606"/>
      <c r="V433" s="606"/>
      <c r="W433" s="606"/>
      <c r="X433" s="606"/>
      <c r="Y433" s="606"/>
      <c r="Z433" s="606"/>
      <c r="AA433" s="606"/>
      <c r="AB433" s="606"/>
      <c r="AC433" s="606"/>
      <c r="AD433" s="606"/>
    </row>
    <row r="434" spans="2:30">
      <c r="B434" s="367">
        <f t="shared" si="18"/>
        <v>-1</v>
      </c>
      <c r="D434" s="182"/>
      <c r="E434" s="182"/>
      <c r="F434" s="184"/>
      <c r="G434" s="182"/>
      <c r="H434" s="182"/>
      <c r="I434" s="182"/>
      <c r="J434" s="183"/>
      <c r="K434" s="183"/>
      <c r="L434" s="182"/>
      <c r="N434" s="367">
        <f t="shared" si="19"/>
        <v>0</v>
      </c>
      <c r="O434" s="368">
        <f t="shared" si="20"/>
        <v>0</v>
      </c>
      <c r="P434" s="606"/>
      <c r="Q434" s="606"/>
      <c r="R434" s="606"/>
      <c r="S434" s="606"/>
      <c r="T434" s="606"/>
      <c r="U434" s="606"/>
      <c r="V434" s="606"/>
      <c r="W434" s="606"/>
      <c r="X434" s="606"/>
      <c r="Y434" s="606"/>
      <c r="Z434" s="606"/>
      <c r="AA434" s="606"/>
      <c r="AB434" s="606"/>
      <c r="AC434" s="606"/>
      <c r="AD434" s="606"/>
    </row>
    <row r="435" spans="2:30">
      <c r="B435" s="367">
        <f t="shared" si="18"/>
        <v>-1</v>
      </c>
      <c r="D435" s="182"/>
      <c r="E435" s="182"/>
      <c r="F435" s="184"/>
      <c r="G435" s="182"/>
      <c r="H435" s="182"/>
      <c r="I435" s="182"/>
      <c r="J435" s="183"/>
      <c r="K435" s="183"/>
      <c r="L435" s="182"/>
      <c r="N435" s="367">
        <f t="shared" si="19"/>
        <v>0</v>
      </c>
      <c r="O435" s="368">
        <f t="shared" si="20"/>
        <v>0</v>
      </c>
      <c r="P435" s="606"/>
      <c r="Q435" s="606"/>
      <c r="R435" s="606"/>
      <c r="S435" s="606"/>
      <c r="T435" s="606"/>
      <c r="U435" s="606"/>
      <c r="V435" s="606"/>
      <c r="W435" s="606"/>
      <c r="X435" s="606"/>
      <c r="Y435" s="606"/>
      <c r="Z435" s="606"/>
      <c r="AA435" s="606"/>
      <c r="AB435" s="606"/>
      <c r="AC435" s="606"/>
      <c r="AD435" s="606"/>
    </row>
    <row r="436" spans="2:30">
      <c r="B436" s="367">
        <f t="shared" si="18"/>
        <v>-1</v>
      </c>
      <c r="D436" s="182"/>
      <c r="E436" s="182"/>
      <c r="F436" s="184"/>
      <c r="G436" s="182"/>
      <c r="H436" s="182"/>
      <c r="I436" s="182"/>
      <c r="J436" s="183"/>
      <c r="K436" s="183"/>
      <c r="L436" s="182"/>
      <c r="N436" s="367">
        <f t="shared" si="19"/>
        <v>0</v>
      </c>
      <c r="O436" s="368">
        <f t="shared" si="20"/>
        <v>0</v>
      </c>
      <c r="P436" s="606"/>
      <c r="Q436" s="606"/>
      <c r="R436" s="606"/>
      <c r="S436" s="606"/>
      <c r="T436" s="606"/>
      <c r="U436" s="606"/>
      <c r="V436" s="606"/>
      <c r="W436" s="606"/>
      <c r="X436" s="606"/>
      <c r="Y436" s="606"/>
      <c r="Z436" s="606"/>
      <c r="AA436" s="606"/>
      <c r="AB436" s="606"/>
      <c r="AC436" s="606"/>
      <c r="AD436" s="606"/>
    </row>
    <row r="437" spans="2:30">
      <c r="B437" s="367">
        <f t="shared" si="18"/>
        <v>-1</v>
      </c>
      <c r="D437" s="182"/>
      <c r="E437" s="182"/>
      <c r="F437" s="184"/>
      <c r="G437" s="182"/>
      <c r="H437" s="182"/>
      <c r="I437" s="182"/>
      <c r="J437" s="183"/>
      <c r="K437" s="183"/>
      <c r="L437" s="182"/>
      <c r="N437" s="367">
        <f t="shared" si="19"/>
        <v>0</v>
      </c>
      <c r="O437" s="368">
        <f t="shared" si="20"/>
        <v>0</v>
      </c>
      <c r="P437" s="606"/>
      <c r="Q437" s="606"/>
      <c r="R437" s="606"/>
      <c r="S437" s="606"/>
      <c r="T437" s="606"/>
      <c r="U437" s="606"/>
      <c r="V437" s="606"/>
      <c r="W437" s="606"/>
      <c r="X437" s="606"/>
      <c r="Y437" s="606"/>
      <c r="Z437" s="606"/>
      <c r="AA437" s="606"/>
      <c r="AB437" s="606"/>
      <c r="AC437" s="606"/>
      <c r="AD437" s="606"/>
    </row>
    <row r="438" spans="2:30">
      <c r="B438" s="367">
        <f t="shared" si="18"/>
        <v>-1</v>
      </c>
      <c r="D438" s="182"/>
      <c r="E438" s="182"/>
      <c r="F438" s="184"/>
      <c r="G438" s="182"/>
      <c r="H438" s="182"/>
      <c r="I438" s="182"/>
      <c r="J438" s="183"/>
      <c r="K438" s="183"/>
      <c r="L438" s="182"/>
      <c r="N438" s="367">
        <f t="shared" si="19"/>
        <v>0</v>
      </c>
      <c r="O438" s="368">
        <f t="shared" si="20"/>
        <v>0</v>
      </c>
      <c r="P438" s="606"/>
      <c r="Q438" s="606"/>
      <c r="R438" s="606"/>
      <c r="S438" s="606"/>
      <c r="T438" s="606"/>
      <c r="U438" s="606"/>
      <c r="V438" s="606"/>
      <c r="W438" s="606"/>
      <c r="X438" s="606"/>
      <c r="Y438" s="606"/>
      <c r="Z438" s="606"/>
      <c r="AA438" s="606"/>
      <c r="AB438" s="606"/>
      <c r="AC438" s="606"/>
      <c r="AD438" s="606"/>
    </row>
    <row r="439" spans="2:30">
      <c r="B439" s="367">
        <f t="shared" si="18"/>
        <v>-1</v>
      </c>
      <c r="D439" s="182"/>
      <c r="E439" s="182"/>
      <c r="F439" s="184"/>
      <c r="G439" s="182"/>
      <c r="H439" s="182"/>
      <c r="I439" s="182"/>
      <c r="J439" s="183"/>
      <c r="K439" s="183"/>
      <c r="L439" s="182"/>
      <c r="N439" s="367">
        <f t="shared" si="19"/>
        <v>0</v>
      </c>
      <c r="O439" s="368">
        <f t="shared" si="20"/>
        <v>0</v>
      </c>
      <c r="P439" s="606"/>
      <c r="Q439" s="606"/>
      <c r="R439" s="606"/>
      <c r="S439" s="606"/>
      <c r="T439" s="606"/>
      <c r="U439" s="606"/>
      <c r="V439" s="606"/>
      <c r="W439" s="606"/>
      <c r="X439" s="606"/>
      <c r="Y439" s="606"/>
      <c r="Z439" s="606"/>
      <c r="AA439" s="606"/>
      <c r="AB439" s="606"/>
      <c r="AC439" s="606"/>
      <c r="AD439" s="606"/>
    </row>
    <row r="440" spans="2:30">
      <c r="B440" s="367">
        <f t="shared" si="18"/>
        <v>-1</v>
      </c>
      <c r="D440" s="182"/>
      <c r="E440" s="182"/>
      <c r="F440" s="184"/>
      <c r="G440" s="182"/>
      <c r="H440" s="182"/>
      <c r="I440" s="182"/>
      <c r="J440" s="183"/>
      <c r="K440" s="183"/>
      <c r="L440" s="182"/>
      <c r="N440" s="367">
        <f t="shared" si="19"/>
        <v>0</v>
      </c>
      <c r="O440" s="368">
        <f t="shared" si="20"/>
        <v>0</v>
      </c>
      <c r="P440" s="606"/>
      <c r="Q440" s="606"/>
      <c r="R440" s="606"/>
      <c r="S440" s="606"/>
      <c r="T440" s="606"/>
      <c r="U440" s="606"/>
      <c r="V440" s="606"/>
      <c r="W440" s="606"/>
      <c r="X440" s="606"/>
      <c r="Y440" s="606"/>
      <c r="Z440" s="606"/>
      <c r="AA440" s="606"/>
      <c r="AB440" s="606"/>
      <c r="AC440" s="606"/>
      <c r="AD440" s="606"/>
    </row>
    <row r="441" spans="2:30">
      <c r="B441" s="367">
        <f t="shared" si="18"/>
        <v>-1</v>
      </c>
      <c r="D441" s="182"/>
      <c r="E441" s="182"/>
      <c r="F441" s="184"/>
      <c r="G441" s="182"/>
      <c r="H441" s="182"/>
      <c r="I441" s="182"/>
      <c r="J441" s="183"/>
      <c r="K441" s="183"/>
      <c r="L441" s="182"/>
      <c r="N441" s="367">
        <f t="shared" si="19"/>
        <v>0</v>
      </c>
      <c r="O441" s="368">
        <f t="shared" si="20"/>
        <v>0</v>
      </c>
      <c r="P441" s="606"/>
      <c r="Q441" s="606"/>
      <c r="R441" s="606"/>
      <c r="S441" s="606"/>
      <c r="T441" s="606"/>
      <c r="U441" s="606"/>
      <c r="V441" s="606"/>
      <c r="W441" s="606"/>
      <c r="X441" s="606"/>
      <c r="Y441" s="606"/>
      <c r="Z441" s="606"/>
      <c r="AA441" s="606"/>
      <c r="AB441" s="606"/>
      <c r="AC441" s="606"/>
      <c r="AD441" s="606"/>
    </row>
    <row r="442" spans="2:30">
      <c r="B442" s="367">
        <f t="shared" si="18"/>
        <v>-1</v>
      </c>
      <c r="D442" s="182"/>
      <c r="E442" s="182"/>
      <c r="F442" s="184"/>
      <c r="G442" s="182"/>
      <c r="H442" s="182"/>
      <c r="I442" s="182"/>
      <c r="J442" s="183"/>
      <c r="K442" s="183"/>
      <c r="L442" s="182"/>
      <c r="N442" s="367">
        <f t="shared" si="19"/>
        <v>0</v>
      </c>
      <c r="O442" s="368">
        <f t="shared" si="20"/>
        <v>0</v>
      </c>
      <c r="P442" s="606"/>
      <c r="Q442" s="606"/>
      <c r="R442" s="606"/>
      <c r="S442" s="606"/>
      <c r="T442" s="606"/>
      <c r="U442" s="606"/>
      <c r="V442" s="606"/>
      <c r="W442" s="606"/>
      <c r="X442" s="606"/>
      <c r="Y442" s="606"/>
      <c r="Z442" s="606"/>
      <c r="AA442" s="606"/>
      <c r="AB442" s="606"/>
      <c r="AC442" s="606"/>
      <c r="AD442" s="606"/>
    </row>
    <row r="443" spans="2:30">
      <c r="B443" s="367">
        <f t="shared" si="18"/>
        <v>-1</v>
      </c>
      <c r="D443" s="182"/>
      <c r="E443" s="182"/>
      <c r="F443" s="184"/>
      <c r="G443" s="182"/>
      <c r="H443" s="182"/>
      <c r="I443" s="182"/>
      <c r="J443" s="183"/>
      <c r="K443" s="183"/>
      <c r="L443" s="182"/>
      <c r="N443" s="367">
        <f t="shared" si="19"/>
        <v>0</v>
      </c>
      <c r="O443" s="368">
        <f t="shared" si="20"/>
        <v>0</v>
      </c>
      <c r="P443" s="606"/>
      <c r="Q443" s="606"/>
      <c r="R443" s="606"/>
      <c r="S443" s="606"/>
      <c r="T443" s="606"/>
      <c r="U443" s="606"/>
      <c r="V443" s="606"/>
      <c r="W443" s="606"/>
      <c r="X443" s="606"/>
      <c r="Y443" s="606"/>
      <c r="Z443" s="606"/>
      <c r="AA443" s="606"/>
      <c r="AB443" s="606"/>
      <c r="AC443" s="606"/>
      <c r="AD443" s="606"/>
    </row>
    <row r="444" spans="2:30">
      <c r="B444" s="367">
        <f t="shared" si="18"/>
        <v>-1</v>
      </c>
      <c r="D444" s="182"/>
      <c r="E444" s="182"/>
      <c r="F444" s="184"/>
      <c r="G444" s="182"/>
      <c r="H444" s="182"/>
      <c r="I444" s="182"/>
      <c r="J444" s="183"/>
      <c r="K444" s="183"/>
      <c r="L444" s="182"/>
      <c r="N444" s="367">
        <f t="shared" si="19"/>
        <v>0</v>
      </c>
      <c r="O444" s="368">
        <f t="shared" si="20"/>
        <v>0</v>
      </c>
      <c r="P444" s="606"/>
      <c r="Q444" s="606"/>
      <c r="R444" s="606"/>
      <c r="S444" s="606"/>
      <c r="T444" s="606"/>
      <c r="U444" s="606"/>
      <c r="V444" s="606"/>
      <c r="W444" s="606"/>
      <c r="X444" s="606"/>
      <c r="Y444" s="606"/>
      <c r="Z444" s="606"/>
      <c r="AA444" s="606"/>
      <c r="AB444" s="606"/>
      <c r="AC444" s="606"/>
      <c r="AD444" s="606"/>
    </row>
    <row r="445" spans="2:30">
      <c r="B445" s="367">
        <f t="shared" si="18"/>
        <v>-1</v>
      </c>
      <c r="D445" s="182"/>
      <c r="E445" s="182"/>
      <c r="F445" s="184"/>
      <c r="G445" s="182"/>
      <c r="H445" s="182"/>
      <c r="I445" s="182"/>
      <c r="J445" s="183"/>
      <c r="K445" s="183"/>
      <c r="L445" s="182"/>
      <c r="N445" s="367">
        <f t="shared" si="19"/>
        <v>0</v>
      </c>
      <c r="O445" s="368">
        <f t="shared" si="20"/>
        <v>0</v>
      </c>
      <c r="P445" s="606"/>
      <c r="Q445" s="606"/>
      <c r="R445" s="606"/>
      <c r="S445" s="606"/>
      <c r="T445" s="606"/>
      <c r="U445" s="606"/>
      <c r="V445" s="606"/>
      <c r="W445" s="606"/>
      <c r="X445" s="606"/>
      <c r="Y445" s="606"/>
      <c r="Z445" s="606"/>
      <c r="AA445" s="606"/>
      <c r="AB445" s="606"/>
      <c r="AC445" s="606"/>
      <c r="AD445" s="606"/>
    </row>
    <row r="446" spans="2:30">
      <c r="B446" s="367">
        <f t="shared" si="18"/>
        <v>-1</v>
      </c>
      <c r="D446" s="182"/>
      <c r="E446" s="182"/>
      <c r="F446" s="184"/>
      <c r="G446" s="182"/>
      <c r="H446" s="182"/>
      <c r="I446" s="182"/>
      <c r="J446" s="183"/>
      <c r="K446" s="183"/>
      <c r="L446" s="182"/>
      <c r="N446" s="367">
        <f t="shared" si="19"/>
        <v>0</v>
      </c>
      <c r="O446" s="368">
        <f t="shared" si="20"/>
        <v>0</v>
      </c>
      <c r="P446" s="606"/>
      <c r="Q446" s="606"/>
      <c r="R446" s="606"/>
      <c r="S446" s="606"/>
      <c r="T446" s="606"/>
      <c r="U446" s="606"/>
      <c r="V446" s="606"/>
      <c r="W446" s="606"/>
      <c r="X446" s="606"/>
      <c r="Y446" s="606"/>
      <c r="Z446" s="606"/>
      <c r="AA446" s="606"/>
      <c r="AB446" s="606"/>
      <c r="AC446" s="606"/>
      <c r="AD446" s="606"/>
    </row>
    <row r="447" spans="2:30">
      <c r="B447" s="367">
        <f t="shared" si="18"/>
        <v>-1</v>
      </c>
      <c r="D447" s="182"/>
      <c r="E447" s="182"/>
      <c r="F447" s="184"/>
      <c r="G447" s="182"/>
      <c r="H447" s="182"/>
      <c r="I447" s="182"/>
      <c r="J447" s="183"/>
      <c r="K447" s="183"/>
      <c r="L447" s="182"/>
      <c r="N447" s="367">
        <f t="shared" si="19"/>
        <v>0</v>
      </c>
      <c r="O447" s="368">
        <f t="shared" si="20"/>
        <v>0</v>
      </c>
      <c r="P447" s="606"/>
      <c r="Q447" s="606"/>
      <c r="R447" s="606"/>
      <c r="S447" s="606"/>
      <c r="T447" s="606"/>
      <c r="U447" s="606"/>
      <c r="V447" s="606"/>
      <c r="W447" s="606"/>
      <c r="X447" s="606"/>
      <c r="Y447" s="606"/>
      <c r="Z447" s="606"/>
      <c r="AA447" s="606"/>
      <c r="AB447" s="606"/>
      <c r="AC447" s="606"/>
      <c r="AD447" s="606"/>
    </row>
    <row r="448" spans="2:30">
      <c r="B448" s="367">
        <f t="shared" si="18"/>
        <v>-1</v>
      </c>
      <c r="D448" s="182"/>
      <c r="E448" s="182"/>
      <c r="F448" s="184"/>
      <c r="G448" s="182"/>
      <c r="H448" s="182"/>
      <c r="I448" s="182"/>
      <c r="J448" s="183"/>
      <c r="K448" s="183"/>
      <c r="L448" s="182"/>
      <c r="N448" s="367">
        <f t="shared" si="19"/>
        <v>0</v>
      </c>
      <c r="O448" s="368">
        <f t="shared" si="20"/>
        <v>0</v>
      </c>
      <c r="P448" s="606"/>
      <c r="Q448" s="606"/>
      <c r="R448" s="606"/>
      <c r="S448" s="606"/>
      <c r="T448" s="606"/>
      <c r="U448" s="606"/>
      <c r="V448" s="606"/>
      <c r="W448" s="606"/>
      <c r="X448" s="606"/>
      <c r="Y448" s="606"/>
      <c r="Z448" s="606"/>
      <c r="AA448" s="606"/>
      <c r="AB448" s="606"/>
      <c r="AC448" s="606"/>
      <c r="AD448" s="606"/>
    </row>
    <row r="449" spans="2:30">
      <c r="B449" s="367">
        <f t="shared" si="18"/>
        <v>-1</v>
      </c>
      <c r="D449" s="182"/>
      <c r="E449" s="182"/>
      <c r="F449" s="184"/>
      <c r="G449" s="182"/>
      <c r="H449" s="182"/>
      <c r="I449" s="182"/>
      <c r="J449" s="183"/>
      <c r="K449" s="183"/>
      <c r="L449" s="182"/>
      <c r="N449" s="367">
        <f t="shared" si="19"/>
        <v>0</v>
      </c>
      <c r="O449" s="368">
        <f t="shared" si="20"/>
        <v>0</v>
      </c>
      <c r="P449" s="606"/>
      <c r="Q449" s="606"/>
      <c r="R449" s="606"/>
      <c r="S449" s="606"/>
      <c r="T449" s="606"/>
      <c r="U449" s="606"/>
      <c r="V449" s="606"/>
      <c r="W449" s="606"/>
      <c r="X449" s="606"/>
      <c r="Y449" s="606"/>
      <c r="Z449" s="606"/>
      <c r="AA449" s="606"/>
      <c r="AB449" s="606"/>
      <c r="AC449" s="606"/>
      <c r="AD449" s="606"/>
    </row>
    <row r="450" spans="2:30">
      <c r="B450" s="367">
        <f t="shared" si="18"/>
        <v>-1</v>
      </c>
      <c r="D450" s="182"/>
      <c r="E450" s="182"/>
      <c r="F450" s="184"/>
      <c r="G450" s="182"/>
      <c r="H450" s="182"/>
      <c r="I450" s="182"/>
      <c r="J450" s="183"/>
      <c r="K450" s="183"/>
      <c r="L450" s="182"/>
      <c r="N450" s="367">
        <f t="shared" si="19"/>
        <v>0</v>
      </c>
      <c r="O450" s="368">
        <f t="shared" si="20"/>
        <v>0</v>
      </c>
      <c r="P450" s="606"/>
      <c r="Q450" s="606"/>
      <c r="R450" s="606"/>
      <c r="S450" s="606"/>
      <c r="T450" s="606"/>
      <c r="U450" s="606"/>
      <c r="V450" s="606"/>
      <c r="W450" s="606"/>
      <c r="X450" s="606"/>
      <c r="Y450" s="606"/>
      <c r="Z450" s="606"/>
      <c r="AA450" s="606"/>
      <c r="AB450" s="606"/>
      <c r="AC450" s="606"/>
      <c r="AD450" s="606"/>
    </row>
    <row r="451" spans="2:30">
      <c r="B451" s="367">
        <f t="shared" si="18"/>
        <v>-1</v>
      </c>
      <c r="D451" s="182"/>
      <c r="E451" s="182"/>
      <c r="F451" s="184"/>
      <c r="G451" s="182"/>
      <c r="H451" s="182"/>
      <c r="I451" s="182"/>
      <c r="J451" s="183"/>
      <c r="K451" s="183"/>
      <c r="L451" s="182"/>
      <c r="N451" s="367">
        <f t="shared" si="19"/>
        <v>0</v>
      </c>
      <c r="O451" s="368">
        <f t="shared" si="20"/>
        <v>0</v>
      </c>
      <c r="P451" s="606"/>
      <c r="Q451" s="606"/>
      <c r="R451" s="606"/>
      <c r="S451" s="606"/>
      <c r="T451" s="606"/>
      <c r="U451" s="606"/>
      <c r="V451" s="606"/>
      <c r="W451" s="606"/>
      <c r="X451" s="606"/>
      <c r="Y451" s="606"/>
      <c r="Z451" s="606"/>
      <c r="AA451" s="606"/>
      <c r="AB451" s="606"/>
      <c r="AC451" s="606"/>
      <c r="AD451" s="606"/>
    </row>
    <row r="452" spans="2:30">
      <c r="B452" s="367">
        <f t="shared" si="18"/>
        <v>-1</v>
      </c>
      <c r="D452" s="182"/>
      <c r="E452" s="182"/>
      <c r="F452" s="184"/>
      <c r="G452" s="182"/>
      <c r="H452" s="182"/>
      <c r="I452" s="182"/>
      <c r="J452" s="183"/>
      <c r="K452" s="183"/>
      <c r="L452" s="182"/>
      <c r="N452" s="367">
        <f t="shared" si="19"/>
        <v>0</v>
      </c>
      <c r="O452" s="368">
        <f t="shared" si="20"/>
        <v>0</v>
      </c>
      <c r="P452" s="606"/>
      <c r="Q452" s="606"/>
      <c r="R452" s="606"/>
      <c r="S452" s="606"/>
      <c r="T452" s="606"/>
      <c r="U452" s="606"/>
      <c r="V452" s="606"/>
      <c r="W452" s="606"/>
      <c r="X452" s="606"/>
      <c r="Y452" s="606"/>
      <c r="Z452" s="606"/>
      <c r="AA452" s="606"/>
      <c r="AB452" s="606"/>
      <c r="AC452" s="606"/>
      <c r="AD452" s="606"/>
    </row>
    <row r="453" spans="2:30">
      <c r="B453" s="367">
        <f t="shared" si="18"/>
        <v>-1</v>
      </c>
      <c r="D453" s="182"/>
      <c r="E453" s="182"/>
      <c r="F453" s="184"/>
      <c r="G453" s="182"/>
      <c r="H453" s="182"/>
      <c r="I453" s="182"/>
      <c r="J453" s="183"/>
      <c r="K453" s="183"/>
      <c r="L453" s="182"/>
      <c r="N453" s="367">
        <f t="shared" si="19"/>
        <v>0</v>
      </c>
      <c r="O453" s="368">
        <f t="shared" si="20"/>
        <v>0</v>
      </c>
      <c r="P453" s="606"/>
      <c r="Q453" s="606"/>
      <c r="R453" s="606"/>
      <c r="S453" s="606"/>
      <c r="T453" s="606"/>
      <c r="U453" s="606"/>
      <c r="V453" s="606"/>
      <c r="W453" s="606"/>
      <c r="X453" s="606"/>
      <c r="Y453" s="606"/>
      <c r="Z453" s="606"/>
      <c r="AA453" s="606"/>
      <c r="AB453" s="606"/>
      <c r="AC453" s="606"/>
      <c r="AD453" s="606"/>
    </row>
    <row r="454" spans="2:30">
      <c r="B454" s="367">
        <f t="shared" si="18"/>
        <v>-1</v>
      </c>
      <c r="D454" s="182"/>
      <c r="E454" s="182"/>
      <c r="F454" s="184"/>
      <c r="G454" s="182"/>
      <c r="H454" s="182"/>
      <c r="I454" s="182"/>
      <c r="J454" s="183"/>
      <c r="K454" s="183"/>
      <c r="L454" s="182"/>
      <c r="N454" s="367">
        <f t="shared" si="19"/>
        <v>0</v>
      </c>
      <c r="O454" s="368">
        <f t="shared" si="20"/>
        <v>0</v>
      </c>
      <c r="P454" s="606"/>
      <c r="Q454" s="606"/>
      <c r="R454" s="606"/>
      <c r="S454" s="606"/>
      <c r="T454" s="606"/>
      <c r="U454" s="606"/>
      <c r="V454" s="606"/>
      <c r="W454" s="606"/>
      <c r="X454" s="606"/>
      <c r="Y454" s="606"/>
      <c r="Z454" s="606"/>
      <c r="AA454" s="606"/>
      <c r="AB454" s="606"/>
      <c r="AC454" s="606"/>
      <c r="AD454" s="606"/>
    </row>
    <row r="455" spans="2:30">
      <c r="B455" s="367">
        <f t="shared" si="18"/>
        <v>-1</v>
      </c>
      <c r="D455" s="182"/>
      <c r="E455" s="182"/>
      <c r="F455" s="184"/>
      <c r="G455" s="182"/>
      <c r="H455" s="182"/>
      <c r="I455" s="182"/>
      <c r="J455" s="183"/>
      <c r="K455" s="183"/>
      <c r="L455" s="182"/>
      <c r="N455" s="367">
        <f t="shared" si="19"/>
        <v>0</v>
      </c>
      <c r="O455" s="368">
        <f t="shared" si="20"/>
        <v>0</v>
      </c>
      <c r="P455" s="606"/>
      <c r="Q455" s="606"/>
      <c r="R455" s="606"/>
      <c r="S455" s="606"/>
      <c r="T455" s="606"/>
      <c r="U455" s="606"/>
      <c r="V455" s="606"/>
      <c r="W455" s="606"/>
      <c r="X455" s="606"/>
      <c r="Y455" s="606"/>
      <c r="Z455" s="606"/>
      <c r="AA455" s="606"/>
      <c r="AB455" s="606"/>
      <c r="AC455" s="606"/>
      <c r="AD455" s="606"/>
    </row>
    <row r="456" spans="2:30">
      <c r="B456" s="367">
        <f t="shared" si="18"/>
        <v>-1</v>
      </c>
      <c r="D456" s="182"/>
      <c r="E456" s="182"/>
      <c r="F456" s="184"/>
      <c r="G456" s="182"/>
      <c r="H456" s="182"/>
      <c r="I456" s="182"/>
      <c r="J456" s="183"/>
      <c r="K456" s="183"/>
      <c r="L456" s="182"/>
      <c r="N456" s="367">
        <f t="shared" si="19"/>
        <v>0</v>
      </c>
      <c r="O456" s="368">
        <f t="shared" si="20"/>
        <v>0</v>
      </c>
      <c r="P456" s="606"/>
      <c r="Q456" s="606"/>
      <c r="R456" s="606"/>
      <c r="S456" s="606"/>
      <c r="T456" s="606"/>
      <c r="U456" s="606"/>
      <c r="V456" s="606"/>
      <c r="W456" s="606"/>
      <c r="X456" s="606"/>
      <c r="Y456" s="606"/>
      <c r="Z456" s="606"/>
      <c r="AA456" s="606"/>
      <c r="AB456" s="606"/>
      <c r="AC456" s="606"/>
      <c r="AD456" s="606"/>
    </row>
    <row r="457" spans="2:30">
      <c r="B457" s="367">
        <f t="shared" si="18"/>
        <v>-1</v>
      </c>
      <c r="D457" s="182"/>
      <c r="E457" s="182"/>
      <c r="F457" s="184"/>
      <c r="G457" s="182"/>
      <c r="H457" s="182"/>
      <c r="I457" s="182"/>
      <c r="J457" s="183"/>
      <c r="K457" s="183"/>
      <c r="L457" s="182"/>
      <c r="N457" s="367">
        <f t="shared" si="19"/>
        <v>0</v>
      </c>
      <c r="O457" s="368">
        <f t="shared" si="20"/>
        <v>0</v>
      </c>
      <c r="P457" s="606"/>
      <c r="Q457" s="606"/>
      <c r="R457" s="606"/>
      <c r="S457" s="606"/>
      <c r="T457" s="606"/>
      <c r="U457" s="606"/>
      <c r="V457" s="606"/>
      <c r="W457" s="606"/>
      <c r="X457" s="606"/>
      <c r="Y457" s="606"/>
      <c r="Z457" s="606"/>
      <c r="AA457" s="606"/>
      <c r="AB457" s="606"/>
      <c r="AC457" s="606"/>
      <c r="AD457" s="606"/>
    </row>
    <row r="458" spans="2:30">
      <c r="B458" s="367">
        <f t="shared" ref="B458:B521" si="21">IF(G458="buy",1,-1)</f>
        <v>-1</v>
      </c>
      <c r="D458" s="182"/>
      <c r="E458" s="182"/>
      <c r="F458" s="184"/>
      <c r="G458" s="182"/>
      <c r="H458" s="182"/>
      <c r="I458" s="182"/>
      <c r="J458" s="183"/>
      <c r="K458" s="183"/>
      <c r="L458" s="182"/>
      <c r="N458" s="367">
        <f t="shared" ref="N458:N521" si="22">+H458*((K458-J458)+1)*B458</f>
        <v>0</v>
      </c>
      <c r="O458" s="368">
        <f t="shared" ref="O458:O521" si="23">N458*L458/100</f>
        <v>0</v>
      </c>
      <c r="P458" s="606"/>
      <c r="Q458" s="606"/>
      <c r="R458" s="606"/>
      <c r="S458" s="606"/>
      <c r="T458" s="606"/>
      <c r="U458" s="606"/>
      <c r="V458" s="606"/>
      <c r="W458" s="606"/>
      <c r="X458" s="606"/>
      <c r="Y458" s="606"/>
      <c r="Z458" s="606"/>
      <c r="AA458" s="606"/>
      <c r="AB458" s="606"/>
      <c r="AC458" s="606"/>
      <c r="AD458" s="606"/>
    </row>
    <row r="459" spans="2:30">
      <c r="B459" s="367">
        <f t="shared" si="21"/>
        <v>-1</v>
      </c>
      <c r="D459" s="182"/>
      <c r="E459" s="182"/>
      <c r="F459" s="184"/>
      <c r="G459" s="182"/>
      <c r="H459" s="182"/>
      <c r="I459" s="182"/>
      <c r="J459" s="183"/>
      <c r="K459" s="183"/>
      <c r="L459" s="182"/>
      <c r="N459" s="367">
        <f t="shared" si="22"/>
        <v>0</v>
      </c>
      <c r="O459" s="368">
        <f t="shared" si="23"/>
        <v>0</v>
      </c>
      <c r="P459" s="606"/>
      <c r="Q459" s="606"/>
      <c r="R459" s="606"/>
      <c r="S459" s="606"/>
      <c r="T459" s="606"/>
      <c r="U459" s="606"/>
      <c r="V459" s="606"/>
      <c r="W459" s="606"/>
      <c r="X459" s="606"/>
      <c r="Y459" s="606"/>
      <c r="Z459" s="606"/>
      <c r="AA459" s="606"/>
      <c r="AB459" s="606"/>
      <c r="AC459" s="606"/>
      <c r="AD459" s="606"/>
    </row>
    <row r="460" spans="2:30">
      <c r="B460" s="367">
        <f t="shared" si="21"/>
        <v>-1</v>
      </c>
      <c r="D460" s="182"/>
      <c r="E460" s="182"/>
      <c r="F460" s="184"/>
      <c r="G460" s="182"/>
      <c r="H460" s="182"/>
      <c r="I460" s="182"/>
      <c r="J460" s="183"/>
      <c r="K460" s="183"/>
      <c r="L460" s="182"/>
      <c r="N460" s="367">
        <f t="shared" si="22"/>
        <v>0</v>
      </c>
      <c r="O460" s="368">
        <f t="shared" si="23"/>
        <v>0</v>
      </c>
      <c r="P460" s="606"/>
      <c r="Q460" s="606"/>
      <c r="R460" s="606"/>
      <c r="S460" s="606"/>
      <c r="T460" s="606"/>
      <c r="U460" s="606"/>
      <c r="V460" s="606"/>
      <c r="W460" s="606"/>
      <c r="X460" s="606"/>
      <c r="Y460" s="606"/>
      <c r="Z460" s="606"/>
      <c r="AA460" s="606"/>
      <c r="AB460" s="606"/>
      <c r="AC460" s="606"/>
      <c r="AD460" s="606"/>
    </row>
    <row r="461" spans="2:30">
      <c r="B461" s="367">
        <f t="shared" si="21"/>
        <v>-1</v>
      </c>
      <c r="D461" s="182"/>
      <c r="E461" s="182"/>
      <c r="F461" s="184"/>
      <c r="G461" s="182"/>
      <c r="H461" s="182"/>
      <c r="I461" s="182"/>
      <c r="J461" s="183"/>
      <c r="K461" s="183"/>
      <c r="L461" s="182"/>
      <c r="N461" s="367">
        <f t="shared" si="22"/>
        <v>0</v>
      </c>
      <c r="O461" s="368">
        <f t="shared" si="23"/>
        <v>0</v>
      </c>
      <c r="P461" s="606"/>
      <c r="Q461" s="606"/>
      <c r="R461" s="606"/>
      <c r="S461" s="606"/>
      <c r="T461" s="606"/>
      <c r="U461" s="606"/>
      <c r="V461" s="606"/>
      <c r="W461" s="606"/>
      <c r="X461" s="606"/>
      <c r="Y461" s="606"/>
      <c r="Z461" s="606"/>
      <c r="AA461" s="606"/>
      <c r="AB461" s="606"/>
      <c r="AC461" s="606"/>
      <c r="AD461" s="606"/>
    </row>
    <row r="462" spans="2:30">
      <c r="B462" s="367">
        <f t="shared" si="21"/>
        <v>-1</v>
      </c>
      <c r="D462" s="182"/>
      <c r="E462" s="182"/>
      <c r="F462" s="184"/>
      <c r="G462" s="182"/>
      <c r="H462" s="182"/>
      <c r="I462" s="182"/>
      <c r="J462" s="183"/>
      <c r="K462" s="183"/>
      <c r="L462" s="182"/>
      <c r="N462" s="367">
        <f t="shared" si="22"/>
        <v>0</v>
      </c>
      <c r="O462" s="368">
        <f t="shared" si="23"/>
        <v>0</v>
      </c>
      <c r="P462" s="606"/>
      <c r="Q462" s="606"/>
      <c r="R462" s="606"/>
      <c r="S462" s="606"/>
      <c r="T462" s="606"/>
      <c r="U462" s="606"/>
      <c r="V462" s="606"/>
      <c r="W462" s="606"/>
      <c r="X462" s="606"/>
      <c r="Y462" s="606"/>
      <c r="Z462" s="606"/>
      <c r="AA462" s="606"/>
      <c r="AB462" s="606"/>
      <c r="AC462" s="606"/>
      <c r="AD462" s="606"/>
    </row>
    <row r="463" spans="2:30">
      <c r="B463" s="367">
        <f t="shared" si="21"/>
        <v>-1</v>
      </c>
      <c r="D463" s="182"/>
      <c r="E463" s="182"/>
      <c r="F463" s="184"/>
      <c r="G463" s="182"/>
      <c r="H463" s="182"/>
      <c r="I463" s="182"/>
      <c r="J463" s="183"/>
      <c r="K463" s="183"/>
      <c r="L463" s="182"/>
      <c r="N463" s="367">
        <f t="shared" si="22"/>
        <v>0</v>
      </c>
      <c r="O463" s="368">
        <f t="shared" si="23"/>
        <v>0</v>
      </c>
      <c r="P463" s="606"/>
      <c r="Q463" s="606"/>
      <c r="R463" s="606"/>
      <c r="S463" s="606"/>
      <c r="T463" s="606"/>
      <c r="U463" s="606"/>
      <c r="V463" s="606"/>
      <c r="W463" s="606"/>
      <c r="X463" s="606"/>
      <c r="Y463" s="606"/>
      <c r="Z463" s="606"/>
      <c r="AA463" s="606"/>
      <c r="AB463" s="606"/>
      <c r="AC463" s="606"/>
      <c r="AD463" s="606"/>
    </row>
    <row r="464" spans="2:30">
      <c r="B464" s="367">
        <f t="shared" si="21"/>
        <v>-1</v>
      </c>
      <c r="D464" s="182"/>
      <c r="E464" s="182"/>
      <c r="F464" s="184"/>
      <c r="G464" s="182"/>
      <c r="H464" s="182"/>
      <c r="I464" s="182"/>
      <c r="J464" s="183"/>
      <c r="K464" s="183"/>
      <c r="L464" s="182"/>
      <c r="N464" s="367">
        <f t="shared" si="22"/>
        <v>0</v>
      </c>
      <c r="O464" s="368">
        <f t="shared" si="23"/>
        <v>0</v>
      </c>
      <c r="P464" s="606"/>
      <c r="Q464" s="606"/>
      <c r="R464" s="606"/>
      <c r="S464" s="606"/>
      <c r="T464" s="606"/>
      <c r="U464" s="606"/>
      <c r="V464" s="606"/>
      <c r="W464" s="606"/>
      <c r="X464" s="606"/>
      <c r="Y464" s="606"/>
      <c r="Z464" s="606"/>
      <c r="AA464" s="606"/>
      <c r="AB464" s="606"/>
      <c r="AC464" s="606"/>
      <c r="AD464" s="606"/>
    </row>
    <row r="465" spans="2:30">
      <c r="B465" s="367">
        <f t="shared" si="21"/>
        <v>-1</v>
      </c>
      <c r="D465" s="182"/>
      <c r="E465" s="182"/>
      <c r="F465" s="184"/>
      <c r="G465" s="182"/>
      <c r="H465" s="182"/>
      <c r="I465" s="182"/>
      <c r="J465" s="183"/>
      <c r="K465" s="183"/>
      <c r="L465" s="182"/>
      <c r="N465" s="367">
        <f t="shared" si="22"/>
        <v>0</v>
      </c>
      <c r="O465" s="368">
        <f t="shared" si="23"/>
        <v>0</v>
      </c>
      <c r="P465" s="606"/>
      <c r="Q465" s="606"/>
      <c r="R465" s="606"/>
      <c r="S465" s="606"/>
      <c r="T465" s="606"/>
      <c r="U465" s="606"/>
      <c r="V465" s="606"/>
      <c r="W465" s="606"/>
      <c r="X465" s="606"/>
      <c r="Y465" s="606"/>
      <c r="Z465" s="606"/>
      <c r="AA465" s="606"/>
      <c r="AB465" s="606"/>
      <c r="AC465" s="606"/>
      <c r="AD465" s="606"/>
    </row>
    <row r="466" spans="2:30">
      <c r="B466" s="367">
        <f t="shared" si="21"/>
        <v>-1</v>
      </c>
      <c r="D466" s="182"/>
      <c r="E466" s="182"/>
      <c r="F466" s="184"/>
      <c r="G466" s="182"/>
      <c r="H466" s="182"/>
      <c r="I466" s="182"/>
      <c r="J466" s="183"/>
      <c r="K466" s="183"/>
      <c r="L466" s="182"/>
      <c r="N466" s="367">
        <f t="shared" si="22"/>
        <v>0</v>
      </c>
      <c r="O466" s="368">
        <f t="shared" si="23"/>
        <v>0</v>
      </c>
      <c r="P466" s="606"/>
      <c r="Q466" s="606"/>
      <c r="R466" s="606"/>
      <c r="S466" s="606"/>
      <c r="T466" s="606"/>
      <c r="U466" s="606"/>
      <c r="V466" s="606"/>
      <c r="W466" s="606"/>
      <c r="X466" s="606"/>
      <c r="Y466" s="606"/>
      <c r="Z466" s="606"/>
      <c r="AA466" s="606"/>
      <c r="AB466" s="606"/>
      <c r="AC466" s="606"/>
      <c r="AD466" s="606"/>
    </row>
    <row r="467" spans="2:30">
      <c r="B467" s="367">
        <f t="shared" si="21"/>
        <v>-1</v>
      </c>
      <c r="D467" s="182"/>
      <c r="E467" s="182"/>
      <c r="F467" s="184"/>
      <c r="G467" s="182"/>
      <c r="H467" s="182"/>
      <c r="I467" s="182"/>
      <c r="J467" s="183"/>
      <c r="K467" s="183"/>
      <c r="L467" s="182"/>
      <c r="N467" s="367">
        <f t="shared" si="22"/>
        <v>0</v>
      </c>
      <c r="O467" s="368">
        <f t="shared" si="23"/>
        <v>0</v>
      </c>
      <c r="P467" s="606"/>
      <c r="Q467" s="606"/>
      <c r="R467" s="606"/>
      <c r="S467" s="606"/>
      <c r="T467" s="606"/>
      <c r="U467" s="606"/>
      <c r="V467" s="606"/>
      <c r="W467" s="606"/>
      <c r="X467" s="606"/>
      <c r="Y467" s="606"/>
      <c r="Z467" s="606"/>
      <c r="AA467" s="606"/>
      <c r="AB467" s="606"/>
      <c r="AC467" s="606"/>
      <c r="AD467" s="606"/>
    </row>
    <row r="468" spans="2:30">
      <c r="B468" s="367">
        <f t="shared" si="21"/>
        <v>-1</v>
      </c>
      <c r="D468" s="182"/>
      <c r="E468" s="182"/>
      <c r="F468" s="184"/>
      <c r="G468" s="182"/>
      <c r="H468" s="182"/>
      <c r="I468" s="182"/>
      <c r="J468" s="183"/>
      <c r="K468" s="183"/>
      <c r="L468" s="182"/>
      <c r="N468" s="367">
        <f t="shared" si="22"/>
        <v>0</v>
      </c>
      <c r="O468" s="368">
        <f t="shared" si="23"/>
        <v>0</v>
      </c>
      <c r="P468" s="606"/>
      <c r="Q468" s="606"/>
      <c r="R468" s="606"/>
      <c r="S468" s="606"/>
      <c r="T468" s="606"/>
      <c r="U468" s="606"/>
      <c r="V468" s="606"/>
      <c r="W468" s="606"/>
      <c r="X468" s="606"/>
      <c r="Y468" s="606"/>
      <c r="Z468" s="606"/>
      <c r="AA468" s="606"/>
      <c r="AB468" s="606"/>
      <c r="AC468" s="606"/>
      <c r="AD468" s="606"/>
    </row>
    <row r="469" spans="2:30">
      <c r="B469" s="367">
        <f t="shared" si="21"/>
        <v>-1</v>
      </c>
      <c r="D469" s="182"/>
      <c r="E469" s="182"/>
      <c r="F469" s="184"/>
      <c r="G469" s="182"/>
      <c r="H469" s="182"/>
      <c r="I469" s="182"/>
      <c r="J469" s="183"/>
      <c r="K469" s="183"/>
      <c r="L469" s="182"/>
      <c r="N469" s="367">
        <f t="shared" si="22"/>
        <v>0</v>
      </c>
      <c r="O469" s="368">
        <f t="shared" si="23"/>
        <v>0</v>
      </c>
      <c r="P469" s="606"/>
      <c r="Q469" s="606"/>
      <c r="R469" s="606"/>
      <c r="S469" s="606"/>
      <c r="T469" s="606"/>
      <c r="U469" s="606"/>
      <c r="V469" s="606"/>
      <c r="W469" s="606"/>
      <c r="X469" s="606"/>
      <c r="Y469" s="606"/>
      <c r="Z469" s="606"/>
      <c r="AA469" s="606"/>
      <c r="AB469" s="606"/>
      <c r="AC469" s="606"/>
      <c r="AD469" s="606"/>
    </row>
    <row r="470" spans="2:30">
      <c r="B470" s="367">
        <f t="shared" si="21"/>
        <v>-1</v>
      </c>
      <c r="D470" s="182"/>
      <c r="E470" s="182"/>
      <c r="F470" s="184"/>
      <c r="G470" s="182"/>
      <c r="H470" s="182"/>
      <c r="I470" s="182"/>
      <c r="J470" s="183"/>
      <c r="K470" s="183"/>
      <c r="L470" s="182"/>
      <c r="N470" s="367">
        <f t="shared" si="22"/>
        <v>0</v>
      </c>
      <c r="O470" s="368">
        <f t="shared" si="23"/>
        <v>0</v>
      </c>
      <c r="P470" s="606"/>
      <c r="Q470" s="606"/>
      <c r="R470" s="606"/>
      <c r="S470" s="606"/>
      <c r="T470" s="606"/>
      <c r="U470" s="606"/>
      <c r="V470" s="606"/>
      <c r="W470" s="606"/>
      <c r="X470" s="606"/>
      <c r="Y470" s="606"/>
      <c r="Z470" s="606"/>
      <c r="AA470" s="606"/>
      <c r="AB470" s="606"/>
      <c r="AC470" s="606"/>
      <c r="AD470" s="606"/>
    </row>
    <row r="471" spans="2:30">
      <c r="B471" s="367">
        <f t="shared" si="21"/>
        <v>-1</v>
      </c>
      <c r="D471" s="182"/>
      <c r="E471" s="182"/>
      <c r="F471" s="184"/>
      <c r="G471" s="182"/>
      <c r="H471" s="182"/>
      <c r="I471" s="182"/>
      <c r="J471" s="183"/>
      <c r="K471" s="183"/>
      <c r="L471" s="182"/>
      <c r="N471" s="367">
        <f t="shared" si="22"/>
        <v>0</v>
      </c>
      <c r="O471" s="368">
        <f t="shared" si="23"/>
        <v>0</v>
      </c>
      <c r="P471" s="606"/>
      <c r="Q471" s="606"/>
      <c r="R471" s="606"/>
      <c r="S471" s="606"/>
      <c r="T471" s="606"/>
      <c r="U471" s="606"/>
      <c r="V471" s="606"/>
      <c r="W471" s="606"/>
      <c r="X471" s="606"/>
      <c r="Y471" s="606"/>
      <c r="Z471" s="606"/>
      <c r="AA471" s="606"/>
      <c r="AB471" s="606"/>
      <c r="AC471" s="606"/>
      <c r="AD471" s="606"/>
    </row>
    <row r="472" spans="2:30">
      <c r="B472" s="367">
        <f t="shared" si="21"/>
        <v>-1</v>
      </c>
      <c r="D472" s="182"/>
      <c r="E472" s="182"/>
      <c r="F472" s="184"/>
      <c r="G472" s="182"/>
      <c r="H472" s="182"/>
      <c r="I472" s="182"/>
      <c r="J472" s="183"/>
      <c r="K472" s="183"/>
      <c r="L472" s="182"/>
      <c r="N472" s="367">
        <f t="shared" si="22"/>
        <v>0</v>
      </c>
      <c r="O472" s="368">
        <f t="shared" si="23"/>
        <v>0</v>
      </c>
      <c r="P472" s="606"/>
      <c r="Q472" s="606"/>
      <c r="R472" s="606"/>
      <c r="S472" s="606"/>
      <c r="T472" s="606"/>
      <c r="U472" s="606"/>
      <c r="V472" s="606"/>
      <c r="W472" s="606"/>
      <c r="X472" s="606"/>
      <c r="Y472" s="606"/>
      <c r="Z472" s="606"/>
      <c r="AA472" s="606"/>
      <c r="AB472" s="606"/>
      <c r="AC472" s="606"/>
      <c r="AD472" s="606"/>
    </row>
    <row r="473" spans="2:30">
      <c r="B473" s="367">
        <f t="shared" si="21"/>
        <v>-1</v>
      </c>
      <c r="D473" s="182"/>
      <c r="E473" s="182"/>
      <c r="F473" s="184"/>
      <c r="G473" s="182"/>
      <c r="H473" s="182"/>
      <c r="I473" s="182"/>
      <c r="J473" s="183"/>
      <c r="K473" s="183"/>
      <c r="L473" s="182"/>
      <c r="N473" s="367">
        <f t="shared" si="22"/>
        <v>0</v>
      </c>
      <c r="O473" s="368">
        <f t="shared" si="23"/>
        <v>0</v>
      </c>
      <c r="P473" s="606"/>
      <c r="Q473" s="606"/>
      <c r="R473" s="606"/>
      <c r="S473" s="606"/>
      <c r="T473" s="606"/>
      <c r="U473" s="606"/>
      <c r="V473" s="606"/>
      <c r="W473" s="606"/>
      <c r="X473" s="606"/>
      <c r="Y473" s="606"/>
      <c r="Z473" s="606"/>
      <c r="AA473" s="606"/>
      <c r="AB473" s="606"/>
      <c r="AC473" s="606"/>
      <c r="AD473" s="606"/>
    </row>
    <row r="474" spans="2:30">
      <c r="B474" s="367">
        <f t="shared" si="21"/>
        <v>-1</v>
      </c>
      <c r="D474" s="182"/>
      <c r="E474" s="182"/>
      <c r="F474" s="184"/>
      <c r="G474" s="182"/>
      <c r="H474" s="182"/>
      <c r="I474" s="182"/>
      <c r="J474" s="183"/>
      <c r="K474" s="183"/>
      <c r="L474" s="182"/>
      <c r="N474" s="367">
        <f t="shared" si="22"/>
        <v>0</v>
      </c>
      <c r="O474" s="368">
        <f t="shared" si="23"/>
        <v>0</v>
      </c>
      <c r="P474" s="606"/>
      <c r="Q474" s="606"/>
      <c r="R474" s="606"/>
      <c r="S474" s="606"/>
      <c r="T474" s="606"/>
      <c r="U474" s="606"/>
      <c r="V474" s="606"/>
      <c r="W474" s="606"/>
      <c r="X474" s="606"/>
      <c r="Y474" s="606"/>
      <c r="Z474" s="606"/>
      <c r="AA474" s="606"/>
      <c r="AB474" s="606"/>
      <c r="AC474" s="606"/>
      <c r="AD474" s="606"/>
    </row>
    <row r="475" spans="2:30">
      <c r="B475" s="367">
        <f t="shared" si="21"/>
        <v>-1</v>
      </c>
      <c r="D475" s="182"/>
      <c r="E475" s="182"/>
      <c r="F475" s="184"/>
      <c r="G475" s="182"/>
      <c r="H475" s="182"/>
      <c r="I475" s="182"/>
      <c r="J475" s="183"/>
      <c r="K475" s="183"/>
      <c r="L475" s="182"/>
      <c r="N475" s="367">
        <f t="shared" si="22"/>
        <v>0</v>
      </c>
      <c r="O475" s="368">
        <f t="shared" si="23"/>
        <v>0</v>
      </c>
      <c r="P475" s="606"/>
      <c r="Q475" s="606"/>
      <c r="R475" s="606"/>
      <c r="S475" s="606"/>
      <c r="T475" s="606"/>
      <c r="U475" s="606"/>
      <c r="V475" s="606"/>
      <c r="W475" s="606"/>
      <c r="X475" s="606"/>
      <c r="Y475" s="606"/>
      <c r="Z475" s="606"/>
      <c r="AA475" s="606"/>
      <c r="AB475" s="606"/>
      <c r="AC475" s="606"/>
      <c r="AD475" s="606"/>
    </row>
    <row r="476" spans="2:30">
      <c r="B476" s="367">
        <f t="shared" si="21"/>
        <v>-1</v>
      </c>
      <c r="D476" s="182"/>
      <c r="E476" s="182"/>
      <c r="F476" s="184"/>
      <c r="G476" s="182"/>
      <c r="H476" s="182"/>
      <c r="I476" s="182"/>
      <c r="J476" s="183"/>
      <c r="K476" s="183"/>
      <c r="L476" s="182"/>
      <c r="N476" s="367">
        <f t="shared" si="22"/>
        <v>0</v>
      </c>
      <c r="O476" s="368">
        <f t="shared" si="23"/>
        <v>0</v>
      </c>
      <c r="P476" s="606"/>
      <c r="Q476" s="606"/>
      <c r="R476" s="606"/>
      <c r="S476" s="606"/>
      <c r="T476" s="606"/>
      <c r="U476" s="606"/>
      <c r="V476" s="606"/>
      <c r="W476" s="606"/>
      <c r="X476" s="606"/>
      <c r="Y476" s="606"/>
      <c r="Z476" s="606"/>
      <c r="AA476" s="606"/>
      <c r="AB476" s="606"/>
      <c r="AC476" s="606"/>
      <c r="AD476" s="606"/>
    </row>
    <row r="477" spans="2:30">
      <c r="B477" s="367">
        <f t="shared" si="21"/>
        <v>-1</v>
      </c>
      <c r="D477" s="182"/>
      <c r="E477" s="182"/>
      <c r="F477" s="184"/>
      <c r="G477" s="182"/>
      <c r="H477" s="182"/>
      <c r="I477" s="182"/>
      <c r="J477" s="183"/>
      <c r="K477" s="183"/>
      <c r="L477" s="182"/>
      <c r="N477" s="367">
        <f t="shared" si="22"/>
        <v>0</v>
      </c>
      <c r="O477" s="368">
        <f t="shared" si="23"/>
        <v>0</v>
      </c>
      <c r="P477" s="606"/>
      <c r="Q477" s="606"/>
      <c r="R477" s="606"/>
      <c r="S477" s="606"/>
      <c r="T477" s="606"/>
      <c r="U477" s="606"/>
      <c r="V477" s="606"/>
      <c r="W477" s="606"/>
      <c r="X477" s="606"/>
      <c r="Y477" s="606"/>
      <c r="Z477" s="606"/>
      <c r="AA477" s="606"/>
      <c r="AB477" s="606"/>
      <c r="AC477" s="606"/>
      <c r="AD477" s="606"/>
    </row>
    <row r="478" spans="2:30">
      <c r="B478" s="367">
        <f t="shared" si="21"/>
        <v>-1</v>
      </c>
      <c r="D478" s="182"/>
      <c r="E478" s="182"/>
      <c r="F478" s="184"/>
      <c r="G478" s="182"/>
      <c r="H478" s="182"/>
      <c r="I478" s="182"/>
      <c r="J478" s="183"/>
      <c r="K478" s="183"/>
      <c r="L478" s="182"/>
      <c r="N478" s="367">
        <f t="shared" si="22"/>
        <v>0</v>
      </c>
      <c r="O478" s="368">
        <f t="shared" si="23"/>
        <v>0</v>
      </c>
      <c r="P478" s="606"/>
      <c r="Q478" s="606"/>
      <c r="R478" s="606"/>
      <c r="S478" s="606"/>
      <c r="T478" s="606"/>
      <c r="U478" s="606"/>
      <c r="V478" s="606"/>
      <c r="W478" s="606"/>
      <c r="X478" s="606"/>
      <c r="Y478" s="606"/>
      <c r="Z478" s="606"/>
      <c r="AA478" s="606"/>
      <c r="AB478" s="606"/>
      <c r="AC478" s="606"/>
      <c r="AD478" s="606"/>
    </row>
    <row r="479" spans="2:30">
      <c r="B479" s="367">
        <f t="shared" si="21"/>
        <v>-1</v>
      </c>
      <c r="D479" s="182"/>
      <c r="E479" s="182"/>
      <c r="F479" s="184"/>
      <c r="G479" s="182"/>
      <c r="H479" s="182"/>
      <c r="I479" s="182"/>
      <c r="J479" s="183"/>
      <c r="K479" s="183"/>
      <c r="L479" s="182"/>
      <c r="N479" s="367">
        <f t="shared" si="22"/>
        <v>0</v>
      </c>
      <c r="O479" s="368">
        <f t="shared" si="23"/>
        <v>0</v>
      </c>
      <c r="P479" s="606"/>
      <c r="Q479" s="606"/>
      <c r="R479" s="606"/>
      <c r="S479" s="606"/>
      <c r="T479" s="606"/>
      <c r="U479" s="606"/>
      <c r="V479" s="606"/>
      <c r="W479" s="606"/>
      <c r="X479" s="606"/>
      <c r="Y479" s="606"/>
      <c r="Z479" s="606"/>
      <c r="AA479" s="606"/>
      <c r="AB479" s="606"/>
      <c r="AC479" s="606"/>
      <c r="AD479" s="606"/>
    </row>
    <row r="480" spans="2:30">
      <c r="B480" s="367">
        <f t="shared" si="21"/>
        <v>-1</v>
      </c>
      <c r="D480" s="182"/>
      <c r="E480" s="182"/>
      <c r="F480" s="184"/>
      <c r="G480" s="182"/>
      <c r="H480" s="182"/>
      <c r="I480" s="182"/>
      <c r="J480" s="183"/>
      <c r="K480" s="183"/>
      <c r="L480" s="182"/>
      <c r="N480" s="367">
        <f t="shared" si="22"/>
        <v>0</v>
      </c>
      <c r="O480" s="368">
        <f t="shared" si="23"/>
        <v>0</v>
      </c>
      <c r="P480" s="606"/>
      <c r="Q480" s="606"/>
      <c r="R480" s="606"/>
      <c r="S480" s="606"/>
      <c r="T480" s="606"/>
      <c r="U480" s="606"/>
      <c r="V480" s="606"/>
      <c r="W480" s="606"/>
      <c r="X480" s="606"/>
      <c r="Y480" s="606"/>
      <c r="Z480" s="606"/>
      <c r="AA480" s="606"/>
      <c r="AB480" s="606"/>
      <c r="AC480" s="606"/>
      <c r="AD480" s="606"/>
    </row>
    <row r="481" spans="2:30">
      <c r="B481" s="367">
        <f t="shared" si="21"/>
        <v>-1</v>
      </c>
      <c r="D481" s="182"/>
      <c r="E481" s="182"/>
      <c r="F481" s="184"/>
      <c r="G481" s="182"/>
      <c r="H481" s="182"/>
      <c r="I481" s="182"/>
      <c r="J481" s="183"/>
      <c r="K481" s="183"/>
      <c r="L481" s="182"/>
      <c r="N481" s="367">
        <f t="shared" si="22"/>
        <v>0</v>
      </c>
      <c r="O481" s="368">
        <f t="shared" si="23"/>
        <v>0</v>
      </c>
      <c r="P481" s="606"/>
      <c r="Q481" s="606"/>
      <c r="R481" s="606"/>
      <c r="S481" s="606"/>
      <c r="T481" s="606"/>
      <c r="U481" s="606"/>
      <c r="V481" s="606"/>
      <c r="W481" s="606"/>
      <c r="X481" s="606"/>
      <c r="Y481" s="606"/>
      <c r="Z481" s="606"/>
      <c r="AA481" s="606"/>
      <c r="AB481" s="606"/>
      <c r="AC481" s="606"/>
      <c r="AD481" s="606"/>
    </row>
    <row r="482" spans="2:30">
      <c r="B482" s="367">
        <f t="shared" si="21"/>
        <v>-1</v>
      </c>
      <c r="D482" s="182"/>
      <c r="E482" s="182"/>
      <c r="F482" s="184"/>
      <c r="G482" s="182"/>
      <c r="H482" s="182"/>
      <c r="I482" s="182"/>
      <c r="J482" s="183"/>
      <c r="K482" s="183"/>
      <c r="L482" s="182"/>
      <c r="N482" s="367">
        <f t="shared" si="22"/>
        <v>0</v>
      </c>
      <c r="O482" s="368">
        <f t="shared" si="23"/>
        <v>0</v>
      </c>
      <c r="P482" s="606"/>
      <c r="Q482" s="606"/>
      <c r="R482" s="606"/>
      <c r="S482" s="606"/>
      <c r="T482" s="606"/>
      <c r="U482" s="606"/>
      <c r="V482" s="606"/>
      <c r="W482" s="606"/>
      <c r="X482" s="606"/>
      <c r="Y482" s="606"/>
      <c r="Z482" s="606"/>
      <c r="AA482" s="606"/>
      <c r="AB482" s="606"/>
      <c r="AC482" s="606"/>
      <c r="AD482" s="606"/>
    </row>
    <row r="483" spans="2:30">
      <c r="B483" s="367">
        <f t="shared" si="21"/>
        <v>-1</v>
      </c>
      <c r="D483" s="182"/>
      <c r="E483" s="182"/>
      <c r="F483" s="184"/>
      <c r="G483" s="182"/>
      <c r="H483" s="182"/>
      <c r="I483" s="182"/>
      <c r="J483" s="183"/>
      <c r="K483" s="183"/>
      <c r="L483" s="182"/>
      <c r="N483" s="367">
        <f t="shared" si="22"/>
        <v>0</v>
      </c>
      <c r="O483" s="368">
        <f t="shared" si="23"/>
        <v>0</v>
      </c>
      <c r="P483" s="606"/>
      <c r="Q483" s="606"/>
      <c r="R483" s="606"/>
      <c r="S483" s="606"/>
      <c r="T483" s="606"/>
      <c r="U483" s="606"/>
      <c r="V483" s="606"/>
      <c r="W483" s="606"/>
      <c r="X483" s="606"/>
      <c r="Y483" s="606"/>
      <c r="Z483" s="606"/>
      <c r="AA483" s="606"/>
      <c r="AB483" s="606"/>
      <c r="AC483" s="606"/>
      <c r="AD483" s="606"/>
    </row>
    <row r="484" spans="2:30">
      <c r="B484" s="367">
        <f t="shared" si="21"/>
        <v>-1</v>
      </c>
      <c r="D484" s="182"/>
      <c r="E484" s="182"/>
      <c r="F484" s="184"/>
      <c r="G484" s="182"/>
      <c r="H484" s="182"/>
      <c r="I484" s="182"/>
      <c r="J484" s="183"/>
      <c r="K484" s="183"/>
      <c r="L484" s="182"/>
      <c r="N484" s="367">
        <f t="shared" si="22"/>
        <v>0</v>
      </c>
      <c r="O484" s="368">
        <f t="shared" si="23"/>
        <v>0</v>
      </c>
      <c r="P484" s="606"/>
      <c r="Q484" s="606"/>
      <c r="R484" s="606"/>
      <c r="S484" s="606"/>
      <c r="T484" s="606"/>
      <c r="U484" s="606"/>
      <c r="V484" s="606"/>
      <c r="W484" s="606"/>
      <c r="X484" s="606"/>
      <c r="Y484" s="606"/>
      <c r="Z484" s="606"/>
      <c r="AA484" s="606"/>
      <c r="AB484" s="606"/>
      <c r="AC484" s="606"/>
      <c r="AD484" s="606"/>
    </row>
    <row r="485" spans="2:30">
      <c r="B485" s="367">
        <f t="shared" si="21"/>
        <v>-1</v>
      </c>
      <c r="D485" s="182"/>
      <c r="E485" s="182"/>
      <c r="F485" s="184"/>
      <c r="G485" s="182"/>
      <c r="H485" s="182"/>
      <c r="I485" s="182"/>
      <c r="J485" s="183"/>
      <c r="K485" s="183"/>
      <c r="L485" s="182"/>
      <c r="N485" s="367">
        <f t="shared" si="22"/>
        <v>0</v>
      </c>
      <c r="O485" s="368">
        <f t="shared" si="23"/>
        <v>0</v>
      </c>
      <c r="P485" s="606"/>
      <c r="Q485" s="606"/>
      <c r="R485" s="606"/>
      <c r="S485" s="606"/>
      <c r="T485" s="606"/>
      <c r="U485" s="606"/>
      <c r="V485" s="606"/>
      <c r="W485" s="606"/>
      <c r="X485" s="606"/>
      <c r="Y485" s="606"/>
      <c r="Z485" s="606"/>
      <c r="AA485" s="606"/>
      <c r="AB485" s="606"/>
      <c r="AC485" s="606"/>
      <c r="AD485" s="606"/>
    </row>
    <row r="486" spans="2:30">
      <c r="B486" s="367">
        <f t="shared" si="21"/>
        <v>-1</v>
      </c>
      <c r="D486" s="182"/>
      <c r="E486" s="182"/>
      <c r="F486" s="184"/>
      <c r="G486" s="182"/>
      <c r="H486" s="182"/>
      <c r="I486" s="182"/>
      <c r="J486" s="183"/>
      <c r="K486" s="183"/>
      <c r="L486" s="182"/>
      <c r="N486" s="367">
        <f t="shared" si="22"/>
        <v>0</v>
      </c>
      <c r="O486" s="368">
        <f t="shared" si="23"/>
        <v>0</v>
      </c>
      <c r="P486" s="606"/>
      <c r="Q486" s="606"/>
      <c r="R486" s="606"/>
      <c r="S486" s="606"/>
      <c r="T486" s="606"/>
      <c r="U486" s="606"/>
      <c r="V486" s="606"/>
      <c r="W486" s="606"/>
      <c r="X486" s="606"/>
      <c r="Y486" s="606"/>
      <c r="Z486" s="606"/>
      <c r="AA486" s="606"/>
      <c r="AB486" s="606"/>
      <c r="AC486" s="606"/>
      <c r="AD486" s="606"/>
    </row>
    <row r="487" spans="2:30">
      <c r="B487" s="367">
        <f t="shared" si="21"/>
        <v>-1</v>
      </c>
      <c r="D487" s="182"/>
      <c r="E487" s="182"/>
      <c r="F487" s="184"/>
      <c r="G487" s="182"/>
      <c r="H487" s="182"/>
      <c r="I487" s="182"/>
      <c r="J487" s="183"/>
      <c r="K487" s="183"/>
      <c r="L487" s="182"/>
      <c r="N487" s="367">
        <f t="shared" si="22"/>
        <v>0</v>
      </c>
      <c r="O487" s="368">
        <f t="shared" si="23"/>
        <v>0</v>
      </c>
      <c r="P487" s="606"/>
      <c r="Q487" s="606"/>
      <c r="R487" s="606"/>
      <c r="S487" s="606"/>
      <c r="T487" s="606"/>
      <c r="U487" s="606"/>
      <c r="V487" s="606"/>
      <c r="W487" s="606"/>
      <c r="X487" s="606"/>
      <c r="Y487" s="606"/>
      <c r="Z487" s="606"/>
      <c r="AA487" s="606"/>
      <c r="AB487" s="606"/>
      <c r="AC487" s="606"/>
      <c r="AD487" s="606"/>
    </row>
    <row r="488" spans="2:30">
      <c r="B488" s="367">
        <f t="shared" si="21"/>
        <v>-1</v>
      </c>
      <c r="D488" s="182"/>
      <c r="E488" s="182"/>
      <c r="F488" s="184"/>
      <c r="G488" s="182"/>
      <c r="H488" s="182"/>
      <c r="I488" s="182"/>
      <c r="J488" s="183"/>
      <c r="K488" s="183"/>
      <c r="L488" s="182"/>
      <c r="N488" s="367">
        <f t="shared" si="22"/>
        <v>0</v>
      </c>
      <c r="O488" s="368">
        <f t="shared" si="23"/>
        <v>0</v>
      </c>
      <c r="P488" s="606"/>
      <c r="Q488" s="606"/>
      <c r="R488" s="606"/>
      <c r="S488" s="606"/>
      <c r="T488" s="606"/>
      <c r="U488" s="606"/>
      <c r="V488" s="606"/>
      <c r="W488" s="606"/>
      <c r="X488" s="606"/>
      <c r="Y488" s="606"/>
      <c r="Z488" s="606"/>
      <c r="AA488" s="606"/>
      <c r="AB488" s="606"/>
      <c r="AC488" s="606"/>
      <c r="AD488" s="606"/>
    </row>
    <row r="489" spans="2:30">
      <c r="B489" s="367">
        <f t="shared" si="21"/>
        <v>-1</v>
      </c>
      <c r="D489" s="182"/>
      <c r="E489" s="182"/>
      <c r="F489" s="184"/>
      <c r="G489" s="182"/>
      <c r="H489" s="182"/>
      <c r="I489" s="182"/>
      <c r="J489" s="183"/>
      <c r="K489" s="183"/>
      <c r="L489" s="182"/>
      <c r="N489" s="367">
        <f t="shared" si="22"/>
        <v>0</v>
      </c>
      <c r="O489" s="368">
        <f t="shared" si="23"/>
        <v>0</v>
      </c>
      <c r="P489" s="606"/>
      <c r="Q489" s="606"/>
      <c r="R489" s="606"/>
      <c r="S489" s="606"/>
      <c r="T489" s="606"/>
      <c r="U489" s="606"/>
      <c r="V489" s="606"/>
      <c r="W489" s="606"/>
      <c r="X489" s="606"/>
      <c r="Y489" s="606"/>
      <c r="Z489" s="606"/>
      <c r="AA489" s="606"/>
      <c r="AB489" s="606"/>
      <c r="AC489" s="606"/>
      <c r="AD489" s="606"/>
    </row>
    <row r="490" spans="2:30">
      <c r="B490" s="367">
        <f t="shared" si="21"/>
        <v>-1</v>
      </c>
      <c r="D490" s="182"/>
      <c r="E490" s="182"/>
      <c r="F490" s="184"/>
      <c r="G490" s="182"/>
      <c r="H490" s="182"/>
      <c r="I490" s="182"/>
      <c r="J490" s="183"/>
      <c r="K490" s="183"/>
      <c r="L490" s="182"/>
      <c r="N490" s="367">
        <f t="shared" si="22"/>
        <v>0</v>
      </c>
      <c r="O490" s="368">
        <f t="shared" si="23"/>
        <v>0</v>
      </c>
      <c r="P490" s="606"/>
      <c r="Q490" s="606"/>
      <c r="R490" s="606"/>
      <c r="S490" s="606"/>
      <c r="T490" s="606"/>
      <c r="U490" s="606"/>
      <c r="V490" s="606"/>
      <c r="W490" s="606"/>
      <c r="X490" s="606"/>
      <c r="Y490" s="606"/>
      <c r="Z490" s="606"/>
      <c r="AA490" s="606"/>
      <c r="AB490" s="606"/>
      <c r="AC490" s="606"/>
      <c r="AD490" s="606"/>
    </row>
    <row r="491" spans="2:30">
      <c r="B491" s="367">
        <f t="shared" si="21"/>
        <v>-1</v>
      </c>
      <c r="D491" s="182"/>
      <c r="E491" s="182"/>
      <c r="F491" s="184"/>
      <c r="G491" s="182"/>
      <c r="H491" s="182"/>
      <c r="I491" s="182"/>
      <c r="J491" s="183"/>
      <c r="K491" s="183"/>
      <c r="L491" s="182"/>
      <c r="N491" s="367">
        <f t="shared" si="22"/>
        <v>0</v>
      </c>
      <c r="O491" s="368">
        <f t="shared" si="23"/>
        <v>0</v>
      </c>
      <c r="P491" s="606"/>
      <c r="Q491" s="606"/>
      <c r="R491" s="606"/>
      <c r="S491" s="606"/>
      <c r="T491" s="606"/>
      <c r="U491" s="606"/>
      <c r="V491" s="606"/>
      <c r="W491" s="606"/>
      <c r="X491" s="606"/>
      <c r="Y491" s="606"/>
      <c r="Z491" s="606"/>
      <c r="AA491" s="606"/>
      <c r="AB491" s="606"/>
      <c r="AC491" s="606"/>
      <c r="AD491" s="606"/>
    </row>
    <row r="492" spans="2:30">
      <c r="B492" s="367">
        <f t="shared" si="21"/>
        <v>-1</v>
      </c>
      <c r="D492" s="182"/>
      <c r="E492" s="182"/>
      <c r="F492" s="184"/>
      <c r="G492" s="182"/>
      <c r="H492" s="182"/>
      <c r="I492" s="182"/>
      <c r="J492" s="183"/>
      <c r="K492" s="183"/>
      <c r="L492" s="182"/>
      <c r="N492" s="367">
        <f t="shared" si="22"/>
        <v>0</v>
      </c>
      <c r="O492" s="368">
        <f t="shared" si="23"/>
        <v>0</v>
      </c>
      <c r="P492" s="606"/>
      <c r="Q492" s="606"/>
      <c r="R492" s="606"/>
      <c r="S492" s="606"/>
      <c r="T492" s="606"/>
      <c r="U492" s="606"/>
      <c r="V492" s="606"/>
      <c r="W492" s="606"/>
      <c r="X492" s="606"/>
      <c r="Y492" s="606"/>
      <c r="Z492" s="606"/>
      <c r="AA492" s="606"/>
      <c r="AB492" s="606"/>
      <c r="AC492" s="606"/>
      <c r="AD492" s="606"/>
    </row>
    <row r="493" spans="2:30">
      <c r="B493" s="367">
        <f t="shared" si="21"/>
        <v>-1</v>
      </c>
      <c r="D493" s="182"/>
      <c r="E493" s="182"/>
      <c r="F493" s="184"/>
      <c r="G493" s="182"/>
      <c r="H493" s="182"/>
      <c r="I493" s="182"/>
      <c r="J493" s="183"/>
      <c r="K493" s="183"/>
      <c r="L493" s="182"/>
      <c r="N493" s="367">
        <f t="shared" si="22"/>
        <v>0</v>
      </c>
      <c r="O493" s="368">
        <f t="shared" si="23"/>
        <v>0</v>
      </c>
      <c r="P493" s="606"/>
      <c r="Q493" s="606"/>
      <c r="R493" s="606"/>
      <c r="S493" s="606"/>
      <c r="T493" s="606"/>
      <c r="U493" s="606"/>
      <c r="V493" s="606"/>
      <c r="W493" s="606"/>
      <c r="X493" s="606"/>
      <c r="Y493" s="606"/>
      <c r="Z493" s="606"/>
      <c r="AA493" s="606"/>
      <c r="AB493" s="606"/>
      <c r="AC493" s="606"/>
      <c r="AD493" s="606"/>
    </row>
    <row r="494" spans="2:30">
      <c r="B494" s="367">
        <f t="shared" si="21"/>
        <v>-1</v>
      </c>
      <c r="D494" s="182"/>
      <c r="E494" s="182"/>
      <c r="F494" s="184"/>
      <c r="G494" s="182"/>
      <c r="H494" s="182"/>
      <c r="I494" s="182"/>
      <c r="J494" s="183"/>
      <c r="K494" s="183"/>
      <c r="L494" s="182"/>
      <c r="N494" s="367">
        <f t="shared" si="22"/>
        <v>0</v>
      </c>
      <c r="O494" s="368">
        <f t="shared" si="23"/>
        <v>0</v>
      </c>
      <c r="P494" s="606"/>
      <c r="Q494" s="606"/>
      <c r="R494" s="606"/>
      <c r="S494" s="606"/>
      <c r="T494" s="606"/>
      <c r="U494" s="606"/>
      <c r="V494" s="606"/>
      <c r="W494" s="606"/>
      <c r="X494" s="606"/>
      <c r="Y494" s="606"/>
      <c r="Z494" s="606"/>
      <c r="AA494" s="606"/>
      <c r="AB494" s="606"/>
      <c r="AC494" s="606"/>
      <c r="AD494" s="606"/>
    </row>
    <row r="495" spans="2:30">
      <c r="B495" s="367">
        <f t="shared" si="21"/>
        <v>-1</v>
      </c>
      <c r="D495" s="182"/>
      <c r="E495" s="182"/>
      <c r="F495" s="184"/>
      <c r="G495" s="182"/>
      <c r="H495" s="182"/>
      <c r="I495" s="182"/>
      <c r="J495" s="183"/>
      <c r="K495" s="183"/>
      <c r="L495" s="182"/>
      <c r="N495" s="367">
        <f t="shared" si="22"/>
        <v>0</v>
      </c>
      <c r="O495" s="368">
        <f t="shared" si="23"/>
        <v>0</v>
      </c>
      <c r="P495" s="606"/>
      <c r="Q495" s="606"/>
      <c r="R495" s="606"/>
      <c r="S495" s="606"/>
      <c r="T495" s="606"/>
      <c r="U495" s="606"/>
      <c r="V495" s="606"/>
      <c r="W495" s="606"/>
      <c r="X495" s="606"/>
      <c r="Y495" s="606"/>
      <c r="Z495" s="606"/>
      <c r="AA495" s="606"/>
      <c r="AB495" s="606"/>
      <c r="AC495" s="606"/>
      <c r="AD495" s="606"/>
    </row>
    <row r="496" spans="2:30">
      <c r="B496" s="367">
        <f t="shared" si="21"/>
        <v>-1</v>
      </c>
      <c r="D496" s="182"/>
      <c r="E496" s="182"/>
      <c r="F496" s="184"/>
      <c r="G496" s="182"/>
      <c r="H496" s="182"/>
      <c r="I496" s="182"/>
      <c r="J496" s="183"/>
      <c r="K496" s="183"/>
      <c r="L496" s="182"/>
      <c r="N496" s="367">
        <f t="shared" si="22"/>
        <v>0</v>
      </c>
      <c r="O496" s="368">
        <f t="shared" si="23"/>
        <v>0</v>
      </c>
      <c r="P496" s="606"/>
      <c r="Q496" s="606"/>
      <c r="R496" s="606"/>
      <c r="S496" s="606"/>
      <c r="T496" s="606"/>
      <c r="U496" s="606"/>
      <c r="V496" s="606"/>
      <c r="W496" s="606"/>
      <c r="X496" s="606"/>
      <c r="Y496" s="606"/>
      <c r="Z496" s="606"/>
      <c r="AA496" s="606"/>
      <c r="AB496" s="606"/>
      <c r="AC496" s="606"/>
      <c r="AD496" s="606"/>
    </row>
    <row r="497" spans="2:30">
      <c r="B497" s="367">
        <f t="shared" si="21"/>
        <v>-1</v>
      </c>
      <c r="D497" s="182"/>
      <c r="E497" s="182"/>
      <c r="F497" s="184"/>
      <c r="G497" s="182"/>
      <c r="H497" s="182"/>
      <c r="I497" s="182"/>
      <c r="J497" s="183"/>
      <c r="K497" s="183"/>
      <c r="L497" s="182"/>
      <c r="N497" s="367">
        <f t="shared" si="22"/>
        <v>0</v>
      </c>
      <c r="O497" s="368">
        <f t="shared" si="23"/>
        <v>0</v>
      </c>
      <c r="P497" s="606"/>
      <c r="Q497" s="606"/>
      <c r="R497" s="606"/>
      <c r="S497" s="606"/>
      <c r="T497" s="606"/>
      <c r="U497" s="606"/>
      <c r="V497" s="606"/>
      <c r="W497" s="606"/>
      <c r="X497" s="606"/>
      <c r="Y497" s="606"/>
      <c r="Z497" s="606"/>
      <c r="AA497" s="606"/>
      <c r="AB497" s="606"/>
      <c r="AC497" s="606"/>
      <c r="AD497" s="606"/>
    </row>
    <row r="498" spans="2:30">
      <c r="B498" s="367">
        <f t="shared" si="21"/>
        <v>-1</v>
      </c>
      <c r="D498" s="182"/>
      <c r="E498" s="182"/>
      <c r="F498" s="184"/>
      <c r="G498" s="182"/>
      <c r="H498" s="182"/>
      <c r="I498" s="182"/>
      <c r="J498" s="183"/>
      <c r="K498" s="183"/>
      <c r="L498" s="182"/>
      <c r="N498" s="367">
        <f t="shared" si="22"/>
        <v>0</v>
      </c>
      <c r="O498" s="368">
        <f t="shared" si="23"/>
        <v>0</v>
      </c>
      <c r="P498" s="606"/>
      <c r="Q498" s="606"/>
      <c r="R498" s="606"/>
      <c r="S498" s="606"/>
      <c r="T498" s="606"/>
      <c r="U498" s="606"/>
      <c r="V498" s="606"/>
      <c r="W498" s="606"/>
      <c r="X498" s="606"/>
      <c r="Y498" s="606"/>
      <c r="Z498" s="606"/>
      <c r="AA498" s="606"/>
      <c r="AB498" s="606"/>
      <c r="AC498" s="606"/>
      <c r="AD498" s="606"/>
    </row>
    <row r="499" spans="2:30">
      <c r="B499" s="367">
        <f t="shared" si="21"/>
        <v>-1</v>
      </c>
      <c r="D499" s="182"/>
      <c r="E499" s="182"/>
      <c r="F499" s="184"/>
      <c r="G499" s="182"/>
      <c r="H499" s="182"/>
      <c r="I499" s="182"/>
      <c r="J499" s="183"/>
      <c r="K499" s="183"/>
      <c r="L499" s="182"/>
      <c r="N499" s="367">
        <f t="shared" si="22"/>
        <v>0</v>
      </c>
      <c r="O499" s="368">
        <f t="shared" si="23"/>
        <v>0</v>
      </c>
      <c r="P499" s="606"/>
      <c r="Q499" s="606"/>
      <c r="R499" s="606"/>
      <c r="S499" s="606"/>
      <c r="T499" s="606"/>
      <c r="U499" s="606"/>
      <c r="V499" s="606"/>
      <c r="W499" s="606"/>
      <c r="X499" s="606"/>
      <c r="Y499" s="606"/>
      <c r="Z499" s="606"/>
      <c r="AA499" s="606"/>
      <c r="AB499" s="606"/>
      <c r="AC499" s="606"/>
      <c r="AD499" s="606"/>
    </row>
    <row r="500" spans="2:30">
      <c r="B500" s="367">
        <f t="shared" si="21"/>
        <v>-1</v>
      </c>
      <c r="D500" s="182"/>
      <c r="E500" s="182"/>
      <c r="F500" s="184"/>
      <c r="G500" s="182"/>
      <c r="H500" s="182"/>
      <c r="I500" s="182"/>
      <c r="J500" s="183"/>
      <c r="K500" s="183"/>
      <c r="L500" s="182"/>
      <c r="N500" s="367">
        <f t="shared" si="22"/>
        <v>0</v>
      </c>
      <c r="O500" s="368">
        <f t="shared" si="23"/>
        <v>0</v>
      </c>
      <c r="P500" s="606"/>
      <c r="Q500" s="606"/>
      <c r="R500" s="606"/>
      <c r="S500" s="606"/>
      <c r="T500" s="606"/>
      <c r="U500" s="606"/>
      <c r="V500" s="606"/>
      <c r="W500" s="606"/>
      <c r="X500" s="606"/>
      <c r="Y500" s="606"/>
      <c r="Z500" s="606"/>
      <c r="AA500" s="606"/>
      <c r="AB500" s="606"/>
      <c r="AC500" s="606"/>
      <c r="AD500" s="606"/>
    </row>
    <row r="501" spans="2:30">
      <c r="B501" s="367">
        <f t="shared" si="21"/>
        <v>-1</v>
      </c>
      <c r="D501" s="182"/>
      <c r="E501" s="182"/>
      <c r="F501" s="184"/>
      <c r="G501" s="182"/>
      <c r="H501" s="182"/>
      <c r="I501" s="182"/>
      <c r="J501" s="183"/>
      <c r="K501" s="183"/>
      <c r="L501" s="182"/>
      <c r="N501" s="367">
        <f t="shared" si="22"/>
        <v>0</v>
      </c>
      <c r="O501" s="368">
        <f t="shared" si="23"/>
        <v>0</v>
      </c>
      <c r="P501" s="606"/>
      <c r="Q501" s="606"/>
      <c r="R501" s="606"/>
      <c r="S501" s="606"/>
      <c r="T501" s="606"/>
      <c r="U501" s="606"/>
      <c r="V501" s="606"/>
      <c r="W501" s="606"/>
      <c r="X501" s="606"/>
      <c r="Y501" s="606"/>
      <c r="Z501" s="606"/>
      <c r="AA501" s="606"/>
      <c r="AB501" s="606"/>
      <c r="AC501" s="606"/>
      <c r="AD501" s="606"/>
    </row>
    <row r="502" spans="2:30">
      <c r="B502" s="367">
        <f t="shared" si="21"/>
        <v>-1</v>
      </c>
      <c r="D502" s="182"/>
      <c r="E502" s="182"/>
      <c r="F502" s="184"/>
      <c r="G502" s="182"/>
      <c r="H502" s="182"/>
      <c r="I502" s="182"/>
      <c r="J502" s="183"/>
      <c r="K502" s="183"/>
      <c r="L502" s="182"/>
      <c r="N502" s="367">
        <f t="shared" si="22"/>
        <v>0</v>
      </c>
      <c r="O502" s="368">
        <f t="shared" si="23"/>
        <v>0</v>
      </c>
      <c r="P502" s="606"/>
      <c r="Q502" s="606"/>
      <c r="R502" s="606"/>
      <c r="S502" s="606"/>
      <c r="T502" s="606"/>
      <c r="U502" s="606"/>
      <c r="V502" s="606"/>
      <c r="W502" s="606"/>
      <c r="X502" s="606"/>
      <c r="Y502" s="606"/>
      <c r="Z502" s="606"/>
      <c r="AA502" s="606"/>
      <c r="AB502" s="606"/>
      <c r="AC502" s="606"/>
      <c r="AD502" s="606"/>
    </row>
    <row r="503" spans="2:30">
      <c r="B503" s="367">
        <f t="shared" si="21"/>
        <v>-1</v>
      </c>
      <c r="D503" s="182"/>
      <c r="E503" s="182"/>
      <c r="F503" s="184"/>
      <c r="G503" s="182"/>
      <c r="H503" s="182"/>
      <c r="I503" s="182"/>
      <c r="J503" s="183"/>
      <c r="K503" s="183"/>
      <c r="L503" s="182"/>
      <c r="N503" s="367">
        <f t="shared" si="22"/>
        <v>0</v>
      </c>
      <c r="O503" s="368">
        <f t="shared" si="23"/>
        <v>0</v>
      </c>
      <c r="P503" s="606"/>
      <c r="Q503" s="606"/>
      <c r="R503" s="606"/>
      <c r="S503" s="606"/>
      <c r="T503" s="606"/>
      <c r="U503" s="606"/>
      <c r="V503" s="606"/>
      <c r="W503" s="606"/>
      <c r="X503" s="606"/>
      <c r="Y503" s="606"/>
      <c r="Z503" s="606"/>
      <c r="AA503" s="606"/>
      <c r="AB503" s="606"/>
      <c r="AC503" s="606"/>
      <c r="AD503" s="606"/>
    </row>
    <row r="504" spans="2:30">
      <c r="B504" s="367">
        <f t="shared" si="21"/>
        <v>-1</v>
      </c>
      <c r="D504" s="182"/>
      <c r="E504" s="182"/>
      <c r="F504" s="184"/>
      <c r="G504" s="182"/>
      <c r="H504" s="182"/>
      <c r="I504" s="182"/>
      <c r="J504" s="183"/>
      <c r="K504" s="183"/>
      <c r="L504" s="182"/>
      <c r="N504" s="367">
        <f t="shared" si="22"/>
        <v>0</v>
      </c>
      <c r="O504" s="368">
        <f t="shared" si="23"/>
        <v>0</v>
      </c>
      <c r="P504" s="606"/>
      <c r="Q504" s="606"/>
      <c r="R504" s="606"/>
      <c r="S504" s="606"/>
      <c r="T504" s="606"/>
      <c r="U504" s="606"/>
      <c r="V504" s="606"/>
      <c r="W504" s="606"/>
      <c r="X504" s="606"/>
      <c r="Y504" s="606"/>
      <c r="Z504" s="606"/>
      <c r="AA504" s="606"/>
      <c r="AB504" s="606"/>
      <c r="AC504" s="606"/>
      <c r="AD504" s="606"/>
    </row>
    <row r="505" spans="2:30">
      <c r="B505" s="367">
        <f t="shared" si="21"/>
        <v>-1</v>
      </c>
      <c r="D505" s="182"/>
      <c r="E505" s="182"/>
      <c r="F505" s="184"/>
      <c r="G505" s="182"/>
      <c r="H505" s="182"/>
      <c r="I505" s="182"/>
      <c r="J505" s="183"/>
      <c r="K505" s="183"/>
      <c r="L505" s="182"/>
      <c r="N505" s="367">
        <f t="shared" si="22"/>
        <v>0</v>
      </c>
      <c r="O505" s="368">
        <f t="shared" si="23"/>
        <v>0</v>
      </c>
      <c r="P505" s="606"/>
      <c r="Q505" s="606"/>
      <c r="R505" s="606"/>
      <c r="S505" s="606"/>
      <c r="T505" s="606"/>
      <c r="U505" s="606"/>
      <c r="V505" s="606"/>
      <c r="W505" s="606"/>
      <c r="X505" s="606"/>
      <c r="Y505" s="606"/>
      <c r="Z505" s="606"/>
      <c r="AA505" s="606"/>
      <c r="AB505" s="606"/>
      <c r="AC505" s="606"/>
      <c r="AD505" s="606"/>
    </row>
    <row r="506" spans="2:30">
      <c r="B506" s="367">
        <f t="shared" si="21"/>
        <v>-1</v>
      </c>
      <c r="D506" s="182"/>
      <c r="E506" s="182"/>
      <c r="F506" s="184"/>
      <c r="G506" s="182"/>
      <c r="H506" s="182"/>
      <c r="I506" s="182"/>
      <c r="J506" s="183"/>
      <c r="K506" s="183"/>
      <c r="L506" s="182"/>
      <c r="N506" s="367">
        <f t="shared" si="22"/>
        <v>0</v>
      </c>
      <c r="O506" s="368">
        <f t="shared" si="23"/>
        <v>0</v>
      </c>
      <c r="P506" s="606"/>
      <c r="Q506" s="606"/>
      <c r="R506" s="606"/>
      <c r="S506" s="606"/>
      <c r="T506" s="606"/>
      <c r="U506" s="606"/>
      <c r="V506" s="606"/>
      <c r="W506" s="606"/>
      <c r="X506" s="606"/>
      <c r="Y506" s="606"/>
      <c r="Z506" s="606"/>
      <c r="AA506" s="606"/>
      <c r="AB506" s="606"/>
      <c r="AC506" s="606"/>
      <c r="AD506" s="606"/>
    </row>
    <row r="507" spans="2:30">
      <c r="B507" s="367">
        <f t="shared" si="21"/>
        <v>-1</v>
      </c>
      <c r="D507" s="182"/>
      <c r="E507" s="182"/>
      <c r="F507" s="184"/>
      <c r="G507" s="182"/>
      <c r="H507" s="182"/>
      <c r="I507" s="182"/>
      <c r="J507" s="183"/>
      <c r="K507" s="183"/>
      <c r="L507" s="182"/>
      <c r="N507" s="367">
        <f t="shared" si="22"/>
        <v>0</v>
      </c>
      <c r="O507" s="368">
        <f t="shared" si="23"/>
        <v>0</v>
      </c>
      <c r="P507" s="606"/>
      <c r="Q507" s="606"/>
      <c r="R507" s="606"/>
      <c r="S507" s="606"/>
      <c r="T507" s="606"/>
      <c r="U507" s="606"/>
      <c r="V507" s="606"/>
      <c r="W507" s="606"/>
      <c r="X507" s="606"/>
      <c r="Y507" s="606"/>
      <c r="Z507" s="606"/>
      <c r="AA507" s="606"/>
      <c r="AB507" s="606"/>
      <c r="AC507" s="606"/>
      <c r="AD507" s="606"/>
    </row>
    <row r="508" spans="2:30">
      <c r="B508" s="367">
        <f t="shared" si="21"/>
        <v>-1</v>
      </c>
      <c r="D508" s="182"/>
      <c r="E508" s="182"/>
      <c r="F508" s="184"/>
      <c r="G508" s="182"/>
      <c r="H508" s="182"/>
      <c r="I508" s="182"/>
      <c r="J508" s="183"/>
      <c r="K508" s="183"/>
      <c r="L508" s="182"/>
      <c r="N508" s="367">
        <f t="shared" si="22"/>
        <v>0</v>
      </c>
      <c r="O508" s="368">
        <f t="shared" si="23"/>
        <v>0</v>
      </c>
      <c r="P508" s="606"/>
      <c r="Q508" s="606"/>
      <c r="R508" s="606"/>
      <c r="S508" s="606"/>
      <c r="T508" s="606"/>
      <c r="U508" s="606"/>
      <c r="V508" s="606"/>
      <c r="W508" s="606"/>
      <c r="X508" s="606"/>
      <c r="Y508" s="606"/>
      <c r="Z508" s="606"/>
      <c r="AA508" s="606"/>
      <c r="AB508" s="606"/>
      <c r="AC508" s="606"/>
      <c r="AD508" s="606"/>
    </row>
    <row r="509" spans="2:30">
      <c r="B509" s="367">
        <f t="shared" si="21"/>
        <v>-1</v>
      </c>
      <c r="D509" s="182"/>
      <c r="E509" s="182"/>
      <c r="F509" s="184"/>
      <c r="G509" s="182"/>
      <c r="H509" s="182"/>
      <c r="I509" s="182"/>
      <c r="J509" s="183"/>
      <c r="K509" s="183"/>
      <c r="L509" s="182"/>
      <c r="N509" s="367">
        <f t="shared" si="22"/>
        <v>0</v>
      </c>
      <c r="O509" s="368">
        <f t="shared" si="23"/>
        <v>0</v>
      </c>
      <c r="P509" s="606"/>
      <c r="Q509" s="606"/>
      <c r="R509" s="606"/>
      <c r="S509" s="606"/>
      <c r="T509" s="606"/>
      <c r="U509" s="606"/>
      <c r="V509" s="606"/>
      <c r="W509" s="606"/>
      <c r="X509" s="606"/>
      <c r="Y509" s="606"/>
      <c r="Z509" s="606"/>
      <c r="AA509" s="606"/>
      <c r="AB509" s="606"/>
      <c r="AC509" s="606"/>
      <c r="AD509" s="606"/>
    </row>
    <row r="510" spans="2:30">
      <c r="B510" s="367">
        <f t="shared" si="21"/>
        <v>-1</v>
      </c>
      <c r="D510" s="182"/>
      <c r="E510" s="182"/>
      <c r="F510" s="184"/>
      <c r="G510" s="182"/>
      <c r="H510" s="182"/>
      <c r="I510" s="182"/>
      <c r="J510" s="183"/>
      <c r="K510" s="183"/>
      <c r="L510" s="182"/>
      <c r="N510" s="367">
        <f t="shared" si="22"/>
        <v>0</v>
      </c>
      <c r="O510" s="368">
        <f t="shared" si="23"/>
        <v>0</v>
      </c>
      <c r="P510" s="606"/>
      <c r="Q510" s="606"/>
      <c r="R510" s="606"/>
      <c r="S510" s="606"/>
      <c r="T510" s="606"/>
      <c r="U510" s="606"/>
      <c r="V510" s="606"/>
      <c r="W510" s="606"/>
      <c r="X510" s="606"/>
      <c r="Y510" s="606"/>
      <c r="Z510" s="606"/>
      <c r="AA510" s="606"/>
      <c r="AB510" s="606"/>
      <c r="AC510" s="606"/>
      <c r="AD510" s="606"/>
    </row>
    <row r="511" spans="2:30">
      <c r="B511" s="367">
        <f t="shared" si="21"/>
        <v>-1</v>
      </c>
      <c r="D511" s="182"/>
      <c r="E511" s="182"/>
      <c r="F511" s="184"/>
      <c r="G511" s="182"/>
      <c r="H511" s="182"/>
      <c r="I511" s="182"/>
      <c r="J511" s="183"/>
      <c r="K511" s="183"/>
      <c r="L511" s="182"/>
      <c r="N511" s="367">
        <f t="shared" si="22"/>
        <v>0</v>
      </c>
      <c r="O511" s="368">
        <f t="shared" si="23"/>
        <v>0</v>
      </c>
      <c r="P511" s="606"/>
      <c r="Q511" s="606"/>
      <c r="R511" s="606"/>
      <c r="S511" s="606"/>
      <c r="T511" s="606"/>
      <c r="U511" s="606"/>
      <c r="V511" s="606"/>
      <c r="W511" s="606"/>
      <c r="X511" s="606"/>
      <c r="Y511" s="606"/>
      <c r="Z511" s="606"/>
      <c r="AA511" s="606"/>
      <c r="AB511" s="606"/>
      <c r="AC511" s="606"/>
      <c r="AD511" s="606"/>
    </row>
    <row r="512" spans="2:30">
      <c r="B512" s="367">
        <f t="shared" si="21"/>
        <v>-1</v>
      </c>
      <c r="D512" s="182"/>
      <c r="E512" s="182"/>
      <c r="F512" s="184"/>
      <c r="G512" s="182"/>
      <c r="H512" s="182"/>
      <c r="I512" s="182"/>
      <c r="J512" s="183"/>
      <c r="K512" s="183"/>
      <c r="L512" s="182"/>
      <c r="N512" s="367">
        <f t="shared" si="22"/>
        <v>0</v>
      </c>
      <c r="O512" s="368">
        <f t="shared" si="23"/>
        <v>0</v>
      </c>
      <c r="P512" s="606"/>
      <c r="Q512" s="606"/>
      <c r="R512" s="606"/>
      <c r="S512" s="606"/>
      <c r="T512" s="606"/>
      <c r="U512" s="606"/>
      <c r="V512" s="606"/>
      <c r="W512" s="606"/>
      <c r="X512" s="606"/>
      <c r="Y512" s="606"/>
      <c r="Z512" s="606"/>
      <c r="AA512" s="606"/>
      <c r="AB512" s="606"/>
      <c r="AC512" s="606"/>
      <c r="AD512" s="606"/>
    </row>
    <row r="513" spans="2:30">
      <c r="B513" s="367">
        <f t="shared" si="21"/>
        <v>-1</v>
      </c>
      <c r="D513" s="182"/>
      <c r="E513" s="182"/>
      <c r="F513" s="184"/>
      <c r="G513" s="182"/>
      <c r="H513" s="182"/>
      <c r="I513" s="182"/>
      <c r="J513" s="183"/>
      <c r="K513" s="183"/>
      <c r="L513" s="182"/>
      <c r="N513" s="367">
        <f t="shared" si="22"/>
        <v>0</v>
      </c>
      <c r="O513" s="368">
        <f t="shared" si="23"/>
        <v>0</v>
      </c>
      <c r="P513" s="606"/>
      <c r="Q513" s="606"/>
      <c r="R513" s="606"/>
      <c r="S513" s="606"/>
      <c r="T513" s="606"/>
      <c r="U513" s="606"/>
      <c r="V513" s="606"/>
      <c r="W513" s="606"/>
      <c r="X513" s="606"/>
      <c r="Y513" s="606"/>
      <c r="Z513" s="606"/>
      <c r="AA513" s="606"/>
      <c r="AB513" s="606"/>
      <c r="AC513" s="606"/>
      <c r="AD513" s="606"/>
    </row>
    <row r="514" spans="2:30">
      <c r="B514" s="367">
        <f t="shared" si="21"/>
        <v>-1</v>
      </c>
      <c r="D514" s="182"/>
      <c r="E514" s="182"/>
      <c r="F514" s="184"/>
      <c r="G514" s="182"/>
      <c r="H514" s="182"/>
      <c r="I514" s="182"/>
      <c r="J514" s="183"/>
      <c r="K514" s="183"/>
      <c r="L514" s="182"/>
      <c r="N514" s="367">
        <f t="shared" si="22"/>
        <v>0</v>
      </c>
      <c r="O514" s="368">
        <f t="shared" si="23"/>
        <v>0</v>
      </c>
      <c r="P514" s="606"/>
      <c r="Q514" s="606"/>
      <c r="R514" s="606"/>
      <c r="S514" s="606"/>
      <c r="T514" s="606"/>
      <c r="U514" s="606"/>
      <c r="V514" s="606"/>
      <c r="W514" s="606"/>
      <c r="X514" s="606"/>
      <c r="Y514" s="606"/>
      <c r="Z514" s="606"/>
      <c r="AA514" s="606"/>
      <c r="AB514" s="606"/>
      <c r="AC514" s="606"/>
      <c r="AD514" s="606"/>
    </row>
    <row r="515" spans="2:30">
      <c r="B515" s="367">
        <f t="shared" si="21"/>
        <v>-1</v>
      </c>
      <c r="D515" s="182"/>
      <c r="E515" s="182"/>
      <c r="F515" s="184"/>
      <c r="G515" s="182"/>
      <c r="H515" s="182"/>
      <c r="I515" s="182"/>
      <c r="J515" s="183"/>
      <c r="K515" s="183"/>
      <c r="L515" s="182"/>
      <c r="N515" s="367">
        <f t="shared" si="22"/>
        <v>0</v>
      </c>
      <c r="O515" s="368">
        <f t="shared" si="23"/>
        <v>0</v>
      </c>
      <c r="P515" s="606"/>
      <c r="Q515" s="606"/>
      <c r="R515" s="606"/>
      <c r="S515" s="606"/>
      <c r="T515" s="606"/>
      <c r="U515" s="606"/>
      <c r="V515" s="606"/>
      <c r="W515" s="606"/>
      <c r="X515" s="606"/>
      <c r="Y515" s="606"/>
      <c r="Z515" s="606"/>
      <c r="AA515" s="606"/>
      <c r="AB515" s="606"/>
      <c r="AC515" s="606"/>
      <c r="AD515" s="606"/>
    </row>
    <row r="516" spans="2:30">
      <c r="B516" s="367">
        <f t="shared" si="21"/>
        <v>-1</v>
      </c>
      <c r="D516" s="182"/>
      <c r="E516" s="182"/>
      <c r="F516" s="184"/>
      <c r="G516" s="182"/>
      <c r="H516" s="182"/>
      <c r="I516" s="182"/>
      <c r="J516" s="183"/>
      <c r="K516" s="183"/>
      <c r="L516" s="182"/>
      <c r="N516" s="367">
        <f t="shared" si="22"/>
        <v>0</v>
      </c>
      <c r="O516" s="368">
        <f t="shared" si="23"/>
        <v>0</v>
      </c>
      <c r="P516" s="606"/>
      <c r="Q516" s="606"/>
      <c r="R516" s="606"/>
      <c r="S516" s="606"/>
      <c r="T516" s="606"/>
      <c r="U516" s="606"/>
      <c r="V516" s="606"/>
      <c r="W516" s="606"/>
      <c r="X516" s="606"/>
      <c r="Y516" s="606"/>
      <c r="Z516" s="606"/>
      <c r="AA516" s="606"/>
      <c r="AB516" s="606"/>
      <c r="AC516" s="606"/>
      <c r="AD516" s="606"/>
    </row>
    <row r="517" spans="2:30">
      <c r="B517" s="367">
        <f t="shared" si="21"/>
        <v>-1</v>
      </c>
      <c r="D517" s="182"/>
      <c r="E517" s="182"/>
      <c r="F517" s="184"/>
      <c r="G517" s="182"/>
      <c r="H517" s="182"/>
      <c r="I517" s="182"/>
      <c r="J517" s="183"/>
      <c r="K517" s="183"/>
      <c r="L517" s="182"/>
      <c r="N517" s="367">
        <f t="shared" si="22"/>
        <v>0</v>
      </c>
      <c r="O517" s="368">
        <f t="shared" si="23"/>
        <v>0</v>
      </c>
      <c r="P517" s="606"/>
      <c r="Q517" s="606"/>
      <c r="R517" s="606"/>
      <c r="S517" s="606"/>
      <c r="T517" s="606"/>
      <c r="U517" s="606"/>
      <c r="V517" s="606"/>
      <c r="W517" s="606"/>
      <c r="X517" s="606"/>
      <c r="Y517" s="606"/>
      <c r="Z517" s="606"/>
      <c r="AA517" s="606"/>
      <c r="AB517" s="606"/>
      <c r="AC517" s="606"/>
      <c r="AD517" s="606"/>
    </row>
    <row r="518" spans="2:30">
      <c r="B518" s="367">
        <f t="shared" si="21"/>
        <v>-1</v>
      </c>
      <c r="D518" s="182"/>
      <c r="E518" s="182"/>
      <c r="F518" s="184"/>
      <c r="G518" s="182"/>
      <c r="H518" s="182"/>
      <c r="I518" s="182"/>
      <c r="J518" s="183"/>
      <c r="K518" s="183"/>
      <c r="L518" s="182"/>
      <c r="N518" s="367">
        <f t="shared" si="22"/>
        <v>0</v>
      </c>
      <c r="O518" s="368">
        <f t="shared" si="23"/>
        <v>0</v>
      </c>
      <c r="P518" s="606"/>
      <c r="Q518" s="606"/>
      <c r="R518" s="606"/>
      <c r="S518" s="606"/>
      <c r="T518" s="606"/>
      <c r="U518" s="606"/>
      <c r="V518" s="606"/>
      <c r="W518" s="606"/>
      <c r="X518" s="606"/>
      <c r="Y518" s="606"/>
      <c r="Z518" s="606"/>
      <c r="AA518" s="606"/>
      <c r="AB518" s="606"/>
      <c r="AC518" s="606"/>
      <c r="AD518" s="606"/>
    </row>
    <row r="519" spans="2:30">
      <c r="B519" s="367">
        <f t="shared" si="21"/>
        <v>-1</v>
      </c>
      <c r="D519" s="182"/>
      <c r="E519" s="182"/>
      <c r="F519" s="184"/>
      <c r="G519" s="182"/>
      <c r="H519" s="182"/>
      <c r="I519" s="182"/>
      <c r="J519" s="183"/>
      <c r="K519" s="183"/>
      <c r="L519" s="182"/>
      <c r="N519" s="367">
        <f t="shared" si="22"/>
        <v>0</v>
      </c>
      <c r="O519" s="368">
        <f t="shared" si="23"/>
        <v>0</v>
      </c>
      <c r="P519" s="606"/>
      <c r="Q519" s="606"/>
      <c r="R519" s="606"/>
      <c r="S519" s="606"/>
      <c r="T519" s="606"/>
      <c r="U519" s="606"/>
      <c r="V519" s="606"/>
      <c r="W519" s="606"/>
      <c r="X519" s="606"/>
      <c r="Y519" s="606"/>
      <c r="Z519" s="606"/>
      <c r="AA519" s="606"/>
      <c r="AB519" s="606"/>
      <c r="AC519" s="606"/>
      <c r="AD519" s="606"/>
    </row>
    <row r="520" spans="2:30">
      <c r="B520" s="367">
        <f t="shared" si="21"/>
        <v>-1</v>
      </c>
      <c r="D520" s="182"/>
      <c r="E520" s="182"/>
      <c r="F520" s="184"/>
      <c r="G520" s="182"/>
      <c r="H520" s="182"/>
      <c r="I520" s="182"/>
      <c r="J520" s="183"/>
      <c r="K520" s="183"/>
      <c r="L520" s="182"/>
      <c r="N520" s="367">
        <f t="shared" si="22"/>
        <v>0</v>
      </c>
      <c r="O520" s="368">
        <f t="shared" si="23"/>
        <v>0</v>
      </c>
      <c r="P520" s="606"/>
      <c r="Q520" s="606"/>
      <c r="R520" s="606"/>
      <c r="S520" s="606"/>
      <c r="T520" s="606"/>
      <c r="U520" s="606"/>
      <c r="V520" s="606"/>
      <c r="W520" s="606"/>
      <c r="X520" s="606"/>
      <c r="Y520" s="606"/>
      <c r="Z520" s="606"/>
      <c r="AA520" s="606"/>
      <c r="AB520" s="606"/>
      <c r="AC520" s="606"/>
      <c r="AD520" s="606"/>
    </row>
    <row r="521" spans="2:30">
      <c r="B521" s="367">
        <f t="shared" si="21"/>
        <v>-1</v>
      </c>
      <c r="D521" s="182"/>
      <c r="E521" s="182"/>
      <c r="F521" s="184"/>
      <c r="G521" s="182"/>
      <c r="H521" s="182"/>
      <c r="I521" s="182"/>
      <c r="J521" s="183"/>
      <c r="K521" s="183"/>
      <c r="L521" s="182"/>
      <c r="N521" s="367">
        <f t="shared" si="22"/>
        <v>0</v>
      </c>
      <c r="O521" s="368">
        <f t="shared" si="23"/>
        <v>0</v>
      </c>
      <c r="P521" s="606"/>
      <c r="Q521" s="606"/>
      <c r="R521" s="606"/>
      <c r="S521" s="606"/>
      <c r="T521" s="606"/>
      <c r="U521" s="606"/>
      <c r="V521" s="606"/>
      <c r="W521" s="606"/>
      <c r="X521" s="606"/>
      <c r="Y521" s="606"/>
      <c r="Z521" s="606"/>
      <c r="AA521" s="606"/>
      <c r="AB521" s="606"/>
      <c r="AC521" s="606"/>
      <c r="AD521" s="606"/>
    </row>
    <row r="522" spans="2:30">
      <c r="B522" s="367">
        <f t="shared" ref="B522:B585" si="24">IF(G522="buy",1,-1)</f>
        <v>-1</v>
      </c>
      <c r="D522" s="182"/>
      <c r="E522" s="182"/>
      <c r="F522" s="184"/>
      <c r="G522" s="182"/>
      <c r="H522" s="182"/>
      <c r="I522" s="182"/>
      <c r="J522" s="183"/>
      <c r="K522" s="183"/>
      <c r="L522" s="182"/>
      <c r="N522" s="367">
        <f t="shared" ref="N522:N585" si="25">+H522*((K522-J522)+1)*B522</f>
        <v>0</v>
      </c>
      <c r="O522" s="368">
        <f t="shared" ref="O522:O585" si="26">N522*L522/100</f>
        <v>0</v>
      </c>
      <c r="P522" s="606"/>
      <c r="Q522" s="606"/>
      <c r="R522" s="606"/>
      <c r="S522" s="606"/>
      <c r="T522" s="606"/>
      <c r="U522" s="606"/>
      <c r="V522" s="606"/>
      <c r="W522" s="606"/>
      <c r="X522" s="606"/>
      <c r="Y522" s="606"/>
      <c r="Z522" s="606"/>
      <c r="AA522" s="606"/>
      <c r="AB522" s="606"/>
      <c r="AC522" s="606"/>
      <c r="AD522" s="606"/>
    </row>
    <row r="523" spans="2:30">
      <c r="B523" s="367">
        <f t="shared" si="24"/>
        <v>-1</v>
      </c>
      <c r="D523" s="182"/>
      <c r="E523" s="182"/>
      <c r="F523" s="184"/>
      <c r="G523" s="182"/>
      <c r="H523" s="182"/>
      <c r="I523" s="182"/>
      <c r="J523" s="183"/>
      <c r="K523" s="183"/>
      <c r="L523" s="182"/>
      <c r="N523" s="367">
        <f t="shared" si="25"/>
        <v>0</v>
      </c>
      <c r="O523" s="368">
        <f t="shared" si="26"/>
        <v>0</v>
      </c>
      <c r="Q523" s="364"/>
      <c r="R523" s="364"/>
      <c r="S523" s="364"/>
      <c r="T523" s="364"/>
      <c r="U523" s="364"/>
      <c r="V523" s="364"/>
      <c r="W523" s="364"/>
      <c r="X523" s="364"/>
      <c r="Y523" s="364"/>
      <c r="Z523" s="364"/>
      <c r="AA523" s="364"/>
      <c r="AB523" s="364"/>
      <c r="AC523" s="364"/>
      <c r="AD523" s="364"/>
    </row>
    <row r="524" spans="2:30">
      <c r="B524" s="367">
        <f t="shared" si="24"/>
        <v>-1</v>
      </c>
      <c r="D524" s="182"/>
      <c r="E524" s="182"/>
      <c r="F524" s="184"/>
      <c r="G524" s="182"/>
      <c r="H524" s="182"/>
      <c r="I524" s="182"/>
      <c r="J524" s="183"/>
      <c r="K524" s="183"/>
      <c r="L524" s="182"/>
      <c r="N524" s="367">
        <f t="shared" si="25"/>
        <v>0</v>
      </c>
      <c r="O524" s="368">
        <f t="shared" si="26"/>
        <v>0</v>
      </c>
      <c r="Q524" s="364"/>
      <c r="R524" s="364"/>
      <c r="S524" s="364"/>
      <c r="T524" s="364"/>
      <c r="U524" s="364"/>
      <c r="V524" s="364"/>
      <c r="W524" s="364"/>
      <c r="X524" s="364"/>
      <c r="Y524" s="364"/>
      <c r="Z524" s="364"/>
      <c r="AA524" s="364"/>
      <c r="AB524" s="364"/>
      <c r="AC524" s="364"/>
      <c r="AD524" s="364"/>
    </row>
    <row r="525" spans="2:30">
      <c r="B525" s="367">
        <f t="shared" si="24"/>
        <v>-1</v>
      </c>
      <c r="D525" s="182"/>
      <c r="E525" s="182"/>
      <c r="F525" s="184"/>
      <c r="G525" s="182"/>
      <c r="H525" s="182"/>
      <c r="I525" s="182"/>
      <c r="J525" s="183"/>
      <c r="K525" s="183"/>
      <c r="L525" s="182"/>
      <c r="N525" s="367">
        <f t="shared" si="25"/>
        <v>0</v>
      </c>
      <c r="O525" s="368">
        <f t="shared" si="26"/>
        <v>0</v>
      </c>
      <c r="Q525" s="364"/>
      <c r="R525" s="364"/>
      <c r="S525" s="364"/>
      <c r="T525" s="364"/>
      <c r="U525" s="364"/>
      <c r="V525" s="364"/>
      <c r="W525" s="364"/>
      <c r="X525" s="364"/>
      <c r="Y525" s="364"/>
      <c r="Z525" s="364"/>
      <c r="AA525" s="364"/>
      <c r="AB525" s="364"/>
      <c r="AC525" s="364"/>
      <c r="AD525" s="364"/>
    </row>
    <row r="526" spans="2:30">
      <c r="B526" s="367">
        <f t="shared" si="24"/>
        <v>-1</v>
      </c>
      <c r="D526" s="182"/>
      <c r="E526" s="182"/>
      <c r="F526" s="184"/>
      <c r="G526" s="182"/>
      <c r="H526" s="182"/>
      <c r="I526" s="182"/>
      <c r="J526" s="183"/>
      <c r="K526" s="183"/>
      <c r="L526" s="182"/>
      <c r="N526" s="367">
        <f t="shared" si="25"/>
        <v>0</v>
      </c>
      <c r="O526" s="368">
        <f t="shared" si="26"/>
        <v>0</v>
      </c>
      <c r="Q526" s="364"/>
      <c r="R526" s="364"/>
      <c r="S526" s="364"/>
      <c r="T526" s="364"/>
      <c r="U526" s="364"/>
      <c r="V526" s="364"/>
      <c r="W526" s="364"/>
      <c r="X526" s="364"/>
      <c r="Y526" s="364"/>
      <c r="Z526" s="364"/>
      <c r="AA526" s="364"/>
      <c r="AB526" s="364"/>
      <c r="AC526" s="364"/>
      <c r="AD526" s="364"/>
    </row>
    <row r="527" spans="2:30">
      <c r="B527" s="367">
        <f t="shared" si="24"/>
        <v>-1</v>
      </c>
      <c r="D527" s="182"/>
      <c r="E527" s="182"/>
      <c r="F527" s="184"/>
      <c r="G527" s="182"/>
      <c r="H527" s="182"/>
      <c r="I527" s="182"/>
      <c r="J527" s="183"/>
      <c r="K527" s="183"/>
      <c r="L527" s="182"/>
      <c r="N527" s="367">
        <f t="shared" si="25"/>
        <v>0</v>
      </c>
      <c r="O527" s="368">
        <f t="shared" si="26"/>
        <v>0</v>
      </c>
      <c r="Q527" s="364"/>
      <c r="R527" s="364"/>
      <c r="S527" s="364"/>
      <c r="T527" s="364"/>
      <c r="U527" s="364"/>
      <c r="V527" s="364"/>
      <c r="W527" s="364"/>
      <c r="X527" s="364"/>
      <c r="Y527" s="364"/>
      <c r="Z527" s="364"/>
      <c r="AA527" s="364"/>
      <c r="AB527" s="364"/>
      <c r="AC527" s="364"/>
      <c r="AD527" s="364"/>
    </row>
    <row r="528" spans="2:30">
      <c r="B528" s="367">
        <f t="shared" si="24"/>
        <v>-1</v>
      </c>
      <c r="D528" s="182"/>
      <c r="E528" s="182"/>
      <c r="F528" s="184"/>
      <c r="G528" s="182"/>
      <c r="H528" s="182"/>
      <c r="I528" s="182"/>
      <c r="J528" s="183"/>
      <c r="K528" s="183"/>
      <c r="L528" s="182"/>
      <c r="N528" s="367">
        <f t="shared" si="25"/>
        <v>0</v>
      </c>
      <c r="O528" s="368">
        <f t="shared" si="26"/>
        <v>0</v>
      </c>
      <c r="Q528" s="364"/>
      <c r="R528" s="364"/>
      <c r="S528" s="364"/>
      <c r="T528" s="364"/>
      <c r="U528" s="364"/>
      <c r="V528" s="364"/>
      <c r="W528" s="364"/>
      <c r="X528" s="364"/>
      <c r="Y528" s="364"/>
      <c r="Z528" s="364"/>
      <c r="AA528" s="364"/>
      <c r="AB528" s="364"/>
      <c r="AC528" s="364"/>
      <c r="AD528" s="364"/>
    </row>
    <row r="529" spans="2:30">
      <c r="B529" s="367">
        <f t="shared" si="24"/>
        <v>-1</v>
      </c>
      <c r="D529" s="182"/>
      <c r="E529" s="182"/>
      <c r="F529" s="184"/>
      <c r="G529" s="182"/>
      <c r="H529" s="182"/>
      <c r="I529" s="182"/>
      <c r="J529" s="183"/>
      <c r="K529" s="183"/>
      <c r="L529" s="182"/>
      <c r="N529" s="367">
        <f t="shared" si="25"/>
        <v>0</v>
      </c>
      <c r="O529" s="368">
        <f t="shared" si="26"/>
        <v>0</v>
      </c>
      <c r="Q529" s="364"/>
      <c r="R529" s="364"/>
      <c r="S529" s="364"/>
      <c r="T529" s="364"/>
      <c r="U529" s="364"/>
      <c r="V529" s="364"/>
      <c r="W529" s="364"/>
      <c r="X529" s="364"/>
      <c r="Y529" s="364"/>
      <c r="Z529" s="364"/>
      <c r="AA529" s="364"/>
      <c r="AB529" s="364"/>
      <c r="AC529" s="364"/>
      <c r="AD529" s="364"/>
    </row>
    <row r="530" spans="2:30">
      <c r="B530" s="367">
        <f t="shared" si="24"/>
        <v>-1</v>
      </c>
      <c r="D530" s="182"/>
      <c r="E530" s="182"/>
      <c r="F530" s="184"/>
      <c r="G530" s="182"/>
      <c r="H530" s="182"/>
      <c r="I530" s="182"/>
      <c r="J530" s="183"/>
      <c r="K530" s="183"/>
      <c r="L530" s="182"/>
      <c r="N530" s="367">
        <f t="shared" si="25"/>
        <v>0</v>
      </c>
      <c r="O530" s="368">
        <f t="shared" si="26"/>
        <v>0</v>
      </c>
      <c r="Q530" s="364"/>
      <c r="R530" s="364"/>
      <c r="S530" s="364"/>
      <c r="T530" s="364"/>
      <c r="U530" s="364"/>
      <c r="V530" s="364"/>
      <c r="W530" s="364"/>
      <c r="X530" s="364"/>
      <c r="Y530" s="364"/>
      <c r="Z530" s="364"/>
      <c r="AA530" s="364"/>
      <c r="AB530" s="364"/>
      <c r="AC530" s="364"/>
      <c r="AD530" s="364"/>
    </row>
    <row r="531" spans="2:30">
      <c r="B531" s="367">
        <f t="shared" si="24"/>
        <v>-1</v>
      </c>
      <c r="D531" s="182"/>
      <c r="E531" s="182"/>
      <c r="F531" s="184"/>
      <c r="G531" s="182"/>
      <c r="H531" s="182"/>
      <c r="I531" s="182"/>
      <c r="J531" s="183"/>
      <c r="K531" s="183"/>
      <c r="L531" s="182"/>
      <c r="N531" s="367">
        <f t="shared" si="25"/>
        <v>0</v>
      </c>
      <c r="O531" s="368">
        <f t="shared" si="26"/>
        <v>0</v>
      </c>
      <c r="Q531" s="364"/>
      <c r="R531" s="364"/>
      <c r="S531" s="364"/>
      <c r="T531" s="364"/>
      <c r="U531" s="364"/>
      <c r="V531" s="364"/>
      <c r="W531" s="364"/>
      <c r="X531" s="364"/>
      <c r="Y531" s="364"/>
      <c r="Z531" s="364"/>
      <c r="AA531" s="364"/>
      <c r="AB531" s="364"/>
      <c r="AC531" s="364"/>
      <c r="AD531" s="364"/>
    </row>
    <row r="532" spans="2:30">
      <c r="B532" s="367">
        <f t="shared" si="24"/>
        <v>-1</v>
      </c>
      <c r="D532" s="182"/>
      <c r="E532" s="182"/>
      <c r="F532" s="184"/>
      <c r="G532" s="182"/>
      <c r="H532" s="182"/>
      <c r="I532" s="182"/>
      <c r="J532" s="183"/>
      <c r="K532" s="183"/>
      <c r="L532" s="182"/>
      <c r="N532" s="367">
        <f t="shared" si="25"/>
        <v>0</v>
      </c>
      <c r="O532" s="368">
        <f t="shared" si="26"/>
        <v>0</v>
      </c>
      <c r="Q532" s="364"/>
      <c r="R532" s="364"/>
      <c r="S532" s="364"/>
      <c r="T532" s="364"/>
      <c r="U532" s="364"/>
      <c r="V532" s="364"/>
      <c r="W532" s="364"/>
      <c r="X532" s="364"/>
      <c r="Y532" s="364"/>
      <c r="Z532" s="364"/>
      <c r="AA532" s="364"/>
      <c r="AB532" s="364"/>
      <c r="AC532" s="364"/>
      <c r="AD532" s="364"/>
    </row>
    <row r="533" spans="2:30">
      <c r="B533" s="367">
        <f t="shared" si="24"/>
        <v>-1</v>
      </c>
      <c r="D533" s="182"/>
      <c r="E533" s="182"/>
      <c r="F533" s="184"/>
      <c r="G533" s="182"/>
      <c r="H533" s="182"/>
      <c r="I533" s="182"/>
      <c r="J533" s="183"/>
      <c r="K533" s="183"/>
      <c r="L533" s="182"/>
      <c r="N533" s="367">
        <f t="shared" si="25"/>
        <v>0</v>
      </c>
      <c r="O533" s="368">
        <f t="shared" si="26"/>
        <v>0</v>
      </c>
      <c r="Q533" s="364"/>
      <c r="R533" s="364"/>
      <c r="S533" s="364"/>
      <c r="T533" s="364"/>
      <c r="U533" s="364"/>
      <c r="V533" s="364"/>
      <c r="W533" s="364"/>
      <c r="X533" s="364"/>
      <c r="Y533" s="364"/>
      <c r="Z533" s="364"/>
      <c r="AA533" s="364"/>
      <c r="AB533" s="364"/>
      <c r="AC533" s="364"/>
      <c r="AD533" s="364"/>
    </row>
    <row r="534" spans="2:30">
      <c r="B534" s="367">
        <f t="shared" si="24"/>
        <v>-1</v>
      </c>
      <c r="D534" s="182"/>
      <c r="E534" s="182"/>
      <c r="F534" s="184"/>
      <c r="G534" s="182"/>
      <c r="H534" s="182"/>
      <c r="I534" s="182"/>
      <c r="J534" s="183"/>
      <c r="K534" s="183"/>
      <c r="L534" s="182"/>
      <c r="N534" s="367">
        <f t="shared" si="25"/>
        <v>0</v>
      </c>
      <c r="O534" s="368">
        <f t="shared" si="26"/>
        <v>0</v>
      </c>
      <c r="Q534" s="364"/>
      <c r="R534" s="364"/>
      <c r="S534" s="364"/>
      <c r="T534" s="364"/>
      <c r="U534" s="364"/>
      <c r="V534" s="364"/>
      <c r="W534" s="364"/>
      <c r="X534" s="364"/>
      <c r="Y534" s="364"/>
      <c r="Z534" s="364"/>
      <c r="AA534" s="364"/>
      <c r="AB534" s="364"/>
      <c r="AC534" s="364"/>
      <c r="AD534" s="364"/>
    </row>
    <row r="535" spans="2:30">
      <c r="B535" s="367">
        <f t="shared" si="24"/>
        <v>-1</v>
      </c>
      <c r="D535" s="182"/>
      <c r="E535" s="182"/>
      <c r="F535" s="184"/>
      <c r="G535" s="182"/>
      <c r="H535" s="182"/>
      <c r="I535" s="182"/>
      <c r="J535" s="183"/>
      <c r="K535" s="183"/>
      <c r="L535" s="182"/>
      <c r="N535" s="367">
        <f t="shared" si="25"/>
        <v>0</v>
      </c>
      <c r="O535" s="368">
        <f t="shared" si="26"/>
        <v>0</v>
      </c>
      <c r="Q535" s="364"/>
      <c r="R535" s="364"/>
      <c r="S535" s="364"/>
      <c r="T535" s="364"/>
      <c r="U535" s="364"/>
      <c r="V535" s="364"/>
      <c r="W535" s="364"/>
      <c r="X535" s="364"/>
      <c r="Y535" s="364"/>
      <c r="Z535" s="364"/>
      <c r="AA535" s="364"/>
      <c r="AB535" s="364"/>
      <c r="AC535" s="364"/>
      <c r="AD535" s="364"/>
    </row>
    <row r="536" spans="2:30">
      <c r="B536" s="367">
        <f t="shared" si="24"/>
        <v>-1</v>
      </c>
      <c r="D536" s="182"/>
      <c r="E536" s="182"/>
      <c r="F536" s="184"/>
      <c r="G536" s="182"/>
      <c r="H536" s="182"/>
      <c r="I536" s="182"/>
      <c r="J536" s="183"/>
      <c r="K536" s="183"/>
      <c r="L536" s="182"/>
      <c r="N536" s="367">
        <f t="shared" si="25"/>
        <v>0</v>
      </c>
      <c r="O536" s="368">
        <f t="shared" si="26"/>
        <v>0</v>
      </c>
      <c r="Q536" s="364"/>
      <c r="R536" s="364"/>
      <c r="S536" s="364"/>
      <c r="T536" s="364"/>
      <c r="U536" s="364"/>
      <c r="V536" s="364"/>
      <c r="W536" s="364"/>
      <c r="X536" s="364"/>
      <c r="Y536" s="364"/>
      <c r="Z536" s="364"/>
      <c r="AA536" s="364"/>
      <c r="AB536" s="364"/>
      <c r="AC536" s="364"/>
      <c r="AD536" s="364"/>
    </row>
    <row r="537" spans="2:30">
      <c r="B537" s="367">
        <f t="shared" si="24"/>
        <v>-1</v>
      </c>
      <c r="D537" s="182"/>
      <c r="E537" s="182"/>
      <c r="F537" s="184"/>
      <c r="G537" s="182"/>
      <c r="H537" s="182"/>
      <c r="I537" s="182"/>
      <c r="J537" s="183"/>
      <c r="K537" s="183"/>
      <c r="L537" s="182"/>
      <c r="N537" s="367">
        <f t="shared" si="25"/>
        <v>0</v>
      </c>
      <c r="O537" s="368">
        <f t="shared" si="26"/>
        <v>0</v>
      </c>
      <c r="Q537" s="364"/>
      <c r="R537" s="364"/>
      <c r="S537" s="364"/>
      <c r="T537" s="364"/>
      <c r="U537" s="364"/>
      <c r="V537" s="364"/>
      <c r="W537" s="364"/>
      <c r="X537" s="364"/>
      <c r="Y537" s="364"/>
      <c r="Z537" s="364"/>
      <c r="AA537" s="364"/>
      <c r="AB537" s="364"/>
      <c r="AC537" s="364"/>
      <c r="AD537" s="364"/>
    </row>
    <row r="538" spans="2:30">
      <c r="B538" s="367">
        <f t="shared" si="24"/>
        <v>-1</v>
      </c>
      <c r="D538" s="182"/>
      <c r="E538" s="182"/>
      <c r="F538" s="184"/>
      <c r="G538" s="182"/>
      <c r="H538" s="182"/>
      <c r="I538" s="182"/>
      <c r="J538" s="183"/>
      <c r="K538" s="183"/>
      <c r="L538" s="182"/>
      <c r="N538" s="367">
        <f t="shared" si="25"/>
        <v>0</v>
      </c>
      <c r="O538" s="368">
        <f t="shared" si="26"/>
        <v>0</v>
      </c>
      <c r="Q538" s="364"/>
      <c r="R538" s="364"/>
      <c r="S538" s="364"/>
      <c r="T538" s="364"/>
      <c r="U538" s="364"/>
      <c r="V538" s="364"/>
      <c r="W538" s="364"/>
      <c r="X538" s="364"/>
      <c r="Y538" s="364"/>
      <c r="Z538" s="364"/>
      <c r="AA538" s="364"/>
      <c r="AB538" s="364"/>
      <c r="AC538" s="364"/>
      <c r="AD538" s="364"/>
    </row>
    <row r="539" spans="2:30">
      <c r="B539" s="367">
        <f t="shared" si="24"/>
        <v>-1</v>
      </c>
      <c r="D539" s="182"/>
      <c r="E539" s="182"/>
      <c r="F539" s="184"/>
      <c r="G539" s="182"/>
      <c r="H539" s="182"/>
      <c r="I539" s="182"/>
      <c r="J539" s="183"/>
      <c r="K539" s="183"/>
      <c r="L539" s="182"/>
      <c r="N539" s="367">
        <f t="shared" si="25"/>
        <v>0</v>
      </c>
      <c r="O539" s="368">
        <f t="shared" si="26"/>
        <v>0</v>
      </c>
      <c r="Q539" s="364"/>
      <c r="R539" s="364"/>
      <c r="S539" s="364"/>
      <c r="T539" s="364"/>
      <c r="U539" s="364"/>
      <c r="V539" s="364"/>
      <c r="W539" s="364"/>
      <c r="X539" s="364"/>
      <c r="Y539" s="364"/>
      <c r="Z539" s="364"/>
      <c r="AA539" s="364"/>
      <c r="AB539" s="364"/>
      <c r="AC539" s="364"/>
      <c r="AD539" s="364"/>
    </row>
    <row r="540" spans="2:30">
      <c r="B540" s="367">
        <f t="shared" si="24"/>
        <v>-1</v>
      </c>
      <c r="D540" s="182"/>
      <c r="E540" s="182"/>
      <c r="F540" s="184"/>
      <c r="G540" s="182"/>
      <c r="H540" s="182"/>
      <c r="I540" s="182"/>
      <c r="J540" s="183"/>
      <c r="K540" s="183"/>
      <c r="L540" s="182"/>
      <c r="N540" s="367">
        <f t="shared" si="25"/>
        <v>0</v>
      </c>
      <c r="O540" s="368">
        <f t="shared" si="26"/>
        <v>0</v>
      </c>
      <c r="Q540" s="364"/>
      <c r="R540" s="364"/>
      <c r="S540" s="364"/>
      <c r="T540" s="364"/>
      <c r="U540" s="364"/>
      <c r="V540" s="364"/>
      <c r="W540" s="364"/>
      <c r="X540" s="364"/>
      <c r="Y540" s="364"/>
      <c r="Z540" s="364"/>
      <c r="AA540" s="364"/>
      <c r="AB540" s="364"/>
      <c r="AC540" s="364"/>
      <c r="AD540" s="364"/>
    </row>
    <row r="541" spans="2:30">
      <c r="B541" s="367">
        <f t="shared" si="24"/>
        <v>-1</v>
      </c>
      <c r="D541" s="182"/>
      <c r="E541" s="182"/>
      <c r="F541" s="184"/>
      <c r="G541" s="182"/>
      <c r="H541" s="182"/>
      <c r="I541" s="182"/>
      <c r="J541" s="183"/>
      <c r="K541" s="183"/>
      <c r="L541" s="182"/>
      <c r="N541" s="367">
        <f t="shared" si="25"/>
        <v>0</v>
      </c>
      <c r="O541" s="368">
        <f t="shared" si="26"/>
        <v>0</v>
      </c>
      <c r="Q541" s="364"/>
      <c r="R541" s="364"/>
      <c r="S541" s="364"/>
      <c r="T541" s="364"/>
      <c r="U541" s="364"/>
      <c r="V541" s="364"/>
      <c r="W541" s="364"/>
      <c r="X541" s="364"/>
      <c r="Y541" s="364"/>
      <c r="Z541" s="364"/>
      <c r="AA541" s="364"/>
      <c r="AB541" s="364"/>
      <c r="AC541" s="364"/>
      <c r="AD541" s="364"/>
    </row>
    <row r="542" spans="2:30">
      <c r="B542" s="367">
        <f t="shared" si="24"/>
        <v>-1</v>
      </c>
      <c r="D542" s="182"/>
      <c r="E542" s="182"/>
      <c r="F542" s="184"/>
      <c r="G542" s="182"/>
      <c r="H542" s="182"/>
      <c r="I542" s="182"/>
      <c r="J542" s="183"/>
      <c r="K542" s="183"/>
      <c r="L542" s="182"/>
      <c r="N542" s="367">
        <f t="shared" si="25"/>
        <v>0</v>
      </c>
      <c r="O542" s="368">
        <f t="shared" si="26"/>
        <v>0</v>
      </c>
      <c r="Q542" s="364"/>
      <c r="R542" s="364"/>
      <c r="S542" s="364"/>
      <c r="T542" s="364"/>
      <c r="U542" s="364"/>
      <c r="V542" s="364"/>
      <c r="W542" s="364"/>
      <c r="X542" s="364"/>
      <c r="Y542" s="364"/>
      <c r="Z542" s="364"/>
      <c r="AA542" s="364"/>
      <c r="AB542" s="364"/>
      <c r="AC542" s="364"/>
      <c r="AD542" s="364"/>
    </row>
    <row r="543" spans="2:30">
      <c r="B543" s="367">
        <f t="shared" si="24"/>
        <v>-1</v>
      </c>
      <c r="D543" s="182"/>
      <c r="E543" s="182"/>
      <c r="F543" s="184"/>
      <c r="G543" s="182"/>
      <c r="H543" s="182"/>
      <c r="I543" s="182"/>
      <c r="J543" s="183"/>
      <c r="K543" s="183"/>
      <c r="L543" s="182"/>
      <c r="N543" s="367">
        <f t="shared" si="25"/>
        <v>0</v>
      </c>
      <c r="O543" s="368">
        <f t="shared" si="26"/>
        <v>0</v>
      </c>
      <c r="Q543" s="364"/>
      <c r="R543" s="364"/>
      <c r="S543" s="364"/>
      <c r="T543" s="364"/>
      <c r="U543" s="364"/>
      <c r="V543" s="364"/>
      <c r="W543" s="364"/>
      <c r="X543" s="364"/>
      <c r="Y543" s="364"/>
      <c r="Z543" s="364"/>
      <c r="AA543" s="364"/>
      <c r="AB543" s="364"/>
      <c r="AC543" s="364"/>
      <c r="AD543" s="364"/>
    </row>
    <row r="544" spans="2:30">
      <c r="B544" s="367">
        <f t="shared" si="24"/>
        <v>-1</v>
      </c>
      <c r="D544" s="182"/>
      <c r="E544" s="182"/>
      <c r="F544" s="184"/>
      <c r="G544" s="182"/>
      <c r="H544" s="182"/>
      <c r="I544" s="182"/>
      <c r="J544" s="183"/>
      <c r="K544" s="183"/>
      <c r="L544" s="182"/>
      <c r="N544" s="367">
        <f t="shared" si="25"/>
        <v>0</v>
      </c>
      <c r="O544" s="368">
        <f t="shared" si="26"/>
        <v>0</v>
      </c>
      <c r="Q544" s="364"/>
      <c r="R544" s="364"/>
      <c r="S544" s="364"/>
      <c r="T544" s="364"/>
      <c r="U544" s="364"/>
      <c r="V544" s="364"/>
      <c r="W544" s="364"/>
      <c r="X544" s="364"/>
      <c r="Y544" s="364"/>
      <c r="Z544" s="364"/>
      <c r="AA544" s="364"/>
      <c r="AB544" s="364"/>
      <c r="AC544" s="364"/>
      <c r="AD544" s="364"/>
    </row>
    <row r="545" spans="2:30">
      <c r="B545" s="367">
        <f t="shared" si="24"/>
        <v>-1</v>
      </c>
      <c r="D545" s="182"/>
      <c r="E545" s="182"/>
      <c r="F545" s="184"/>
      <c r="G545" s="182"/>
      <c r="H545" s="182"/>
      <c r="I545" s="182"/>
      <c r="J545" s="183"/>
      <c r="K545" s="183"/>
      <c r="L545" s="182"/>
      <c r="N545" s="367">
        <f t="shared" si="25"/>
        <v>0</v>
      </c>
      <c r="O545" s="368">
        <f t="shared" si="26"/>
        <v>0</v>
      </c>
      <c r="Q545" s="364"/>
      <c r="R545" s="364"/>
      <c r="S545" s="364"/>
      <c r="T545" s="364"/>
      <c r="U545" s="364"/>
      <c r="V545" s="364"/>
      <c r="W545" s="364"/>
      <c r="X545" s="364"/>
      <c r="Y545" s="364"/>
      <c r="Z545" s="364"/>
      <c r="AA545" s="364"/>
      <c r="AB545" s="364"/>
      <c r="AC545" s="364"/>
      <c r="AD545" s="364"/>
    </row>
    <row r="546" spans="2:30">
      <c r="B546" s="367">
        <f t="shared" si="24"/>
        <v>-1</v>
      </c>
      <c r="D546" s="182"/>
      <c r="E546" s="182"/>
      <c r="F546" s="184"/>
      <c r="G546" s="182"/>
      <c r="H546" s="182"/>
      <c r="I546" s="182"/>
      <c r="J546" s="183"/>
      <c r="K546" s="183"/>
      <c r="L546" s="182"/>
      <c r="N546" s="367">
        <f t="shared" si="25"/>
        <v>0</v>
      </c>
      <c r="O546" s="368">
        <f t="shared" si="26"/>
        <v>0</v>
      </c>
      <c r="Q546" s="364"/>
      <c r="R546" s="364"/>
      <c r="S546" s="364"/>
      <c r="T546" s="364"/>
      <c r="U546" s="364"/>
      <c r="V546" s="364"/>
      <c r="W546" s="364"/>
      <c r="X546" s="364"/>
      <c r="Y546" s="364"/>
      <c r="Z546" s="364"/>
      <c r="AA546" s="364"/>
      <c r="AB546" s="364"/>
      <c r="AC546" s="364"/>
      <c r="AD546" s="364"/>
    </row>
    <row r="547" spans="2:30">
      <c r="B547" s="367">
        <f t="shared" si="24"/>
        <v>-1</v>
      </c>
      <c r="D547" s="182"/>
      <c r="E547" s="182"/>
      <c r="F547" s="184"/>
      <c r="G547" s="182"/>
      <c r="H547" s="182"/>
      <c r="I547" s="182"/>
      <c r="J547" s="183"/>
      <c r="K547" s="183"/>
      <c r="L547" s="182"/>
      <c r="N547" s="367">
        <f t="shared" si="25"/>
        <v>0</v>
      </c>
      <c r="O547" s="368">
        <f t="shared" si="26"/>
        <v>0</v>
      </c>
      <c r="Q547" s="364"/>
      <c r="R547" s="364"/>
      <c r="S547" s="364"/>
      <c r="T547" s="364"/>
      <c r="U547" s="364"/>
      <c r="V547" s="364"/>
      <c r="W547" s="364"/>
      <c r="X547" s="364"/>
      <c r="Y547" s="364"/>
      <c r="Z547" s="364"/>
      <c r="AA547" s="364"/>
      <c r="AB547" s="364"/>
      <c r="AC547" s="364"/>
      <c r="AD547" s="364"/>
    </row>
    <row r="548" spans="2:30">
      <c r="B548" s="367">
        <f t="shared" si="24"/>
        <v>-1</v>
      </c>
      <c r="D548" s="182"/>
      <c r="E548" s="182"/>
      <c r="F548" s="184"/>
      <c r="G548" s="182"/>
      <c r="H548" s="182"/>
      <c r="I548" s="182"/>
      <c r="J548" s="183"/>
      <c r="K548" s="183"/>
      <c r="L548" s="182"/>
      <c r="N548" s="367">
        <f t="shared" si="25"/>
        <v>0</v>
      </c>
      <c r="O548" s="368">
        <f t="shared" si="26"/>
        <v>0</v>
      </c>
      <c r="Q548" s="364"/>
      <c r="R548" s="364"/>
      <c r="S548" s="364"/>
      <c r="T548" s="364"/>
      <c r="U548" s="364"/>
      <c r="V548" s="364"/>
      <c r="W548" s="364"/>
      <c r="X548" s="364"/>
      <c r="Y548" s="364"/>
      <c r="Z548" s="364"/>
      <c r="AA548" s="364"/>
      <c r="AB548" s="364"/>
      <c r="AC548" s="364"/>
      <c r="AD548" s="364"/>
    </row>
    <row r="549" spans="2:30">
      <c r="B549" s="367">
        <f t="shared" si="24"/>
        <v>-1</v>
      </c>
      <c r="D549" s="182"/>
      <c r="E549" s="182"/>
      <c r="F549" s="184"/>
      <c r="G549" s="182"/>
      <c r="H549" s="182"/>
      <c r="I549" s="182"/>
      <c r="J549" s="183"/>
      <c r="K549" s="183"/>
      <c r="L549" s="182"/>
      <c r="N549" s="367">
        <f t="shared" si="25"/>
        <v>0</v>
      </c>
      <c r="O549" s="368">
        <f t="shared" si="26"/>
        <v>0</v>
      </c>
      <c r="Q549" s="364"/>
      <c r="R549" s="364"/>
      <c r="S549" s="364"/>
      <c r="T549" s="364"/>
      <c r="U549" s="364"/>
      <c r="V549" s="364"/>
      <c r="W549" s="364"/>
      <c r="X549" s="364"/>
      <c r="Y549" s="364"/>
      <c r="Z549" s="364"/>
      <c r="AA549" s="364"/>
      <c r="AB549" s="364"/>
      <c r="AC549" s="364"/>
      <c r="AD549" s="364"/>
    </row>
    <row r="550" spans="2:30">
      <c r="B550" s="367">
        <f t="shared" si="24"/>
        <v>-1</v>
      </c>
      <c r="D550" s="182"/>
      <c r="E550" s="182"/>
      <c r="F550" s="184"/>
      <c r="G550" s="182"/>
      <c r="H550" s="182"/>
      <c r="I550" s="182"/>
      <c r="J550" s="183"/>
      <c r="K550" s="183"/>
      <c r="L550" s="182"/>
      <c r="N550" s="367">
        <f t="shared" si="25"/>
        <v>0</v>
      </c>
      <c r="O550" s="368">
        <f t="shared" si="26"/>
        <v>0</v>
      </c>
      <c r="Q550" s="364"/>
      <c r="R550" s="364"/>
      <c r="S550" s="364"/>
      <c r="T550" s="364"/>
      <c r="U550" s="364"/>
      <c r="V550" s="364"/>
      <c r="W550" s="364"/>
      <c r="X550" s="364"/>
      <c r="Y550" s="364"/>
      <c r="Z550" s="364"/>
      <c r="AA550" s="364"/>
      <c r="AB550" s="364"/>
      <c r="AC550" s="364"/>
      <c r="AD550" s="364"/>
    </row>
    <row r="551" spans="2:30">
      <c r="B551" s="367">
        <f t="shared" si="24"/>
        <v>-1</v>
      </c>
      <c r="D551" s="182"/>
      <c r="E551" s="182"/>
      <c r="F551" s="184"/>
      <c r="G551" s="182"/>
      <c r="H551" s="182"/>
      <c r="I551" s="182"/>
      <c r="J551" s="183"/>
      <c r="K551" s="183"/>
      <c r="L551" s="182"/>
      <c r="N551" s="367">
        <f t="shared" si="25"/>
        <v>0</v>
      </c>
      <c r="O551" s="368">
        <f t="shared" si="26"/>
        <v>0</v>
      </c>
      <c r="Q551" s="364"/>
      <c r="R551" s="364"/>
      <c r="S551" s="364"/>
      <c r="T551" s="364"/>
      <c r="U551" s="364"/>
      <c r="V551" s="364"/>
      <c r="W551" s="364"/>
      <c r="X551" s="364"/>
      <c r="Y551" s="364"/>
      <c r="Z551" s="364"/>
      <c r="AA551" s="364"/>
      <c r="AB551" s="364"/>
      <c r="AC551" s="364"/>
      <c r="AD551" s="364"/>
    </row>
    <row r="552" spans="2:30">
      <c r="B552" s="367">
        <f t="shared" si="24"/>
        <v>-1</v>
      </c>
      <c r="D552" s="182"/>
      <c r="E552" s="182"/>
      <c r="F552" s="184"/>
      <c r="G552" s="182"/>
      <c r="H552" s="182"/>
      <c r="I552" s="182"/>
      <c r="J552" s="183"/>
      <c r="K552" s="183"/>
      <c r="L552" s="182"/>
      <c r="N552" s="367">
        <f t="shared" si="25"/>
        <v>0</v>
      </c>
      <c r="O552" s="368">
        <f t="shared" si="26"/>
        <v>0</v>
      </c>
      <c r="Q552" s="364"/>
      <c r="R552" s="364"/>
      <c r="S552" s="364"/>
      <c r="T552" s="364"/>
      <c r="U552" s="364"/>
      <c r="V552" s="364"/>
      <c r="W552" s="364"/>
      <c r="X552" s="364"/>
      <c r="Y552" s="364"/>
      <c r="Z552" s="364"/>
      <c r="AA552" s="364"/>
      <c r="AB552" s="364"/>
      <c r="AC552" s="364"/>
      <c r="AD552" s="364"/>
    </row>
    <row r="553" spans="2:30">
      <c r="B553" s="367">
        <f t="shared" si="24"/>
        <v>-1</v>
      </c>
      <c r="D553" s="182"/>
      <c r="E553" s="182"/>
      <c r="F553" s="184"/>
      <c r="G553" s="182"/>
      <c r="H553" s="182"/>
      <c r="I553" s="182"/>
      <c r="J553" s="183"/>
      <c r="K553" s="183"/>
      <c r="L553" s="182"/>
      <c r="N553" s="367">
        <f t="shared" si="25"/>
        <v>0</v>
      </c>
      <c r="O553" s="368">
        <f t="shared" si="26"/>
        <v>0</v>
      </c>
      <c r="Q553" s="364"/>
      <c r="R553" s="364"/>
      <c r="S553" s="364"/>
      <c r="T553" s="364"/>
      <c r="U553" s="364"/>
      <c r="V553" s="364"/>
      <c r="W553" s="364"/>
      <c r="X553" s="364"/>
      <c r="Y553" s="364"/>
      <c r="Z553" s="364"/>
      <c r="AA553" s="364"/>
      <c r="AB553" s="364"/>
      <c r="AC553" s="364"/>
      <c r="AD553" s="364"/>
    </row>
    <row r="554" spans="2:30">
      <c r="B554" s="367">
        <f t="shared" si="24"/>
        <v>-1</v>
      </c>
      <c r="D554" s="182"/>
      <c r="E554" s="182"/>
      <c r="F554" s="184"/>
      <c r="G554" s="182"/>
      <c r="H554" s="182"/>
      <c r="I554" s="182"/>
      <c r="J554" s="183"/>
      <c r="K554" s="183"/>
      <c r="L554" s="182"/>
      <c r="N554" s="367">
        <f t="shared" si="25"/>
        <v>0</v>
      </c>
      <c r="O554" s="368">
        <f t="shared" si="26"/>
        <v>0</v>
      </c>
      <c r="Q554" s="364"/>
      <c r="R554" s="364"/>
      <c r="S554" s="364"/>
      <c r="T554" s="364"/>
      <c r="U554" s="364"/>
      <c r="V554" s="364"/>
      <c r="W554" s="364"/>
      <c r="X554" s="364"/>
      <c r="Y554" s="364"/>
      <c r="Z554" s="364"/>
      <c r="AA554" s="364"/>
      <c r="AB554" s="364"/>
      <c r="AC554" s="364"/>
      <c r="AD554" s="364"/>
    </row>
    <row r="555" spans="2:30">
      <c r="B555" s="367">
        <f t="shared" si="24"/>
        <v>-1</v>
      </c>
      <c r="D555" s="182"/>
      <c r="E555" s="182"/>
      <c r="F555" s="184"/>
      <c r="G555" s="182"/>
      <c r="H555" s="182"/>
      <c r="I555" s="182"/>
      <c r="J555" s="183"/>
      <c r="K555" s="183"/>
      <c r="L555" s="182"/>
      <c r="N555" s="367">
        <f t="shared" si="25"/>
        <v>0</v>
      </c>
      <c r="O555" s="368">
        <f t="shared" si="26"/>
        <v>0</v>
      </c>
      <c r="Q555" s="364"/>
      <c r="R555" s="364"/>
      <c r="S555" s="364"/>
      <c r="T555" s="364"/>
      <c r="U555" s="364"/>
      <c r="V555" s="364"/>
      <c r="W555" s="364"/>
      <c r="X555" s="364"/>
      <c r="Y555" s="364"/>
      <c r="Z555" s="364"/>
      <c r="AA555" s="364"/>
      <c r="AB555" s="364"/>
      <c r="AC555" s="364"/>
      <c r="AD555" s="364"/>
    </row>
    <row r="556" spans="2:30">
      <c r="B556" s="367">
        <f t="shared" si="24"/>
        <v>-1</v>
      </c>
      <c r="D556" s="182"/>
      <c r="E556" s="182"/>
      <c r="F556" s="184"/>
      <c r="G556" s="182"/>
      <c r="H556" s="182"/>
      <c r="I556" s="182"/>
      <c r="J556" s="183"/>
      <c r="K556" s="183"/>
      <c r="L556" s="182"/>
      <c r="N556" s="367">
        <f t="shared" si="25"/>
        <v>0</v>
      </c>
      <c r="O556" s="368">
        <f t="shared" si="26"/>
        <v>0</v>
      </c>
      <c r="Q556" s="364"/>
      <c r="R556" s="364"/>
      <c r="S556" s="364"/>
      <c r="T556" s="364"/>
      <c r="U556" s="364"/>
      <c r="V556" s="364"/>
      <c r="W556" s="364"/>
      <c r="X556" s="364"/>
      <c r="Y556" s="364"/>
      <c r="Z556" s="364"/>
      <c r="AA556" s="364"/>
      <c r="AB556" s="364"/>
      <c r="AC556" s="364"/>
      <c r="AD556" s="364"/>
    </row>
    <row r="557" spans="2:30">
      <c r="B557" s="367">
        <f t="shared" si="24"/>
        <v>-1</v>
      </c>
      <c r="D557" s="182"/>
      <c r="E557" s="182"/>
      <c r="F557" s="184"/>
      <c r="G557" s="182"/>
      <c r="H557" s="182"/>
      <c r="I557" s="182"/>
      <c r="J557" s="183"/>
      <c r="K557" s="183"/>
      <c r="L557" s="182"/>
      <c r="N557" s="367">
        <f t="shared" si="25"/>
        <v>0</v>
      </c>
      <c r="O557" s="368">
        <f t="shared" si="26"/>
        <v>0</v>
      </c>
      <c r="Q557" s="364"/>
      <c r="R557" s="364"/>
      <c r="S557" s="364"/>
      <c r="T557" s="364"/>
      <c r="U557" s="364"/>
      <c r="V557" s="364"/>
      <c r="W557" s="364"/>
      <c r="X557" s="364"/>
      <c r="Y557" s="364"/>
      <c r="Z557" s="364"/>
      <c r="AA557" s="364"/>
      <c r="AB557" s="364"/>
      <c r="AC557" s="364"/>
      <c r="AD557" s="364"/>
    </row>
    <row r="558" spans="2:30">
      <c r="B558" s="367">
        <f t="shared" si="24"/>
        <v>-1</v>
      </c>
      <c r="D558" s="182"/>
      <c r="E558" s="182"/>
      <c r="F558" s="184"/>
      <c r="G558" s="182"/>
      <c r="H558" s="182"/>
      <c r="I558" s="182"/>
      <c r="J558" s="183"/>
      <c r="K558" s="183"/>
      <c r="L558" s="182"/>
      <c r="N558" s="367">
        <f t="shared" si="25"/>
        <v>0</v>
      </c>
      <c r="O558" s="368">
        <f t="shared" si="26"/>
        <v>0</v>
      </c>
      <c r="Q558" s="364"/>
      <c r="R558" s="364"/>
      <c r="S558" s="364"/>
      <c r="T558" s="364"/>
      <c r="U558" s="364"/>
      <c r="V558" s="364"/>
      <c r="W558" s="364"/>
      <c r="X558" s="364"/>
      <c r="Y558" s="364"/>
      <c r="Z558" s="364"/>
      <c r="AA558" s="364"/>
      <c r="AB558" s="364"/>
      <c r="AC558" s="364"/>
      <c r="AD558" s="364"/>
    </row>
    <row r="559" spans="2:30">
      <c r="B559" s="367">
        <f t="shared" si="24"/>
        <v>-1</v>
      </c>
      <c r="D559" s="182"/>
      <c r="E559" s="182"/>
      <c r="F559" s="184"/>
      <c r="G559" s="182"/>
      <c r="H559" s="182"/>
      <c r="I559" s="182"/>
      <c r="J559" s="183"/>
      <c r="K559" s="183"/>
      <c r="L559" s="182"/>
      <c r="N559" s="367">
        <f t="shared" si="25"/>
        <v>0</v>
      </c>
      <c r="O559" s="368">
        <f t="shared" si="26"/>
        <v>0</v>
      </c>
      <c r="Q559" s="364"/>
      <c r="R559" s="364"/>
      <c r="S559" s="364"/>
      <c r="T559" s="364"/>
      <c r="U559" s="364"/>
      <c r="V559" s="364"/>
      <c r="W559" s="364"/>
      <c r="X559" s="364"/>
      <c r="Y559" s="364"/>
      <c r="Z559" s="364"/>
      <c r="AA559" s="364"/>
      <c r="AB559" s="364"/>
      <c r="AC559" s="364"/>
      <c r="AD559" s="364"/>
    </row>
    <row r="560" spans="2:30">
      <c r="B560" s="367">
        <f t="shared" si="24"/>
        <v>-1</v>
      </c>
      <c r="D560" s="182"/>
      <c r="E560" s="182"/>
      <c r="F560" s="184"/>
      <c r="G560" s="182"/>
      <c r="H560" s="182"/>
      <c r="I560" s="182"/>
      <c r="J560" s="183"/>
      <c r="K560" s="183"/>
      <c r="L560" s="182"/>
      <c r="N560" s="367">
        <f t="shared" si="25"/>
        <v>0</v>
      </c>
      <c r="O560" s="368">
        <f t="shared" si="26"/>
        <v>0</v>
      </c>
      <c r="Q560" s="364"/>
      <c r="R560" s="364"/>
      <c r="S560" s="364"/>
      <c r="T560" s="364"/>
      <c r="U560" s="364"/>
      <c r="V560" s="364"/>
      <c r="W560" s="364"/>
      <c r="X560" s="364"/>
      <c r="Y560" s="364"/>
      <c r="Z560" s="364"/>
      <c r="AA560" s="364"/>
      <c r="AB560" s="364"/>
      <c r="AC560" s="364"/>
      <c r="AD560" s="364"/>
    </row>
    <row r="561" spans="2:30">
      <c r="B561" s="367">
        <f t="shared" si="24"/>
        <v>-1</v>
      </c>
      <c r="D561" s="182"/>
      <c r="E561" s="182"/>
      <c r="F561" s="184"/>
      <c r="G561" s="182"/>
      <c r="H561" s="182"/>
      <c r="I561" s="182"/>
      <c r="J561" s="183"/>
      <c r="K561" s="183"/>
      <c r="L561" s="182"/>
      <c r="N561" s="367">
        <f t="shared" si="25"/>
        <v>0</v>
      </c>
      <c r="O561" s="368">
        <f t="shared" si="26"/>
        <v>0</v>
      </c>
      <c r="Q561" s="364"/>
      <c r="R561" s="364"/>
      <c r="S561" s="364"/>
      <c r="T561" s="364"/>
      <c r="U561" s="364"/>
      <c r="V561" s="364"/>
      <c r="W561" s="364"/>
      <c r="X561" s="364"/>
      <c r="Y561" s="364"/>
      <c r="Z561" s="364"/>
      <c r="AA561" s="364"/>
      <c r="AB561" s="364"/>
      <c r="AC561" s="364"/>
      <c r="AD561" s="364"/>
    </row>
    <row r="562" spans="2:30">
      <c r="B562" s="367">
        <f t="shared" si="24"/>
        <v>-1</v>
      </c>
      <c r="D562" s="182"/>
      <c r="E562" s="182"/>
      <c r="F562" s="184"/>
      <c r="G562" s="182"/>
      <c r="H562" s="182"/>
      <c r="I562" s="182"/>
      <c r="J562" s="183"/>
      <c r="K562" s="183"/>
      <c r="L562" s="182"/>
      <c r="N562" s="367">
        <f t="shared" si="25"/>
        <v>0</v>
      </c>
      <c r="O562" s="368">
        <f t="shared" si="26"/>
        <v>0</v>
      </c>
      <c r="Q562" s="364"/>
      <c r="R562" s="364"/>
      <c r="S562" s="364"/>
      <c r="T562" s="364"/>
      <c r="U562" s="364"/>
      <c r="V562" s="364"/>
      <c r="W562" s="364"/>
      <c r="X562" s="364"/>
      <c r="Y562" s="364"/>
      <c r="Z562" s="364"/>
      <c r="AA562" s="364"/>
      <c r="AB562" s="364"/>
      <c r="AC562" s="364"/>
      <c r="AD562" s="364"/>
    </row>
    <row r="563" spans="2:30">
      <c r="B563" s="367">
        <f t="shared" si="24"/>
        <v>-1</v>
      </c>
      <c r="D563" s="182"/>
      <c r="E563" s="182"/>
      <c r="F563" s="184"/>
      <c r="G563" s="182"/>
      <c r="H563" s="182"/>
      <c r="I563" s="182"/>
      <c r="J563" s="183"/>
      <c r="K563" s="183"/>
      <c r="L563" s="182"/>
      <c r="N563" s="367">
        <f t="shared" si="25"/>
        <v>0</v>
      </c>
      <c r="O563" s="368">
        <f t="shared" si="26"/>
        <v>0</v>
      </c>
      <c r="Q563" s="364"/>
      <c r="R563" s="364"/>
      <c r="S563" s="364"/>
      <c r="T563" s="364"/>
      <c r="U563" s="364"/>
      <c r="V563" s="364"/>
      <c r="W563" s="364"/>
      <c r="X563" s="364"/>
      <c r="Y563" s="364"/>
      <c r="Z563" s="364"/>
      <c r="AA563" s="364"/>
      <c r="AB563" s="364"/>
      <c r="AC563" s="364"/>
      <c r="AD563" s="364"/>
    </row>
    <row r="564" spans="2:30">
      <c r="B564" s="367">
        <f t="shared" si="24"/>
        <v>-1</v>
      </c>
      <c r="D564" s="182"/>
      <c r="E564" s="182"/>
      <c r="F564" s="184"/>
      <c r="G564" s="182"/>
      <c r="H564" s="182"/>
      <c r="I564" s="182"/>
      <c r="J564" s="183"/>
      <c r="K564" s="183"/>
      <c r="L564" s="182"/>
      <c r="N564" s="367">
        <f t="shared" si="25"/>
        <v>0</v>
      </c>
      <c r="O564" s="368">
        <f t="shared" si="26"/>
        <v>0</v>
      </c>
      <c r="Q564" s="364"/>
      <c r="R564" s="364"/>
      <c r="S564" s="364"/>
      <c r="T564" s="364"/>
      <c r="U564" s="364"/>
      <c r="V564" s="364"/>
      <c r="W564" s="364"/>
      <c r="X564" s="364"/>
      <c r="Y564" s="364"/>
      <c r="Z564" s="364"/>
      <c r="AA564" s="364"/>
      <c r="AB564" s="364"/>
      <c r="AC564" s="364"/>
      <c r="AD564" s="364"/>
    </row>
    <row r="565" spans="2:30">
      <c r="B565" s="367">
        <f t="shared" si="24"/>
        <v>-1</v>
      </c>
      <c r="D565" s="182"/>
      <c r="E565" s="182"/>
      <c r="F565" s="184"/>
      <c r="G565" s="182"/>
      <c r="H565" s="182"/>
      <c r="I565" s="182"/>
      <c r="J565" s="183"/>
      <c r="K565" s="183"/>
      <c r="L565" s="182"/>
      <c r="N565" s="367">
        <f t="shared" si="25"/>
        <v>0</v>
      </c>
      <c r="O565" s="368">
        <f t="shared" si="26"/>
        <v>0</v>
      </c>
      <c r="Q565" s="364"/>
      <c r="R565" s="364"/>
      <c r="S565" s="364"/>
      <c r="T565" s="364"/>
      <c r="U565" s="364"/>
      <c r="V565" s="364"/>
      <c r="W565" s="364"/>
      <c r="X565" s="364"/>
      <c r="Y565" s="364"/>
      <c r="Z565" s="364"/>
      <c r="AA565" s="364"/>
      <c r="AB565" s="364"/>
      <c r="AC565" s="364"/>
      <c r="AD565" s="364"/>
    </row>
    <row r="566" spans="2:30">
      <c r="B566" s="367">
        <f t="shared" si="24"/>
        <v>-1</v>
      </c>
      <c r="D566" s="182"/>
      <c r="E566" s="182"/>
      <c r="F566" s="184"/>
      <c r="G566" s="182"/>
      <c r="H566" s="182"/>
      <c r="I566" s="182"/>
      <c r="J566" s="183"/>
      <c r="K566" s="183"/>
      <c r="L566" s="182"/>
      <c r="N566" s="367">
        <f t="shared" si="25"/>
        <v>0</v>
      </c>
      <c r="O566" s="368">
        <f t="shared" si="26"/>
        <v>0</v>
      </c>
      <c r="Q566" s="364"/>
      <c r="R566" s="364"/>
      <c r="S566" s="364"/>
      <c r="T566" s="364"/>
      <c r="U566" s="364"/>
      <c r="V566" s="364"/>
      <c r="W566" s="364"/>
      <c r="X566" s="364"/>
      <c r="Y566" s="364"/>
      <c r="Z566" s="364"/>
      <c r="AA566" s="364"/>
      <c r="AB566" s="364"/>
      <c r="AC566" s="364"/>
      <c r="AD566" s="364"/>
    </row>
    <row r="567" spans="2:30">
      <c r="B567" s="367">
        <f t="shared" si="24"/>
        <v>-1</v>
      </c>
      <c r="D567" s="182"/>
      <c r="E567" s="182"/>
      <c r="F567" s="184"/>
      <c r="G567" s="182"/>
      <c r="H567" s="182"/>
      <c r="I567" s="182"/>
      <c r="J567" s="183"/>
      <c r="K567" s="183"/>
      <c r="L567" s="182"/>
      <c r="N567" s="367">
        <f t="shared" si="25"/>
        <v>0</v>
      </c>
      <c r="O567" s="368">
        <f t="shared" si="26"/>
        <v>0</v>
      </c>
      <c r="Q567" s="364"/>
      <c r="R567" s="364"/>
      <c r="S567" s="364"/>
      <c r="T567" s="364"/>
      <c r="U567" s="364"/>
      <c r="V567" s="364"/>
      <c r="W567" s="364"/>
      <c r="X567" s="364"/>
      <c r="Y567" s="364"/>
      <c r="Z567" s="364"/>
      <c r="AA567" s="364"/>
      <c r="AB567" s="364"/>
      <c r="AC567" s="364"/>
      <c r="AD567" s="364"/>
    </row>
    <row r="568" spans="2:30">
      <c r="B568" s="367">
        <f t="shared" si="24"/>
        <v>-1</v>
      </c>
      <c r="D568" s="182"/>
      <c r="E568" s="182"/>
      <c r="F568" s="184"/>
      <c r="G568" s="182"/>
      <c r="H568" s="182"/>
      <c r="I568" s="182"/>
      <c r="J568" s="183"/>
      <c r="K568" s="183"/>
      <c r="L568" s="182"/>
      <c r="N568" s="367">
        <f t="shared" si="25"/>
        <v>0</v>
      </c>
      <c r="O568" s="368">
        <f t="shared" si="26"/>
        <v>0</v>
      </c>
      <c r="Q568" s="364"/>
      <c r="R568" s="364"/>
      <c r="S568" s="364"/>
      <c r="T568" s="364"/>
      <c r="U568" s="364"/>
      <c r="V568" s="364"/>
      <c r="W568" s="364"/>
      <c r="X568" s="364"/>
      <c r="Y568" s="364"/>
      <c r="Z568" s="364"/>
      <c r="AA568" s="364"/>
      <c r="AB568" s="364"/>
      <c r="AC568" s="364"/>
      <c r="AD568" s="364"/>
    </row>
    <row r="569" spans="2:30">
      <c r="B569" s="367">
        <f t="shared" si="24"/>
        <v>-1</v>
      </c>
      <c r="D569" s="182"/>
      <c r="E569" s="182"/>
      <c r="F569" s="184"/>
      <c r="G569" s="182"/>
      <c r="H569" s="182"/>
      <c r="I569" s="182"/>
      <c r="J569" s="183"/>
      <c r="K569" s="183"/>
      <c r="L569" s="182"/>
      <c r="N569" s="367">
        <f t="shared" si="25"/>
        <v>0</v>
      </c>
      <c r="O569" s="368">
        <f t="shared" si="26"/>
        <v>0</v>
      </c>
      <c r="Q569" s="364"/>
      <c r="R569" s="364"/>
      <c r="S569" s="364"/>
      <c r="T569" s="364"/>
      <c r="U569" s="364"/>
      <c r="V569" s="364"/>
      <c r="W569" s="364"/>
      <c r="X569" s="364"/>
      <c r="Y569" s="364"/>
      <c r="Z569" s="364"/>
      <c r="AA569" s="364"/>
      <c r="AB569" s="364"/>
      <c r="AC569" s="364"/>
      <c r="AD569" s="364"/>
    </row>
    <row r="570" spans="2:30">
      <c r="B570" s="367">
        <f t="shared" si="24"/>
        <v>-1</v>
      </c>
      <c r="D570" s="182"/>
      <c r="E570" s="182"/>
      <c r="F570" s="184"/>
      <c r="G570" s="182"/>
      <c r="H570" s="182"/>
      <c r="I570" s="182"/>
      <c r="J570" s="183"/>
      <c r="K570" s="183"/>
      <c r="L570" s="182"/>
      <c r="N570" s="367">
        <f t="shared" si="25"/>
        <v>0</v>
      </c>
      <c r="O570" s="368">
        <f t="shared" si="26"/>
        <v>0</v>
      </c>
      <c r="Q570" s="364"/>
      <c r="R570" s="364"/>
      <c r="S570" s="364"/>
      <c r="T570" s="364"/>
      <c r="U570" s="364"/>
      <c r="V570" s="364"/>
      <c r="W570" s="364"/>
      <c r="X570" s="364"/>
      <c r="Y570" s="364"/>
      <c r="Z570" s="364"/>
      <c r="AA570" s="364"/>
      <c r="AB570" s="364"/>
      <c r="AC570" s="364"/>
      <c r="AD570" s="364"/>
    </row>
    <row r="571" spans="2:30">
      <c r="B571" s="367">
        <f t="shared" si="24"/>
        <v>-1</v>
      </c>
      <c r="D571" s="182"/>
      <c r="E571" s="182"/>
      <c r="F571" s="184"/>
      <c r="G571" s="182"/>
      <c r="H571" s="182"/>
      <c r="I571" s="182"/>
      <c r="J571" s="183"/>
      <c r="K571" s="183"/>
      <c r="L571" s="182"/>
      <c r="N571" s="367">
        <f t="shared" si="25"/>
        <v>0</v>
      </c>
      <c r="O571" s="368">
        <f t="shared" si="26"/>
        <v>0</v>
      </c>
      <c r="Q571" s="364"/>
      <c r="R571" s="364"/>
      <c r="S571" s="364"/>
      <c r="T571" s="364"/>
      <c r="U571" s="364"/>
      <c r="V571" s="364"/>
      <c r="W571" s="364"/>
      <c r="X571" s="364"/>
      <c r="Y571" s="364"/>
      <c r="Z571" s="364"/>
      <c r="AA571" s="364"/>
      <c r="AB571" s="364"/>
      <c r="AC571" s="364"/>
      <c r="AD571" s="364"/>
    </row>
    <row r="572" spans="2:30">
      <c r="B572" s="367">
        <f t="shared" si="24"/>
        <v>-1</v>
      </c>
      <c r="D572" s="182"/>
      <c r="E572" s="182"/>
      <c r="F572" s="184"/>
      <c r="G572" s="182"/>
      <c r="H572" s="182"/>
      <c r="I572" s="182"/>
      <c r="J572" s="183"/>
      <c r="K572" s="183"/>
      <c r="L572" s="182"/>
      <c r="N572" s="367">
        <f t="shared" si="25"/>
        <v>0</v>
      </c>
      <c r="O572" s="368">
        <f t="shared" si="26"/>
        <v>0</v>
      </c>
      <c r="Q572" s="364"/>
      <c r="R572" s="364"/>
      <c r="S572" s="364"/>
      <c r="T572" s="364"/>
      <c r="U572" s="364"/>
      <c r="V572" s="364"/>
      <c r="W572" s="364"/>
      <c r="X572" s="364"/>
      <c r="Y572" s="364"/>
      <c r="Z572" s="364"/>
      <c r="AA572" s="364"/>
      <c r="AB572" s="364"/>
      <c r="AC572" s="364"/>
      <c r="AD572" s="364"/>
    </row>
    <row r="573" spans="2:30">
      <c r="B573" s="367">
        <f t="shared" si="24"/>
        <v>-1</v>
      </c>
      <c r="D573" s="182"/>
      <c r="E573" s="182"/>
      <c r="F573" s="184"/>
      <c r="G573" s="182"/>
      <c r="H573" s="182"/>
      <c r="I573" s="182"/>
      <c r="J573" s="183"/>
      <c r="K573" s="183"/>
      <c r="L573" s="182"/>
      <c r="N573" s="367">
        <f t="shared" si="25"/>
        <v>0</v>
      </c>
      <c r="O573" s="368">
        <f t="shared" si="26"/>
        <v>0</v>
      </c>
      <c r="Q573" s="364"/>
      <c r="R573" s="364"/>
      <c r="S573" s="364"/>
      <c r="T573" s="364"/>
      <c r="U573" s="364"/>
      <c r="V573" s="364"/>
      <c r="W573" s="364"/>
      <c r="X573" s="364"/>
      <c r="Y573" s="364"/>
      <c r="Z573" s="364"/>
      <c r="AA573" s="364"/>
      <c r="AB573" s="364"/>
      <c r="AC573" s="364"/>
      <c r="AD573" s="364"/>
    </row>
    <row r="574" spans="2:30">
      <c r="B574" s="367">
        <f t="shared" si="24"/>
        <v>-1</v>
      </c>
      <c r="D574" s="182"/>
      <c r="E574" s="182"/>
      <c r="F574" s="184"/>
      <c r="G574" s="182"/>
      <c r="H574" s="182"/>
      <c r="I574" s="182"/>
      <c r="J574" s="183"/>
      <c r="K574" s="183"/>
      <c r="L574" s="182"/>
      <c r="N574" s="367">
        <f t="shared" si="25"/>
        <v>0</v>
      </c>
      <c r="O574" s="368">
        <f t="shared" si="26"/>
        <v>0</v>
      </c>
      <c r="Q574" s="364"/>
      <c r="R574" s="364"/>
      <c r="S574" s="364"/>
      <c r="T574" s="364"/>
      <c r="U574" s="364"/>
      <c r="V574" s="364"/>
      <c r="W574" s="364"/>
      <c r="X574" s="364"/>
      <c r="Y574" s="364"/>
      <c r="Z574" s="364"/>
      <c r="AA574" s="364"/>
      <c r="AB574" s="364"/>
      <c r="AC574" s="364"/>
      <c r="AD574" s="364"/>
    </row>
    <row r="575" spans="2:30">
      <c r="B575" s="367">
        <f t="shared" si="24"/>
        <v>-1</v>
      </c>
      <c r="D575" s="182"/>
      <c r="E575" s="182"/>
      <c r="F575" s="184"/>
      <c r="G575" s="182"/>
      <c r="H575" s="182"/>
      <c r="I575" s="182"/>
      <c r="J575" s="183"/>
      <c r="K575" s="183"/>
      <c r="L575" s="182"/>
      <c r="N575" s="367">
        <f t="shared" si="25"/>
        <v>0</v>
      </c>
      <c r="O575" s="368">
        <f t="shared" si="26"/>
        <v>0</v>
      </c>
      <c r="Q575" s="364"/>
      <c r="R575" s="364"/>
      <c r="S575" s="364"/>
      <c r="T575" s="364"/>
      <c r="U575" s="364"/>
      <c r="V575" s="364"/>
      <c r="W575" s="364"/>
      <c r="X575" s="364"/>
      <c r="Y575" s="364"/>
      <c r="Z575" s="364"/>
      <c r="AA575" s="364"/>
      <c r="AB575" s="364"/>
      <c r="AC575" s="364"/>
      <c r="AD575" s="364"/>
    </row>
    <row r="576" spans="2:30">
      <c r="B576" s="367">
        <f t="shared" si="24"/>
        <v>-1</v>
      </c>
      <c r="D576" s="182"/>
      <c r="E576" s="182"/>
      <c r="F576" s="184"/>
      <c r="G576" s="182"/>
      <c r="H576" s="182"/>
      <c r="I576" s="182"/>
      <c r="J576" s="183"/>
      <c r="K576" s="183"/>
      <c r="L576" s="182"/>
      <c r="N576" s="367">
        <f t="shared" si="25"/>
        <v>0</v>
      </c>
      <c r="O576" s="368">
        <f t="shared" si="26"/>
        <v>0</v>
      </c>
      <c r="Q576" s="364"/>
      <c r="R576" s="364"/>
      <c r="S576" s="364"/>
      <c r="T576" s="364"/>
      <c r="U576" s="364"/>
      <c r="V576" s="364"/>
      <c r="W576" s="364"/>
      <c r="X576" s="364"/>
      <c r="Y576" s="364"/>
      <c r="Z576" s="364"/>
      <c r="AA576" s="364"/>
      <c r="AB576" s="364"/>
      <c r="AC576" s="364"/>
      <c r="AD576" s="364"/>
    </row>
    <row r="577" spans="2:30">
      <c r="B577" s="367">
        <f t="shared" si="24"/>
        <v>-1</v>
      </c>
      <c r="D577" s="182"/>
      <c r="E577" s="182"/>
      <c r="F577" s="184"/>
      <c r="G577" s="182"/>
      <c r="H577" s="182"/>
      <c r="I577" s="182"/>
      <c r="J577" s="183"/>
      <c r="K577" s="183"/>
      <c r="L577" s="182"/>
      <c r="N577" s="367">
        <f t="shared" si="25"/>
        <v>0</v>
      </c>
      <c r="O577" s="368">
        <f t="shared" si="26"/>
        <v>0</v>
      </c>
      <c r="Q577" s="364"/>
      <c r="R577" s="364"/>
      <c r="S577" s="364"/>
      <c r="T577" s="364"/>
      <c r="U577" s="364"/>
      <c r="V577" s="364"/>
      <c r="W577" s="364"/>
      <c r="X577" s="364"/>
      <c r="Y577" s="364"/>
      <c r="Z577" s="364"/>
      <c r="AA577" s="364"/>
      <c r="AB577" s="364"/>
      <c r="AC577" s="364"/>
      <c r="AD577" s="364"/>
    </row>
    <row r="578" spans="2:30">
      <c r="B578" s="367">
        <f t="shared" si="24"/>
        <v>-1</v>
      </c>
      <c r="D578" s="182"/>
      <c r="E578" s="182"/>
      <c r="F578" s="184"/>
      <c r="G578" s="182"/>
      <c r="H578" s="182"/>
      <c r="I578" s="182"/>
      <c r="J578" s="183"/>
      <c r="K578" s="183"/>
      <c r="L578" s="182"/>
      <c r="N578" s="367">
        <f t="shared" si="25"/>
        <v>0</v>
      </c>
      <c r="O578" s="368">
        <f t="shared" si="26"/>
        <v>0</v>
      </c>
      <c r="Q578" s="364"/>
      <c r="R578" s="364"/>
      <c r="S578" s="364"/>
      <c r="T578" s="364"/>
      <c r="U578" s="364"/>
      <c r="V578" s="364"/>
      <c r="W578" s="364"/>
      <c r="X578" s="364"/>
      <c r="Y578" s="364"/>
      <c r="Z578" s="364"/>
      <c r="AA578" s="364"/>
      <c r="AB578" s="364"/>
      <c r="AC578" s="364"/>
      <c r="AD578" s="364"/>
    </row>
    <row r="579" spans="2:30">
      <c r="B579" s="367">
        <f t="shared" si="24"/>
        <v>-1</v>
      </c>
      <c r="D579" s="182"/>
      <c r="E579" s="182"/>
      <c r="F579" s="184"/>
      <c r="G579" s="182"/>
      <c r="H579" s="182"/>
      <c r="I579" s="182"/>
      <c r="J579" s="183"/>
      <c r="K579" s="183"/>
      <c r="L579" s="182"/>
      <c r="N579" s="367">
        <f t="shared" si="25"/>
        <v>0</v>
      </c>
      <c r="O579" s="368">
        <f t="shared" si="26"/>
        <v>0</v>
      </c>
      <c r="Q579" s="364"/>
      <c r="R579" s="364"/>
      <c r="S579" s="364"/>
      <c r="T579" s="364"/>
      <c r="U579" s="364"/>
      <c r="V579" s="364"/>
      <c r="W579" s="364"/>
      <c r="X579" s="364"/>
      <c r="Y579" s="364"/>
      <c r="Z579" s="364"/>
      <c r="AA579" s="364"/>
      <c r="AB579" s="364"/>
      <c r="AC579" s="364"/>
      <c r="AD579" s="364"/>
    </row>
    <row r="580" spans="2:30">
      <c r="B580" s="367">
        <f t="shared" si="24"/>
        <v>-1</v>
      </c>
      <c r="D580" s="182"/>
      <c r="E580" s="182"/>
      <c r="F580" s="184"/>
      <c r="G580" s="182"/>
      <c r="H580" s="182"/>
      <c r="I580" s="182"/>
      <c r="J580" s="183"/>
      <c r="K580" s="183"/>
      <c r="L580" s="182"/>
      <c r="N580" s="367">
        <f t="shared" si="25"/>
        <v>0</v>
      </c>
      <c r="O580" s="368">
        <f t="shared" si="26"/>
        <v>0</v>
      </c>
      <c r="Q580" s="364"/>
      <c r="R580" s="364"/>
      <c r="S580" s="364"/>
      <c r="T580" s="364"/>
      <c r="U580" s="364"/>
      <c r="V580" s="364"/>
      <c r="W580" s="364"/>
      <c r="X580" s="364"/>
      <c r="Y580" s="364"/>
      <c r="Z580" s="364"/>
      <c r="AA580" s="364"/>
      <c r="AB580" s="364"/>
      <c r="AC580" s="364"/>
      <c r="AD580" s="364"/>
    </row>
    <row r="581" spans="2:30">
      <c r="B581" s="367">
        <f t="shared" si="24"/>
        <v>-1</v>
      </c>
      <c r="D581" s="182"/>
      <c r="E581" s="182"/>
      <c r="F581" s="184"/>
      <c r="G581" s="182"/>
      <c r="H581" s="182"/>
      <c r="I581" s="182"/>
      <c r="J581" s="183"/>
      <c r="K581" s="183"/>
      <c r="L581" s="182"/>
      <c r="N581" s="367">
        <f t="shared" si="25"/>
        <v>0</v>
      </c>
      <c r="O581" s="368">
        <f t="shared" si="26"/>
        <v>0</v>
      </c>
      <c r="Q581" s="364"/>
      <c r="R581" s="364"/>
      <c r="S581" s="364"/>
      <c r="T581" s="364"/>
      <c r="U581" s="364"/>
      <c r="V581" s="364"/>
      <c r="W581" s="364"/>
      <c r="X581" s="364"/>
      <c r="Y581" s="364"/>
      <c r="Z581" s="364"/>
      <c r="AA581" s="364"/>
      <c r="AB581" s="364"/>
      <c r="AC581" s="364"/>
      <c r="AD581" s="364"/>
    </row>
    <row r="582" spans="2:30">
      <c r="B582" s="367">
        <f t="shared" si="24"/>
        <v>-1</v>
      </c>
      <c r="D582" s="182"/>
      <c r="E582" s="182"/>
      <c r="F582" s="184"/>
      <c r="G582" s="182"/>
      <c r="H582" s="182"/>
      <c r="I582" s="182"/>
      <c r="J582" s="183"/>
      <c r="K582" s="183"/>
      <c r="L582" s="182"/>
      <c r="N582" s="367">
        <f t="shared" si="25"/>
        <v>0</v>
      </c>
      <c r="O582" s="368">
        <f t="shared" si="26"/>
        <v>0</v>
      </c>
      <c r="Q582" s="364"/>
      <c r="R582" s="364"/>
      <c r="S582" s="364"/>
      <c r="T582" s="364"/>
      <c r="U582" s="364"/>
      <c r="V582" s="364"/>
      <c r="W582" s="364"/>
      <c r="X582" s="364"/>
      <c r="Y582" s="364"/>
      <c r="Z582" s="364"/>
      <c r="AA582" s="364"/>
      <c r="AB582" s="364"/>
      <c r="AC582" s="364"/>
      <c r="AD582" s="364"/>
    </row>
    <row r="583" spans="2:30">
      <c r="B583" s="367">
        <f t="shared" si="24"/>
        <v>-1</v>
      </c>
      <c r="D583" s="182"/>
      <c r="E583" s="182"/>
      <c r="F583" s="184"/>
      <c r="G583" s="182"/>
      <c r="H583" s="182"/>
      <c r="I583" s="182"/>
      <c r="J583" s="183"/>
      <c r="K583" s="183"/>
      <c r="L583" s="182"/>
      <c r="N583" s="367">
        <f t="shared" si="25"/>
        <v>0</v>
      </c>
      <c r="O583" s="368">
        <f t="shared" si="26"/>
        <v>0</v>
      </c>
      <c r="Q583" s="364"/>
      <c r="R583" s="364"/>
      <c r="S583" s="364"/>
      <c r="T583" s="364"/>
      <c r="U583" s="364"/>
      <c r="V583" s="364"/>
      <c r="W583" s="364"/>
      <c r="X583" s="364"/>
      <c r="Y583" s="364"/>
      <c r="Z583" s="364"/>
      <c r="AA583" s="364"/>
      <c r="AB583" s="364"/>
      <c r="AC583" s="364"/>
      <c r="AD583" s="364"/>
    </row>
    <row r="584" spans="2:30">
      <c r="B584" s="367">
        <f t="shared" si="24"/>
        <v>-1</v>
      </c>
      <c r="D584" s="182"/>
      <c r="E584" s="182"/>
      <c r="F584" s="184"/>
      <c r="G584" s="182"/>
      <c r="H584" s="182"/>
      <c r="I584" s="182"/>
      <c r="J584" s="183"/>
      <c r="K584" s="183"/>
      <c r="L584" s="182"/>
      <c r="N584" s="367">
        <f t="shared" si="25"/>
        <v>0</v>
      </c>
      <c r="O584" s="368">
        <f t="shared" si="26"/>
        <v>0</v>
      </c>
      <c r="Q584" s="364"/>
      <c r="R584" s="364"/>
      <c r="S584" s="364"/>
      <c r="T584" s="364"/>
      <c r="U584" s="364"/>
      <c r="V584" s="364"/>
      <c r="W584" s="364"/>
      <c r="X584" s="364"/>
      <c r="Y584" s="364"/>
      <c r="Z584" s="364"/>
      <c r="AA584" s="364"/>
      <c r="AB584" s="364"/>
      <c r="AC584" s="364"/>
      <c r="AD584" s="364"/>
    </row>
    <row r="585" spans="2:30">
      <c r="B585" s="367">
        <f t="shared" si="24"/>
        <v>-1</v>
      </c>
      <c r="D585" s="182"/>
      <c r="E585" s="182"/>
      <c r="F585" s="184"/>
      <c r="G585" s="182"/>
      <c r="H585" s="182"/>
      <c r="I585" s="182"/>
      <c r="J585" s="183"/>
      <c r="K585" s="183"/>
      <c r="L585" s="182"/>
      <c r="N585" s="367">
        <f t="shared" si="25"/>
        <v>0</v>
      </c>
      <c r="O585" s="368">
        <f t="shared" si="26"/>
        <v>0</v>
      </c>
      <c r="Q585" s="364"/>
      <c r="R585" s="364"/>
      <c r="S585" s="364"/>
      <c r="T585" s="364"/>
      <c r="U585" s="364"/>
      <c r="V585" s="364"/>
      <c r="W585" s="364"/>
      <c r="X585" s="364"/>
      <c r="Y585" s="364"/>
      <c r="Z585" s="364"/>
      <c r="AA585" s="364"/>
      <c r="AB585" s="364"/>
      <c r="AC585" s="364"/>
      <c r="AD585" s="364"/>
    </row>
    <row r="586" spans="2:30">
      <c r="B586" s="367">
        <f t="shared" ref="B586:B649" si="27">IF(G586="buy",1,-1)</f>
        <v>-1</v>
      </c>
      <c r="D586" s="182"/>
      <c r="E586" s="182"/>
      <c r="F586" s="184"/>
      <c r="G586" s="182"/>
      <c r="H586" s="182"/>
      <c r="I586" s="182"/>
      <c r="J586" s="183"/>
      <c r="K586" s="183"/>
      <c r="L586" s="182"/>
      <c r="N586" s="367">
        <f t="shared" ref="N586:N649" si="28">+H586*((K586-J586)+1)*B586</f>
        <v>0</v>
      </c>
      <c r="O586" s="368">
        <f t="shared" ref="O586:O649" si="29">N586*L586/100</f>
        <v>0</v>
      </c>
      <c r="Q586" s="364"/>
      <c r="R586" s="364"/>
      <c r="S586" s="364"/>
      <c r="T586" s="364"/>
      <c r="U586" s="364"/>
      <c r="V586" s="364"/>
      <c r="W586" s="364"/>
      <c r="X586" s="364"/>
      <c r="Y586" s="364"/>
      <c r="Z586" s="364"/>
      <c r="AA586" s="364"/>
      <c r="AB586" s="364"/>
      <c r="AC586" s="364"/>
      <c r="AD586" s="364"/>
    </row>
    <row r="587" spans="2:30">
      <c r="B587" s="367">
        <f t="shared" si="27"/>
        <v>-1</v>
      </c>
      <c r="D587" s="182"/>
      <c r="E587" s="182"/>
      <c r="F587" s="184"/>
      <c r="G587" s="182"/>
      <c r="H587" s="182"/>
      <c r="I587" s="182"/>
      <c r="J587" s="183"/>
      <c r="K587" s="183"/>
      <c r="L587" s="182"/>
      <c r="N587" s="367">
        <f t="shared" si="28"/>
        <v>0</v>
      </c>
      <c r="O587" s="368">
        <f t="shared" si="29"/>
        <v>0</v>
      </c>
      <c r="Q587" s="364"/>
      <c r="R587" s="364"/>
      <c r="S587" s="364"/>
      <c r="T587" s="364"/>
      <c r="U587" s="364"/>
      <c r="V587" s="364"/>
      <c r="W587" s="364"/>
      <c r="X587" s="364"/>
      <c r="Y587" s="364"/>
      <c r="Z587" s="364"/>
      <c r="AA587" s="364"/>
      <c r="AB587" s="364"/>
      <c r="AC587" s="364"/>
      <c r="AD587" s="364"/>
    </row>
    <row r="588" spans="2:30">
      <c r="B588" s="367">
        <f t="shared" si="27"/>
        <v>-1</v>
      </c>
      <c r="D588" s="182"/>
      <c r="E588" s="182"/>
      <c r="F588" s="184"/>
      <c r="G588" s="182"/>
      <c r="H588" s="182"/>
      <c r="I588" s="182"/>
      <c r="J588" s="183"/>
      <c r="K588" s="183"/>
      <c r="L588" s="182"/>
      <c r="N588" s="367">
        <f t="shared" si="28"/>
        <v>0</v>
      </c>
      <c r="O588" s="368">
        <f t="shared" si="29"/>
        <v>0</v>
      </c>
      <c r="Q588" s="364"/>
      <c r="R588" s="364"/>
      <c r="S588" s="364"/>
      <c r="T588" s="364"/>
      <c r="U588" s="364"/>
      <c r="V588" s="364"/>
      <c r="W588" s="364"/>
      <c r="X588" s="364"/>
      <c r="Y588" s="364"/>
      <c r="Z588" s="364"/>
      <c r="AA588" s="364"/>
      <c r="AB588" s="364"/>
      <c r="AC588" s="364"/>
      <c r="AD588" s="364"/>
    </row>
    <row r="589" spans="2:30">
      <c r="B589" s="367">
        <f t="shared" si="27"/>
        <v>-1</v>
      </c>
      <c r="D589" s="182"/>
      <c r="E589" s="182"/>
      <c r="F589" s="184"/>
      <c r="G589" s="182"/>
      <c r="H589" s="182"/>
      <c r="I589" s="182"/>
      <c r="J589" s="183"/>
      <c r="K589" s="183"/>
      <c r="L589" s="182"/>
      <c r="N589" s="367">
        <f t="shared" si="28"/>
        <v>0</v>
      </c>
      <c r="O589" s="368">
        <f t="shared" si="29"/>
        <v>0</v>
      </c>
      <c r="Q589" s="364"/>
      <c r="R589" s="364"/>
      <c r="S589" s="364"/>
      <c r="T589" s="364"/>
      <c r="U589" s="364"/>
      <c r="V589" s="364"/>
      <c r="W589" s="364"/>
      <c r="X589" s="364"/>
      <c r="Y589" s="364"/>
      <c r="Z589" s="364"/>
      <c r="AA589" s="364"/>
      <c r="AB589" s="364"/>
      <c r="AC589" s="364"/>
      <c r="AD589" s="364"/>
    </row>
    <row r="590" spans="2:30">
      <c r="B590" s="367">
        <f t="shared" si="27"/>
        <v>-1</v>
      </c>
      <c r="D590" s="182"/>
      <c r="E590" s="182"/>
      <c r="F590" s="184"/>
      <c r="G590" s="182"/>
      <c r="H590" s="182"/>
      <c r="I590" s="182"/>
      <c r="J590" s="183"/>
      <c r="K590" s="183"/>
      <c r="L590" s="182"/>
      <c r="N590" s="367">
        <f t="shared" si="28"/>
        <v>0</v>
      </c>
      <c r="O590" s="368">
        <f t="shared" si="29"/>
        <v>0</v>
      </c>
      <c r="Q590" s="364"/>
      <c r="R590" s="364"/>
      <c r="S590" s="364"/>
      <c r="T590" s="364"/>
      <c r="U590" s="364"/>
      <c r="V590" s="364"/>
      <c r="W590" s="364"/>
      <c r="X590" s="364"/>
      <c r="Y590" s="364"/>
      <c r="Z590" s="364"/>
      <c r="AA590" s="364"/>
      <c r="AB590" s="364"/>
      <c r="AC590" s="364"/>
      <c r="AD590" s="364"/>
    </row>
    <row r="591" spans="2:30">
      <c r="B591" s="367">
        <f t="shared" si="27"/>
        <v>-1</v>
      </c>
      <c r="D591" s="182"/>
      <c r="E591" s="182"/>
      <c r="F591" s="184"/>
      <c r="G591" s="182"/>
      <c r="H591" s="182"/>
      <c r="I591" s="182"/>
      <c r="J591" s="183"/>
      <c r="K591" s="183"/>
      <c r="L591" s="182"/>
      <c r="N591" s="367">
        <f t="shared" si="28"/>
        <v>0</v>
      </c>
      <c r="O591" s="368">
        <f t="shared" si="29"/>
        <v>0</v>
      </c>
      <c r="Q591" s="364"/>
      <c r="R591" s="364"/>
      <c r="S591" s="364"/>
      <c r="T591" s="364"/>
      <c r="U591" s="364"/>
      <c r="V591" s="364"/>
      <c r="W591" s="364"/>
      <c r="X591" s="364"/>
      <c r="Y591" s="364"/>
      <c r="Z591" s="364"/>
      <c r="AA591" s="364"/>
      <c r="AB591" s="364"/>
      <c r="AC591" s="364"/>
      <c r="AD591" s="364"/>
    </row>
    <row r="592" spans="2:30">
      <c r="B592" s="367">
        <f t="shared" si="27"/>
        <v>-1</v>
      </c>
      <c r="D592" s="182"/>
      <c r="E592" s="182"/>
      <c r="F592" s="184"/>
      <c r="G592" s="182"/>
      <c r="H592" s="182"/>
      <c r="I592" s="182"/>
      <c r="J592" s="183"/>
      <c r="K592" s="183"/>
      <c r="L592" s="182"/>
      <c r="N592" s="367">
        <f t="shared" si="28"/>
        <v>0</v>
      </c>
      <c r="O592" s="368">
        <f t="shared" si="29"/>
        <v>0</v>
      </c>
      <c r="Q592" s="364"/>
      <c r="R592" s="364"/>
      <c r="S592" s="364"/>
      <c r="T592" s="364"/>
      <c r="U592" s="364"/>
      <c r="V592" s="364"/>
      <c r="W592" s="364"/>
      <c r="X592" s="364"/>
      <c r="Y592" s="364"/>
      <c r="Z592" s="364"/>
      <c r="AA592" s="364"/>
      <c r="AB592" s="364"/>
      <c r="AC592" s="364"/>
      <c r="AD592" s="364"/>
    </row>
    <row r="593" spans="2:30">
      <c r="B593" s="367">
        <f t="shared" si="27"/>
        <v>-1</v>
      </c>
      <c r="D593" s="182"/>
      <c r="E593" s="182"/>
      <c r="F593" s="184"/>
      <c r="G593" s="182"/>
      <c r="H593" s="182"/>
      <c r="I593" s="182"/>
      <c r="J593" s="183"/>
      <c r="K593" s="183"/>
      <c r="L593" s="182"/>
      <c r="N593" s="367">
        <f t="shared" si="28"/>
        <v>0</v>
      </c>
      <c r="O593" s="368">
        <f t="shared" si="29"/>
        <v>0</v>
      </c>
      <c r="Q593" s="364"/>
      <c r="R593" s="364"/>
      <c r="S593" s="364"/>
      <c r="T593" s="364"/>
      <c r="U593" s="364"/>
      <c r="V593" s="364"/>
      <c r="W593" s="364"/>
      <c r="X593" s="364"/>
      <c r="Y593" s="364"/>
      <c r="Z593" s="364"/>
      <c r="AA593" s="364"/>
      <c r="AB593" s="364"/>
      <c r="AC593" s="364"/>
      <c r="AD593" s="364"/>
    </row>
    <row r="594" spans="2:30">
      <c r="B594" s="367">
        <f t="shared" si="27"/>
        <v>-1</v>
      </c>
      <c r="D594" s="182"/>
      <c r="E594" s="182"/>
      <c r="F594" s="184"/>
      <c r="G594" s="182"/>
      <c r="H594" s="182"/>
      <c r="I594" s="182"/>
      <c r="J594" s="183"/>
      <c r="K594" s="183"/>
      <c r="L594" s="182"/>
      <c r="N594" s="367">
        <f t="shared" si="28"/>
        <v>0</v>
      </c>
      <c r="O594" s="368">
        <f t="shared" si="29"/>
        <v>0</v>
      </c>
      <c r="Q594" s="364"/>
      <c r="R594" s="364"/>
      <c r="S594" s="364"/>
      <c r="T594" s="364"/>
      <c r="U594" s="364"/>
      <c r="V594" s="364"/>
      <c r="W594" s="364"/>
      <c r="X594" s="364"/>
      <c r="Y594" s="364"/>
      <c r="Z594" s="364"/>
      <c r="AA594" s="364"/>
      <c r="AB594" s="364"/>
      <c r="AC594" s="364"/>
      <c r="AD594" s="364"/>
    </row>
    <row r="595" spans="2:30">
      <c r="B595" s="367">
        <f t="shared" si="27"/>
        <v>-1</v>
      </c>
      <c r="D595" s="182"/>
      <c r="E595" s="182"/>
      <c r="F595" s="184"/>
      <c r="G595" s="182"/>
      <c r="H595" s="182"/>
      <c r="I595" s="182"/>
      <c r="J595" s="183"/>
      <c r="K595" s="183"/>
      <c r="L595" s="182"/>
      <c r="N595" s="367">
        <f t="shared" si="28"/>
        <v>0</v>
      </c>
      <c r="O595" s="368">
        <f t="shared" si="29"/>
        <v>0</v>
      </c>
      <c r="Q595" s="364"/>
      <c r="R595" s="364"/>
      <c r="S595" s="364"/>
      <c r="T595" s="364"/>
      <c r="U595" s="364"/>
      <c r="V595" s="364"/>
      <c r="W595" s="364"/>
      <c r="X595" s="364"/>
      <c r="Y595" s="364"/>
      <c r="Z595" s="364"/>
      <c r="AA595" s="364"/>
      <c r="AB595" s="364"/>
      <c r="AC595" s="364"/>
      <c r="AD595" s="364"/>
    </row>
    <row r="596" spans="2:30">
      <c r="B596" s="367">
        <f t="shared" si="27"/>
        <v>-1</v>
      </c>
      <c r="D596" s="182"/>
      <c r="E596" s="182"/>
      <c r="F596" s="184"/>
      <c r="G596" s="182"/>
      <c r="H596" s="182"/>
      <c r="I596" s="182"/>
      <c r="J596" s="183"/>
      <c r="K596" s="183"/>
      <c r="L596" s="182"/>
      <c r="N596" s="367">
        <f t="shared" si="28"/>
        <v>0</v>
      </c>
      <c r="O596" s="368">
        <f t="shared" si="29"/>
        <v>0</v>
      </c>
      <c r="Q596" s="364"/>
      <c r="R596" s="364"/>
      <c r="S596" s="364"/>
      <c r="T596" s="364"/>
      <c r="U596" s="364"/>
      <c r="V596" s="364"/>
      <c r="W596" s="364"/>
      <c r="X596" s="364"/>
      <c r="Y596" s="364"/>
      <c r="Z596" s="364"/>
      <c r="AA596" s="364"/>
      <c r="AB596" s="364"/>
      <c r="AC596" s="364"/>
      <c r="AD596" s="364"/>
    </row>
    <row r="597" spans="2:30">
      <c r="B597" s="367">
        <f t="shared" si="27"/>
        <v>-1</v>
      </c>
      <c r="D597" s="182"/>
      <c r="E597" s="182"/>
      <c r="F597" s="184"/>
      <c r="G597" s="182"/>
      <c r="H597" s="182"/>
      <c r="I597" s="182"/>
      <c r="J597" s="183"/>
      <c r="K597" s="183"/>
      <c r="L597" s="182"/>
      <c r="N597" s="367">
        <f t="shared" si="28"/>
        <v>0</v>
      </c>
      <c r="O597" s="368">
        <f t="shared" si="29"/>
        <v>0</v>
      </c>
      <c r="Q597" s="364"/>
      <c r="R597" s="364"/>
      <c r="S597" s="364"/>
      <c r="T597" s="364"/>
      <c r="U597" s="364"/>
      <c r="V597" s="364"/>
      <c r="W597" s="364"/>
      <c r="X597" s="364"/>
      <c r="Y597" s="364"/>
      <c r="Z597" s="364"/>
      <c r="AA597" s="364"/>
      <c r="AB597" s="364"/>
      <c r="AC597" s="364"/>
      <c r="AD597" s="364"/>
    </row>
    <row r="598" spans="2:30">
      <c r="B598" s="367">
        <f t="shared" si="27"/>
        <v>-1</v>
      </c>
      <c r="D598" s="182"/>
      <c r="E598" s="182"/>
      <c r="F598" s="184"/>
      <c r="G598" s="182"/>
      <c r="H598" s="182"/>
      <c r="I598" s="182"/>
      <c r="J598" s="183"/>
      <c r="K598" s="183"/>
      <c r="L598" s="182"/>
      <c r="N598" s="367">
        <f t="shared" si="28"/>
        <v>0</v>
      </c>
      <c r="O598" s="368">
        <f t="shared" si="29"/>
        <v>0</v>
      </c>
      <c r="Q598" s="364"/>
      <c r="R598" s="364"/>
      <c r="S598" s="364"/>
      <c r="T598" s="364"/>
      <c r="U598" s="364"/>
      <c r="V598" s="364"/>
      <c r="W598" s="364"/>
      <c r="X598" s="364"/>
      <c r="Y598" s="364"/>
      <c r="Z598" s="364"/>
      <c r="AA598" s="364"/>
      <c r="AB598" s="364"/>
      <c r="AC598" s="364"/>
      <c r="AD598" s="364"/>
    </row>
    <row r="599" spans="2:30">
      <c r="B599" s="367">
        <f t="shared" si="27"/>
        <v>-1</v>
      </c>
      <c r="D599" s="182"/>
      <c r="E599" s="182"/>
      <c r="F599" s="184"/>
      <c r="G599" s="182"/>
      <c r="H599" s="182"/>
      <c r="I599" s="182"/>
      <c r="J599" s="183"/>
      <c r="K599" s="183"/>
      <c r="L599" s="182"/>
      <c r="N599" s="367">
        <f t="shared" si="28"/>
        <v>0</v>
      </c>
      <c r="O599" s="368">
        <f t="shared" si="29"/>
        <v>0</v>
      </c>
      <c r="Q599" s="364"/>
      <c r="R599" s="364"/>
      <c r="S599" s="364"/>
      <c r="T599" s="364"/>
      <c r="U599" s="364"/>
      <c r="V599" s="364"/>
      <c r="W599" s="364"/>
      <c r="X599" s="364"/>
      <c r="Y599" s="364"/>
      <c r="Z599" s="364"/>
      <c r="AA599" s="364"/>
      <c r="AB599" s="364"/>
      <c r="AC599" s="364"/>
      <c r="AD599" s="364"/>
    </row>
    <row r="600" spans="2:30">
      <c r="B600" s="367">
        <f t="shared" si="27"/>
        <v>-1</v>
      </c>
      <c r="D600" s="182"/>
      <c r="E600" s="182"/>
      <c r="F600" s="184"/>
      <c r="G600" s="182"/>
      <c r="H600" s="182"/>
      <c r="I600" s="182"/>
      <c r="J600" s="183"/>
      <c r="K600" s="183"/>
      <c r="L600" s="182"/>
      <c r="N600" s="367">
        <f t="shared" si="28"/>
        <v>0</v>
      </c>
      <c r="O600" s="368">
        <f t="shared" si="29"/>
        <v>0</v>
      </c>
      <c r="Q600" s="364"/>
      <c r="R600" s="364"/>
      <c r="S600" s="364"/>
      <c r="T600" s="364"/>
      <c r="U600" s="364"/>
      <c r="V600" s="364"/>
      <c r="W600" s="364"/>
      <c r="X600" s="364"/>
      <c r="Y600" s="364"/>
      <c r="Z600" s="364"/>
      <c r="AA600" s="364"/>
      <c r="AB600" s="364"/>
      <c r="AC600" s="364"/>
      <c r="AD600" s="364"/>
    </row>
    <row r="601" spans="2:30">
      <c r="B601" s="367">
        <f t="shared" si="27"/>
        <v>-1</v>
      </c>
      <c r="D601" s="182"/>
      <c r="E601" s="182"/>
      <c r="F601" s="184"/>
      <c r="G601" s="182"/>
      <c r="H601" s="182"/>
      <c r="I601" s="182"/>
      <c r="J601" s="183"/>
      <c r="K601" s="183"/>
      <c r="L601" s="182"/>
      <c r="N601" s="367">
        <f t="shared" si="28"/>
        <v>0</v>
      </c>
      <c r="O601" s="368">
        <f t="shared" si="29"/>
        <v>0</v>
      </c>
      <c r="Q601" s="364"/>
      <c r="R601" s="364"/>
      <c r="S601" s="364"/>
      <c r="T601" s="364"/>
      <c r="U601" s="364"/>
      <c r="V601" s="364"/>
      <c r="W601" s="364"/>
      <c r="X601" s="364"/>
      <c r="Y601" s="364"/>
      <c r="Z601" s="364"/>
      <c r="AA601" s="364"/>
      <c r="AB601" s="364"/>
      <c r="AC601" s="364"/>
      <c r="AD601" s="364"/>
    </row>
    <row r="602" spans="2:30">
      <c r="B602" s="367">
        <f t="shared" si="27"/>
        <v>-1</v>
      </c>
      <c r="D602" s="182"/>
      <c r="E602" s="182"/>
      <c r="F602" s="184"/>
      <c r="G602" s="182"/>
      <c r="H602" s="182"/>
      <c r="I602" s="182"/>
      <c r="J602" s="183"/>
      <c r="K602" s="183"/>
      <c r="L602" s="182"/>
      <c r="N602" s="367">
        <f t="shared" si="28"/>
        <v>0</v>
      </c>
      <c r="O602" s="368">
        <f t="shared" si="29"/>
        <v>0</v>
      </c>
      <c r="Q602" s="364"/>
      <c r="R602" s="364"/>
      <c r="S602" s="364"/>
      <c r="T602" s="364"/>
      <c r="U602" s="364"/>
      <c r="V602" s="364"/>
      <c r="W602" s="364"/>
      <c r="X602" s="364"/>
      <c r="Y602" s="364"/>
      <c r="Z602" s="364"/>
      <c r="AA602" s="364"/>
      <c r="AB602" s="364"/>
      <c r="AC602" s="364"/>
      <c r="AD602" s="364"/>
    </row>
    <row r="603" spans="2:30">
      <c r="B603" s="367">
        <f t="shared" si="27"/>
        <v>-1</v>
      </c>
      <c r="D603" s="182"/>
      <c r="E603" s="182"/>
      <c r="F603" s="184"/>
      <c r="G603" s="182"/>
      <c r="H603" s="182"/>
      <c r="I603" s="182"/>
      <c r="J603" s="183"/>
      <c r="K603" s="183"/>
      <c r="L603" s="182"/>
      <c r="N603" s="367">
        <f t="shared" si="28"/>
        <v>0</v>
      </c>
      <c r="O603" s="368">
        <f t="shared" si="29"/>
        <v>0</v>
      </c>
      <c r="Q603" s="364"/>
      <c r="R603" s="364"/>
      <c r="S603" s="364"/>
      <c r="T603" s="364"/>
      <c r="U603" s="364"/>
      <c r="V603" s="364"/>
      <c r="W603" s="364"/>
      <c r="X603" s="364"/>
      <c r="Y603" s="364"/>
      <c r="Z603" s="364"/>
      <c r="AA603" s="364"/>
      <c r="AB603" s="364"/>
      <c r="AC603" s="364"/>
      <c r="AD603" s="364"/>
    </row>
    <row r="604" spans="2:30">
      <c r="B604" s="367">
        <f t="shared" si="27"/>
        <v>-1</v>
      </c>
      <c r="D604" s="182"/>
      <c r="E604" s="182"/>
      <c r="F604" s="184"/>
      <c r="G604" s="182"/>
      <c r="H604" s="182"/>
      <c r="I604" s="182"/>
      <c r="J604" s="183"/>
      <c r="K604" s="183"/>
      <c r="L604" s="182"/>
      <c r="N604" s="367">
        <f t="shared" si="28"/>
        <v>0</v>
      </c>
      <c r="O604" s="368">
        <f t="shared" si="29"/>
        <v>0</v>
      </c>
      <c r="Q604" s="364"/>
      <c r="R604" s="364"/>
      <c r="S604" s="364"/>
      <c r="T604" s="364"/>
      <c r="U604" s="364"/>
      <c r="V604" s="364"/>
      <c r="W604" s="364"/>
      <c r="X604" s="364"/>
      <c r="Y604" s="364"/>
      <c r="Z604" s="364"/>
      <c r="AA604" s="364"/>
      <c r="AB604" s="364"/>
      <c r="AC604" s="364"/>
      <c r="AD604" s="364"/>
    </row>
    <row r="605" spans="2:30">
      <c r="B605" s="367">
        <f t="shared" si="27"/>
        <v>-1</v>
      </c>
      <c r="D605" s="182"/>
      <c r="E605" s="182"/>
      <c r="F605" s="184"/>
      <c r="G605" s="182"/>
      <c r="H605" s="182"/>
      <c r="I605" s="182"/>
      <c r="J605" s="183"/>
      <c r="K605" s="183"/>
      <c r="L605" s="182"/>
      <c r="N605" s="367">
        <f t="shared" si="28"/>
        <v>0</v>
      </c>
      <c r="O605" s="368">
        <f t="shared" si="29"/>
        <v>0</v>
      </c>
      <c r="Q605" s="364"/>
      <c r="R605" s="364"/>
      <c r="S605" s="364"/>
      <c r="T605" s="364"/>
      <c r="U605" s="364"/>
      <c r="V605" s="364"/>
      <c r="W605" s="364"/>
      <c r="X605" s="364"/>
      <c r="Y605" s="364"/>
      <c r="Z605" s="364"/>
      <c r="AA605" s="364"/>
      <c r="AB605" s="364"/>
      <c r="AC605" s="364"/>
      <c r="AD605" s="364"/>
    </row>
    <row r="606" spans="2:30">
      <c r="B606" s="367">
        <f t="shared" si="27"/>
        <v>-1</v>
      </c>
      <c r="D606" s="182"/>
      <c r="E606" s="182"/>
      <c r="F606" s="184"/>
      <c r="G606" s="182"/>
      <c r="H606" s="182"/>
      <c r="I606" s="182"/>
      <c r="J606" s="183"/>
      <c r="K606" s="183"/>
      <c r="L606" s="182"/>
      <c r="N606" s="367">
        <f t="shared" si="28"/>
        <v>0</v>
      </c>
      <c r="O606" s="368">
        <f t="shared" si="29"/>
        <v>0</v>
      </c>
      <c r="Q606" s="364"/>
      <c r="R606" s="364"/>
      <c r="S606" s="364"/>
      <c r="T606" s="364"/>
      <c r="U606" s="364"/>
      <c r="V606" s="364"/>
      <c r="W606" s="364"/>
      <c r="X606" s="364"/>
      <c r="Y606" s="364"/>
      <c r="Z606" s="364"/>
      <c r="AA606" s="364"/>
      <c r="AB606" s="364"/>
      <c r="AC606" s="364"/>
      <c r="AD606" s="364"/>
    </row>
    <row r="607" spans="2:30">
      <c r="B607" s="367">
        <f t="shared" si="27"/>
        <v>-1</v>
      </c>
      <c r="D607" s="182"/>
      <c r="E607" s="182"/>
      <c r="F607" s="184"/>
      <c r="G607" s="182"/>
      <c r="H607" s="182"/>
      <c r="I607" s="182"/>
      <c r="J607" s="183"/>
      <c r="K607" s="183"/>
      <c r="L607" s="182"/>
      <c r="N607" s="367">
        <f t="shared" si="28"/>
        <v>0</v>
      </c>
      <c r="O607" s="368">
        <f t="shared" si="29"/>
        <v>0</v>
      </c>
      <c r="Q607" s="364"/>
      <c r="R607" s="364"/>
      <c r="S607" s="364"/>
      <c r="T607" s="364"/>
      <c r="U607" s="364"/>
      <c r="V607" s="364"/>
      <c r="W607" s="364"/>
      <c r="X607" s="364"/>
      <c r="Y607" s="364"/>
      <c r="Z607" s="364"/>
      <c r="AA607" s="364"/>
      <c r="AB607" s="364"/>
      <c r="AC607" s="364"/>
      <c r="AD607" s="364"/>
    </row>
    <row r="608" spans="2:30">
      <c r="B608" s="367">
        <f t="shared" si="27"/>
        <v>-1</v>
      </c>
      <c r="D608" s="182"/>
      <c r="E608" s="182"/>
      <c r="F608" s="184"/>
      <c r="G608" s="182"/>
      <c r="H608" s="182"/>
      <c r="I608" s="182"/>
      <c r="J608" s="183"/>
      <c r="K608" s="183"/>
      <c r="L608" s="182"/>
      <c r="N608" s="367">
        <f t="shared" si="28"/>
        <v>0</v>
      </c>
      <c r="O608" s="368">
        <f t="shared" si="29"/>
        <v>0</v>
      </c>
      <c r="Q608" s="364"/>
      <c r="R608" s="364"/>
      <c r="S608" s="364"/>
      <c r="T608" s="364"/>
      <c r="U608" s="364"/>
      <c r="V608" s="364"/>
      <c r="W608" s="364"/>
      <c r="X608" s="364"/>
      <c r="Y608" s="364"/>
      <c r="Z608" s="364"/>
      <c r="AA608" s="364"/>
      <c r="AB608" s="364"/>
      <c r="AC608" s="364"/>
      <c r="AD608" s="364"/>
    </row>
    <row r="609" spans="2:30">
      <c r="B609" s="367">
        <f t="shared" si="27"/>
        <v>-1</v>
      </c>
      <c r="D609" s="182"/>
      <c r="E609" s="182"/>
      <c r="F609" s="184"/>
      <c r="G609" s="182"/>
      <c r="H609" s="182"/>
      <c r="I609" s="182"/>
      <c r="J609" s="183"/>
      <c r="K609" s="183"/>
      <c r="L609" s="182"/>
      <c r="N609" s="367">
        <f t="shared" si="28"/>
        <v>0</v>
      </c>
      <c r="O609" s="368">
        <f t="shared" si="29"/>
        <v>0</v>
      </c>
      <c r="Q609" s="364"/>
      <c r="R609" s="364"/>
      <c r="S609" s="364"/>
      <c r="T609" s="364"/>
      <c r="U609" s="364"/>
      <c r="V609" s="364"/>
      <c r="W609" s="364"/>
      <c r="X609" s="364"/>
      <c r="Y609" s="364"/>
      <c r="Z609" s="364"/>
      <c r="AA609" s="364"/>
      <c r="AB609" s="364"/>
      <c r="AC609" s="364"/>
      <c r="AD609" s="364"/>
    </row>
    <row r="610" spans="2:30">
      <c r="B610" s="367">
        <f t="shared" si="27"/>
        <v>-1</v>
      </c>
      <c r="D610" s="182"/>
      <c r="E610" s="182"/>
      <c r="F610" s="184"/>
      <c r="G610" s="182"/>
      <c r="H610" s="182"/>
      <c r="I610" s="182"/>
      <c r="J610" s="183"/>
      <c r="K610" s="183"/>
      <c r="L610" s="182"/>
      <c r="N610" s="367">
        <f t="shared" si="28"/>
        <v>0</v>
      </c>
      <c r="O610" s="368">
        <f t="shared" si="29"/>
        <v>0</v>
      </c>
      <c r="Q610" s="364"/>
      <c r="R610" s="364"/>
      <c r="S610" s="364"/>
      <c r="T610" s="364"/>
      <c r="U610" s="364"/>
      <c r="V610" s="364"/>
      <c r="W610" s="364"/>
      <c r="X610" s="364"/>
      <c r="Y610" s="364"/>
      <c r="Z610" s="364"/>
      <c r="AA610" s="364"/>
      <c r="AB610" s="364"/>
      <c r="AC610" s="364"/>
      <c r="AD610" s="364"/>
    </row>
    <row r="611" spans="2:30">
      <c r="B611" s="367">
        <f t="shared" si="27"/>
        <v>-1</v>
      </c>
      <c r="D611" s="182"/>
      <c r="E611" s="182"/>
      <c r="F611" s="184"/>
      <c r="G611" s="182"/>
      <c r="H611" s="182"/>
      <c r="I611" s="182"/>
      <c r="J611" s="183"/>
      <c r="K611" s="183"/>
      <c r="L611" s="182"/>
      <c r="N611" s="367">
        <f t="shared" si="28"/>
        <v>0</v>
      </c>
      <c r="O611" s="368">
        <f t="shared" si="29"/>
        <v>0</v>
      </c>
      <c r="Q611" s="364"/>
      <c r="R611" s="364"/>
      <c r="S611" s="364"/>
      <c r="T611" s="364"/>
      <c r="U611" s="364"/>
      <c r="V611" s="364"/>
      <c r="W611" s="364"/>
      <c r="X611" s="364"/>
      <c r="Y611" s="364"/>
      <c r="Z611" s="364"/>
      <c r="AA611" s="364"/>
      <c r="AB611" s="364"/>
      <c r="AC611" s="364"/>
      <c r="AD611" s="364"/>
    </row>
    <row r="612" spans="2:30">
      <c r="B612" s="367">
        <f t="shared" si="27"/>
        <v>-1</v>
      </c>
      <c r="D612" s="182"/>
      <c r="E612" s="182"/>
      <c r="F612" s="184"/>
      <c r="G612" s="182"/>
      <c r="H612" s="182"/>
      <c r="I612" s="182"/>
      <c r="J612" s="183"/>
      <c r="K612" s="183"/>
      <c r="L612" s="182"/>
      <c r="N612" s="367">
        <f t="shared" si="28"/>
        <v>0</v>
      </c>
      <c r="O612" s="368">
        <f t="shared" si="29"/>
        <v>0</v>
      </c>
      <c r="Q612" s="364"/>
      <c r="R612" s="364"/>
      <c r="S612" s="364"/>
      <c r="T612" s="364"/>
      <c r="U612" s="364"/>
      <c r="V612" s="364"/>
      <c r="W612" s="364"/>
      <c r="X612" s="364"/>
      <c r="Y612" s="364"/>
      <c r="Z612" s="364"/>
      <c r="AA612" s="364"/>
      <c r="AB612" s="364"/>
      <c r="AC612" s="364"/>
      <c r="AD612" s="364"/>
    </row>
    <row r="613" spans="2:30">
      <c r="B613" s="367">
        <f t="shared" si="27"/>
        <v>-1</v>
      </c>
      <c r="D613" s="182"/>
      <c r="E613" s="182"/>
      <c r="F613" s="184"/>
      <c r="G613" s="182"/>
      <c r="H613" s="182"/>
      <c r="I613" s="182"/>
      <c r="J613" s="183"/>
      <c r="K613" s="183"/>
      <c r="L613" s="182"/>
      <c r="N613" s="367">
        <f t="shared" si="28"/>
        <v>0</v>
      </c>
      <c r="O613" s="368">
        <f t="shared" si="29"/>
        <v>0</v>
      </c>
      <c r="Q613" s="364"/>
      <c r="R613" s="364"/>
      <c r="S613" s="364"/>
      <c r="T613" s="364"/>
      <c r="U613" s="364"/>
      <c r="V613" s="364"/>
      <c r="W613" s="364"/>
      <c r="X613" s="364"/>
      <c r="Y613" s="364"/>
      <c r="Z613" s="364"/>
      <c r="AA613" s="364"/>
      <c r="AB613" s="364"/>
      <c r="AC613" s="364"/>
      <c r="AD613" s="364"/>
    </row>
    <row r="614" spans="2:30">
      <c r="B614" s="367">
        <f t="shared" si="27"/>
        <v>-1</v>
      </c>
      <c r="D614" s="182"/>
      <c r="E614" s="182"/>
      <c r="F614" s="184"/>
      <c r="G614" s="182"/>
      <c r="H614" s="182"/>
      <c r="I614" s="182"/>
      <c r="J614" s="183"/>
      <c r="K614" s="183"/>
      <c r="L614" s="182"/>
      <c r="N614" s="367">
        <f t="shared" si="28"/>
        <v>0</v>
      </c>
      <c r="O614" s="368">
        <f t="shared" si="29"/>
        <v>0</v>
      </c>
      <c r="Q614" s="364"/>
      <c r="R614" s="364"/>
      <c r="S614" s="364"/>
      <c r="T614" s="364"/>
      <c r="U614" s="364"/>
      <c r="V614" s="364"/>
      <c r="W614" s="364"/>
      <c r="X614" s="364"/>
      <c r="Y614" s="364"/>
      <c r="Z614" s="364"/>
      <c r="AA614" s="364"/>
      <c r="AB614" s="364"/>
      <c r="AC614" s="364"/>
      <c r="AD614" s="364"/>
    </row>
    <row r="615" spans="2:30">
      <c r="B615" s="367">
        <f t="shared" si="27"/>
        <v>-1</v>
      </c>
      <c r="D615" s="182"/>
      <c r="E615" s="182"/>
      <c r="F615" s="184"/>
      <c r="G615" s="182"/>
      <c r="H615" s="182"/>
      <c r="I615" s="182"/>
      <c r="J615" s="183"/>
      <c r="K615" s="183"/>
      <c r="L615" s="182"/>
      <c r="N615" s="367">
        <f t="shared" si="28"/>
        <v>0</v>
      </c>
      <c r="O615" s="368">
        <f t="shared" si="29"/>
        <v>0</v>
      </c>
      <c r="Q615" s="364"/>
      <c r="R615" s="364"/>
      <c r="S615" s="364"/>
      <c r="T615" s="364"/>
      <c r="U615" s="364"/>
      <c r="V615" s="364"/>
      <c r="W615" s="364"/>
      <c r="X615" s="364"/>
      <c r="Y615" s="364"/>
      <c r="Z615" s="364"/>
      <c r="AA615" s="364"/>
      <c r="AB615" s="364"/>
      <c r="AC615" s="364"/>
      <c r="AD615" s="364"/>
    </row>
    <row r="616" spans="2:30">
      <c r="B616" s="367">
        <f t="shared" si="27"/>
        <v>-1</v>
      </c>
      <c r="D616" s="182"/>
      <c r="E616" s="182"/>
      <c r="F616" s="184"/>
      <c r="G616" s="182"/>
      <c r="H616" s="182"/>
      <c r="I616" s="182"/>
      <c r="J616" s="183"/>
      <c r="K616" s="183"/>
      <c r="L616" s="182"/>
      <c r="N616" s="367">
        <f t="shared" si="28"/>
        <v>0</v>
      </c>
      <c r="O616" s="368">
        <f t="shared" si="29"/>
        <v>0</v>
      </c>
      <c r="Q616" s="364"/>
      <c r="R616" s="364"/>
      <c r="S616" s="364"/>
      <c r="T616" s="364"/>
      <c r="U616" s="364"/>
      <c r="V616" s="364"/>
      <c r="W616" s="364"/>
      <c r="X616" s="364"/>
      <c r="Y616" s="364"/>
      <c r="Z616" s="364"/>
      <c r="AA616" s="364"/>
      <c r="AB616" s="364"/>
      <c r="AC616" s="364"/>
      <c r="AD616" s="364"/>
    </row>
    <row r="617" spans="2:30">
      <c r="B617" s="367">
        <f t="shared" si="27"/>
        <v>-1</v>
      </c>
      <c r="D617" s="182"/>
      <c r="E617" s="182"/>
      <c r="F617" s="184"/>
      <c r="G617" s="182"/>
      <c r="H617" s="182"/>
      <c r="I617" s="182"/>
      <c r="J617" s="183"/>
      <c r="K617" s="183"/>
      <c r="L617" s="182"/>
      <c r="N617" s="367">
        <f t="shared" si="28"/>
        <v>0</v>
      </c>
      <c r="O617" s="368">
        <f t="shared" si="29"/>
        <v>0</v>
      </c>
      <c r="Q617" s="364"/>
      <c r="R617" s="364"/>
      <c r="S617" s="364"/>
      <c r="T617" s="364"/>
      <c r="U617" s="364"/>
      <c r="V617" s="364"/>
      <c r="W617" s="364"/>
      <c r="X617" s="364"/>
      <c r="Y617" s="364"/>
      <c r="Z617" s="364"/>
      <c r="AA617" s="364"/>
      <c r="AB617" s="364"/>
      <c r="AC617" s="364"/>
      <c r="AD617" s="364"/>
    </row>
    <row r="618" spans="2:30">
      <c r="B618" s="367">
        <f t="shared" si="27"/>
        <v>-1</v>
      </c>
      <c r="D618" s="182"/>
      <c r="E618" s="182"/>
      <c r="F618" s="184"/>
      <c r="G618" s="182"/>
      <c r="H618" s="182"/>
      <c r="I618" s="182"/>
      <c r="J618" s="183"/>
      <c r="K618" s="183"/>
      <c r="L618" s="182"/>
      <c r="N618" s="367">
        <f t="shared" si="28"/>
        <v>0</v>
      </c>
      <c r="O618" s="368">
        <f t="shared" si="29"/>
        <v>0</v>
      </c>
      <c r="Q618" s="364"/>
      <c r="R618" s="364"/>
      <c r="S618" s="364"/>
      <c r="T618" s="364"/>
      <c r="U618" s="364"/>
      <c r="V618" s="364"/>
      <c r="W618" s="364"/>
      <c r="X618" s="364"/>
      <c r="Y618" s="364"/>
      <c r="Z618" s="364"/>
      <c r="AA618" s="364"/>
      <c r="AB618" s="364"/>
      <c r="AC618" s="364"/>
      <c r="AD618" s="364"/>
    </row>
    <row r="619" spans="2:30">
      <c r="B619" s="367">
        <f t="shared" si="27"/>
        <v>-1</v>
      </c>
      <c r="D619" s="182"/>
      <c r="E619" s="182"/>
      <c r="F619" s="184"/>
      <c r="G619" s="182"/>
      <c r="H619" s="182"/>
      <c r="I619" s="182"/>
      <c r="J619" s="183"/>
      <c r="K619" s="183"/>
      <c r="L619" s="182"/>
      <c r="N619" s="367">
        <f t="shared" si="28"/>
        <v>0</v>
      </c>
      <c r="O619" s="368">
        <f t="shared" si="29"/>
        <v>0</v>
      </c>
      <c r="Q619" s="364"/>
      <c r="R619" s="364"/>
      <c r="S619" s="364"/>
      <c r="T619" s="364"/>
      <c r="U619" s="364"/>
      <c r="V619" s="364"/>
      <c r="W619" s="364"/>
      <c r="X619" s="364"/>
      <c r="Y619" s="364"/>
      <c r="Z619" s="364"/>
      <c r="AA619" s="364"/>
      <c r="AB619" s="364"/>
      <c r="AC619" s="364"/>
      <c r="AD619" s="364"/>
    </row>
    <row r="620" spans="2:30">
      <c r="B620" s="367">
        <f t="shared" si="27"/>
        <v>-1</v>
      </c>
      <c r="D620" s="182"/>
      <c r="E620" s="182"/>
      <c r="F620" s="184"/>
      <c r="G620" s="182"/>
      <c r="H620" s="182"/>
      <c r="I620" s="182"/>
      <c r="J620" s="183"/>
      <c r="K620" s="183"/>
      <c r="L620" s="182"/>
      <c r="N620" s="367">
        <f t="shared" si="28"/>
        <v>0</v>
      </c>
      <c r="O620" s="368">
        <f t="shared" si="29"/>
        <v>0</v>
      </c>
      <c r="Q620" s="364"/>
      <c r="R620" s="364"/>
      <c r="S620" s="364"/>
      <c r="T620" s="364"/>
      <c r="U620" s="364"/>
      <c r="V620" s="364"/>
      <c r="W620" s="364"/>
      <c r="X620" s="364"/>
      <c r="Y620" s="364"/>
      <c r="Z620" s="364"/>
      <c r="AA620" s="364"/>
      <c r="AB620" s="364"/>
      <c r="AC620" s="364"/>
      <c r="AD620" s="364"/>
    </row>
    <row r="621" spans="2:30">
      <c r="B621" s="367">
        <f t="shared" si="27"/>
        <v>-1</v>
      </c>
      <c r="D621" s="182"/>
      <c r="E621" s="182"/>
      <c r="F621" s="184"/>
      <c r="G621" s="182"/>
      <c r="H621" s="182"/>
      <c r="I621" s="182"/>
      <c r="J621" s="183"/>
      <c r="K621" s="183"/>
      <c r="L621" s="182"/>
      <c r="N621" s="367">
        <f t="shared" si="28"/>
        <v>0</v>
      </c>
      <c r="O621" s="368">
        <f t="shared" si="29"/>
        <v>0</v>
      </c>
      <c r="Q621" s="364"/>
      <c r="R621" s="364"/>
      <c r="S621" s="364"/>
      <c r="T621" s="364"/>
      <c r="U621" s="364"/>
      <c r="V621" s="364"/>
      <c r="W621" s="364"/>
      <c r="X621" s="364"/>
      <c r="Y621" s="364"/>
      <c r="Z621" s="364"/>
      <c r="AA621" s="364"/>
      <c r="AB621" s="364"/>
      <c r="AC621" s="364"/>
      <c r="AD621" s="364"/>
    </row>
    <row r="622" spans="2:30">
      <c r="B622" s="367">
        <f t="shared" si="27"/>
        <v>-1</v>
      </c>
      <c r="D622" s="182"/>
      <c r="E622" s="182"/>
      <c r="F622" s="184"/>
      <c r="G622" s="182"/>
      <c r="H622" s="182"/>
      <c r="I622" s="182"/>
      <c r="J622" s="183"/>
      <c r="K622" s="183"/>
      <c r="L622" s="182"/>
      <c r="N622" s="367">
        <f t="shared" si="28"/>
        <v>0</v>
      </c>
      <c r="O622" s="368">
        <f t="shared" si="29"/>
        <v>0</v>
      </c>
      <c r="Q622" s="364"/>
      <c r="R622" s="364"/>
      <c r="S622" s="364"/>
      <c r="T622" s="364"/>
      <c r="U622" s="364"/>
      <c r="V622" s="364"/>
      <c r="W622" s="364"/>
      <c r="X622" s="364"/>
      <c r="Y622" s="364"/>
      <c r="Z622" s="364"/>
      <c r="AA622" s="364"/>
      <c r="AB622" s="364"/>
      <c r="AC622" s="364"/>
      <c r="AD622" s="364"/>
    </row>
    <row r="623" spans="2:30">
      <c r="B623" s="367">
        <f t="shared" si="27"/>
        <v>-1</v>
      </c>
      <c r="D623" s="182"/>
      <c r="E623" s="182"/>
      <c r="F623" s="184"/>
      <c r="G623" s="182"/>
      <c r="H623" s="182"/>
      <c r="I623" s="182"/>
      <c r="J623" s="183"/>
      <c r="K623" s="183"/>
      <c r="L623" s="182"/>
      <c r="N623" s="367">
        <f t="shared" si="28"/>
        <v>0</v>
      </c>
      <c r="O623" s="368">
        <f t="shared" si="29"/>
        <v>0</v>
      </c>
      <c r="Q623" s="364"/>
      <c r="R623" s="364"/>
      <c r="S623" s="364"/>
      <c r="T623" s="364"/>
      <c r="U623" s="364"/>
      <c r="V623" s="364"/>
      <c r="W623" s="364"/>
      <c r="X623" s="364"/>
      <c r="Y623" s="364"/>
      <c r="Z623" s="364"/>
      <c r="AA623" s="364"/>
      <c r="AB623" s="364"/>
      <c r="AC623" s="364"/>
      <c r="AD623" s="364"/>
    </row>
    <row r="624" spans="2:30">
      <c r="B624" s="367">
        <f t="shared" si="27"/>
        <v>-1</v>
      </c>
      <c r="D624" s="182"/>
      <c r="E624" s="182"/>
      <c r="F624" s="184"/>
      <c r="G624" s="182"/>
      <c r="H624" s="182"/>
      <c r="I624" s="182"/>
      <c r="J624" s="183"/>
      <c r="K624" s="183"/>
      <c r="L624" s="182"/>
      <c r="N624" s="367">
        <f t="shared" si="28"/>
        <v>0</v>
      </c>
      <c r="O624" s="368">
        <f t="shared" si="29"/>
        <v>0</v>
      </c>
      <c r="Q624" s="364"/>
      <c r="R624" s="364"/>
      <c r="S624" s="364"/>
      <c r="T624" s="364"/>
      <c r="U624" s="364"/>
      <c r="V624" s="364"/>
      <c r="W624" s="364"/>
      <c r="X624" s="364"/>
      <c r="Y624" s="364"/>
      <c r="Z624" s="364"/>
      <c r="AA624" s="364"/>
      <c r="AB624" s="364"/>
      <c r="AC624" s="364"/>
      <c r="AD624" s="364"/>
    </row>
    <row r="625" spans="2:30">
      <c r="B625" s="367">
        <f t="shared" si="27"/>
        <v>-1</v>
      </c>
      <c r="D625" s="182"/>
      <c r="E625" s="182"/>
      <c r="F625" s="184"/>
      <c r="G625" s="182"/>
      <c r="H625" s="182"/>
      <c r="I625" s="182"/>
      <c r="J625" s="183"/>
      <c r="K625" s="183"/>
      <c r="L625" s="182"/>
      <c r="N625" s="367">
        <f t="shared" si="28"/>
        <v>0</v>
      </c>
      <c r="O625" s="368">
        <f t="shared" si="29"/>
        <v>0</v>
      </c>
      <c r="Q625" s="364"/>
      <c r="R625" s="364"/>
      <c r="S625" s="364"/>
      <c r="T625" s="364"/>
      <c r="U625" s="364"/>
      <c r="V625" s="364"/>
      <c r="W625" s="364"/>
      <c r="X625" s="364"/>
      <c r="Y625" s="364"/>
      <c r="Z625" s="364"/>
      <c r="AA625" s="364"/>
      <c r="AB625" s="364"/>
      <c r="AC625" s="364"/>
      <c r="AD625" s="364"/>
    </row>
    <row r="626" spans="2:30">
      <c r="B626" s="367">
        <f t="shared" si="27"/>
        <v>-1</v>
      </c>
      <c r="D626" s="182"/>
      <c r="E626" s="182"/>
      <c r="F626" s="184"/>
      <c r="G626" s="182"/>
      <c r="H626" s="182"/>
      <c r="I626" s="182"/>
      <c r="J626" s="183"/>
      <c r="K626" s="183"/>
      <c r="L626" s="182"/>
      <c r="N626" s="367">
        <f t="shared" si="28"/>
        <v>0</v>
      </c>
      <c r="O626" s="368">
        <f t="shared" si="29"/>
        <v>0</v>
      </c>
      <c r="Q626" s="364"/>
      <c r="R626" s="364"/>
      <c r="S626" s="364"/>
      <c r="T626" s="364"/>
      <c r="U626" s="364"/>
      <c r="V626" s="364"/>
      <c r="W626" s="364"/>
      <c r="X626" s="364"/>
      <c r="Y626" s="364"/>
      <c r="Z626" s="364"/>
      <c r="AA626" s="364"/>
      <c r="AB626" s="364"/>
      <c r="AC626" s="364"/>
      <c r="AD626" s="364"/>
    </row>
    <row r="627" spans="2:30">
      <c r="B627" s="367">
        <f t="shared" si="27"/>
        <v>-1</v>
      </c>
      <c r="D627" s="182"/>
      <c r="E627" s="182"/>
      <c r="F627" s="184"/>
      <c r="G627" s="182"/>
      <c r="H627" s="182"/>
      <c r="I627" s="182"/>
      <c r="J627" s="183"/>
      <c r="K627" s="183"/>
      <c r="L627" s="182"/>
      <c r="N627" s="367">
        <f t="shared" si="28"/>
        <v>0</v>
      </c>
      <c r="O627" s="368">
        <f t="shared" si="29"/>
        <v>0</v>
      </c>
      <c r="Q627" s="364"/>
      <c r="R627" s="364"/>
      <c r="S627" s="364"/>
      <c r="T627" s="364"/>
      <c r="U627" s="364"/>
      <c r="V627" s="364"/>
      <c r="W627" s="364"/>
      <c r="X627" s="364"/>
      <c r="Y627" s="364"/>
      <c r="Z627" s="364"/>
      <c r="AA627" s="364"/>
      <c r="AB627" s="364"/>
      <c r="AC627" s="364"/>
      <c r="AD627" s="364"/>
    </row>
    <row r="628" spans="2:30">
      <c r="B628" s="367">
        <f t="shared" si="27"/>
        <v>-1</v>
      </c>
      <c r="D628" s="182"/>
      <c r="E628" s="182"/>
      <c r="F628" s="184"/>
      <c r="G628" s="182"/>
      <c r="H628" s="182"/>
      <c r="I628" s="182"/>
      <c r="J628" s="183"/>
      <c r="K628" s="183"/>
      <c r="L628" s="182"/>
      <c r="N628" s="367">
        <f t="shared" si="28"/>
        <v>0</v>
      </c>
      <c r="O628" s="368">
        <f t="shared" si="29"/>
        <v>0</v>
      </c>
      <c r="Q628" s="364"/>
      <c r="R628" s="364"/>
      <c r="S628" s="364"/>
      <c r="T628" s="364"/>
      <c r="U628" s="364"/>
      <c r="V628" s="364"/>
      <c r="W628" s="364"/>
      <c r="X628" s="364"/>
      <c r="Y628" s="364"/>
      <c r="Z628" s="364"/>
      <c r="AA628" s="364"/>
      <c r="AB628" s="364"/>
      <c r="AC628" s="364"/>
      <c r="AD628" s="364"/>
    </row>
    <row r="629" spans="2:30">
      <c r="B629" s="367">
        <f t="shared" si="27"/>
        <v>-1</v>
      </c>
      <c r="D629" s="182"/>
      <c r="E629" s="182"/>
      <c r="F629" s="184"/>
      <c r="G629" s="182"/>
      <c r="H629" s="182"/>
      <c r="I629" s="182"/>
      <c r="J629" s="183"/>
      <c r="K629" s="183"/>
      <c r="L629" s="182"/>
      <c r="N629" s="367">
        <f t="shared" si="28"/>
        <v>0</v>
      </c>
      <c r="O629" s="368">
        <f t="shared" si="29"/>
        <v>0</v>
      </c>
      <c r="Q629" s="364"/>
      <c r="R629" s="364"/>
      <c r="S629" s="364"/>
      <c r="T629" s="364"/>
      <c r="U629" s="364"/>
      <c r="V629" s="364"/>
      <c r="W629" s="364"/>
      <c r="X629" s="364"/>
      <c r="Y629" s="364"/>
      <c r="Z629" s="364"/>
      <c r="AA629" s="364"/>
      <c r="AB629" s="364"/>
      <c r="AC629" s="364"/>
      <c r="AD629" s="364"/>
    </row>
    <row r="630" spans="2:30">
      <c r="B630" s="367">
        <f t="shared" si="27"/>
        <v>-1</v>
      </c>
      <c r="D630" s="182"/>
      <c r="E630" s="182"/>
      <c r="F630" s="184"/>
      <c r="G630" s="182"/>
      <c r="H630" s="182"/>
      <c r="I630" s="182"/>
      <c r="J630" s="183"/>
      <c r="K630" s="183"/>
      <c r="L630" s="182"/>
      <c r="N630" s="367">
        <f t="shared" si="28"/>
        <v>0</v>
      </c>
      <c r="O630" s="368">
        <f t="shared" si="29"/>
        <v>0</v>
      </c>
      <c r="Q630" s="364"/>
      <c r="R630" s="364"/>
      <c r="S630" s="364"/>
      <c r="T630" s="364"/>
      <c r="U630" s="364"/>
      <c r="V630" s="364"/>
      <c r="W630" s="364"/>
      <c r="X630" s="364"/>
      <c r="Y630" s="364"/>
      <c r="Z630" s="364"/>
      <c r="AA630" s="364"/>
      <c r="AB630" s="364"/>
      <c r="AC630" s="364"/>
      <c r="AD630" s="364"/>
    </row>
    <row r="631" spans="2:30">
      <c r="B631" s="367">
        <f t="shared" si="27"/>
        <v>-1</v>
      </c>
      <c r="D631" s="182"/>
      <c r="E631" s="182"/>
      <c r="F631" s="184"/>
      <c r="G631" s="182"/>
      <c r="H631" s="182"/>
      <c r="I631" s="182"/>
      <c r="J631" s="183"/>
      <c r="K631" s="183"/>
      <c r="L631" s="182"/>
      <c r="N631" s="367">
        <f t="shared" si="28"/>
        <v>0</v>
      </c>
      <c r="O631" s="368">
        <f t="shared" si="29"/>
        <v>0</v>
      </c>
      <c r="Q631" s="364"/>
      <c r="R631" s="364"/>
      <c r="S631" s="364"/>
      <c r="T631" s="364"/>
      <c r="U631" s="364"/>
      <c r="V631" s="364"/>
      <c r="W631" s="364"/>
      <c r="X631" s="364"/>
      <c r="Y631" s="364"/>
      <c r="Z631" s="364"/>
      <c r="AA631" s="364"/>
      <c r="AB631" s="364"/>
      <c r="AC631" s="364"/>
      <c r="AD631" s="364"/>
    </row>
    <row r="632" spans="2:30">
      <c r="B632" s="367">
        <f t="shared" si="27"/>
        <v>-1</v>
      </c>
      <c r="D632" s="182"/>
      <c r="E632" s="182"/>
      <c r="F632" s="184"/>
      <c r="G632" s="182"/>
      <c r="H632" s="182"/>
      <c r="I632" s="182"/>
      <c r="J632" s="183"/>
      <c r="K632" s="183"/>
      <c r="L632" s="182"/>
      <c r="N632" s="367">
        <f t="shared" si="28"/>
        <v>0</v>
      </c>
      <c r="O632" s="368">
        <f t="shared" si="29"/>
        <v>0</v>
      </c>
      <c r="Q632" s="364"/>
      <c r="R632" s="364"/>
      <c r="S632" s="364"/>
      <c r="T632" s="364"/>
      <c r="U632" s="364"/>
      <c r="V632" s="364"/>
      <c r="W632" s="364"/>
      <c r="X632" s="364"/>
      <c r="Y632" s="364"/>
      <c r="Z632" s="364"/>
      <c r="AA632" s="364"/>
      <c r="AB632" s="364"/>
      <c r="AC632" s="364"/>
      <c r="AD632" s="364"/>
    </row>
    <row r="633" spans="2:30">
      <c r="B633" s="367">
        <f t="shared" si="27"/>
        <v>-1</v>
      </c>
      <c r="D633" s="182"/>
      <c r="E633" s="182"/>
      <c r="F633" s="184"/>
      <c r="G633" s="182"/>
      <c r="H633" s="182"/>
      <c r="I633" s="182"/>
      <c r="J633" s="183"/>
      <c r="K633" s="183"/>
      <c r="L633" s="182"/>
      <c r="N633" s="367">
        <f t="shared" si="28"/>
        <v>0</v>
      </c>
      <c r="O633" s="368">
        <f t="shared" si="29"/>
        <v>0</v>
      </c>
      <c r="Q633" s="364"/>
      <c r="R633" s="364"/>
      <c r="S633" s="364"/>
      <c r="T633" s="364"/>
      <c r="U633" s="364"/>
      <c r="V633" s="364"/>
      <c r="W633" s="364"/>
      <c r="X633" s="364"/>
      <c r="Y633" s="364"/>
      <c r="Z633" s="364"/>
      <c r="AA633" s="364"/>
      <c r="AB633" s="364"/>
      <c r="AC633" s="364"/>
      <c r="AD633" s="364"/>
    </row>
    <row r="634" spans="2:30">
      <c r="B634" s="367">
        <f t="shared" si="27"/>
        <v>-1</v>
      </c>
      <c r="D634" s="182"/>
      <c r="E634" s="182"/>
      <c r="F634" s="184"/>
      <c r="G634" s="182"/>
      <c r="H634" s="182"/>
      <c r="I634" s="182"/>
      <c r="J634" s="183"/>
      <c r="K634" s="183"/>
      <c r="L634" s="182"/>
      <c r="N634" s="367">
        <f t="shared" si="28"/>
        <v>0</v>
      </c>
      <c r="O634" s="368">
        <f t="shared" si="29"/>
        <v>0</v>
      </c>
      <c r="Q634" s="364"/>
      <c r="R634" s="364"/>
      <c r="S634" s="364"/>
      <c r="T634" s="364"/>
      <c r="U634" s="364"/>
      <c r="V634" s="364"/>
      <c r="W634" s="364"/>
      <c r="X634" s="364"/>
      <c r="Y634" s="364"/>
      <c r="Z634" s="364"/>
      <c r="AA634" s="364"/>
      <c r="AB634" s="364"/>
      <c r="AC634" s="364"/>
      <c r="AD634" s="364"/>
    </row>
    <row r="635" spans="2:30">
      <c r="B635" s="367">
        <f t="shared" si="27"/>
        <v>-1</v>
      </c>
      <c r="D635" s="182"/>
      <c r="E635" s="182"/>
      <c r="F635" s="184"/>
      <c r="G635" s="182"/>
      <c r="H635" s="182"/>
      <c r="I635" s="182"/>
      <c r="J635" s="183"/>
      <c r="K635" s="183"/>
      <c r="L635" s="182"/>
      <c r="N635" s="367">
        <f t="shared" si="28"/>
        <v>0</v>
      </c>
      <c r="O635" s="368">
        <f t="shared" si="29"/>
        <v>0</v>
      </c>
      <c r="Q635" s="364"/>
      <c r="R635" s="364"/>
      <c r="S635" s="364"/>
      <c r="T635" s="364"/>
      <c r="U635" s="364"/>
      <c r="V635" s="364"/>
      <c r="W635" s="364"/>
      <c r="X635" s="364"/>
      <c r="Y635" s="364"/>
      <c r="Z635" s="364"/>
      <c r="AA635" s="364"/>
      <c r="AB635" s="364"/>
      <c r="AC635" s="364"/>
      <c r="AD635" s="364"/>
    </row>
    <row r="636" spans="2:30">
      <c r="B636" s="367">
        <f t="shared" si="27"/>
        <v>-1</v>
      </c>
      <c r="D636" s="182"/>
      <c r="E636" s="182"/>
      <c r="F636" s="184"/>
      <c r="G636" s="182"/>
      <c r="H636" s="182"/>
      <c r="I636" s="182"/>
      <c r="J636" s="183"/>
      <c r="K636" s="183"/>
      <c r="L636" s="182"/>
      <c r="N636" s="367">
        <f t="shared" si="28"/>
        <v>0</v>
      </c>
      <c r="O636" s="368">
        <f t="shared" si="29"/>
        <v>0</v>
      </c>
      <c r="Q636" s="364"/>
      <c r="R636" s="364"/>
      <c r="S636" s="364"/>
      <c r="T636" s="364"/>
      <c r="U636" s="364"/>
      <c r="V636" s="364"/>
      <c r="W636" s="364"/>
      <c r="X636" s="364"/>
      <c r="Y636" s="364"/>
      <c r="Z636" s="364"/>
      <c r="AA636" s="364"/>
      <c r="AB636" s="364"/>
      <c r="AC636" s="364"/>
      <c r="AD636" s="364"/>
    </row>
    <row r="637" spans="2:30">
      <c r="B637" s="367">
        <f t="shared" si="27"/>
        <v>-1</v>
      </c>
      <c r="D637" s="182"/>
      <c r="E637" s="182"/>
      <c r="F637" s="184"/>
      <c r="G637" s="182"/>
      <c r="H637" s="182"/>
      <c r="I637" s="182"/>
      <c r="J637" s="183"/>
      <c r="K637" s="183"/>
      <c r="L637" s="182"/>
      <c r="N637" s="367">
        <f t="shared" si="28"/>
        <v>0</v>
      </c>
      <c r="O637" s="368">
        <f t="shared" si="29"/>
        <v>0</v>
      </c>
      <c r="Q637" s="364"/>
      <c r="R637" s="364"/>
      <c r="S637" s="364"/>
      <c r="T637" s="364"/>
      <c r="U637" s="364"/>
      <c r="V637" s="364"/>
      <c r="W637" s="364"/>
      <c r="X637" s="364"/>
      <c r="Y637" s="364"/>
      <c r="Z637" s="364"/>
      <c r="AA637" s="364"/>
      <c r="AB637" s="364"/>
      <c r="AC637" s="364"/>
      <c r="AD637" s="364"/>
    </row>
    <row r="638" spans="2:30">
      <c r="B638" s="367">
        <f t="shared" si="27"/>
        <v>-1</v>
      </c>
      <c r="D638" s="182"/>
      <c r="E638" s="182"/>
      <c r="F638" s="184"/>
      <c r="G638" s="182"/>
      <c r="H638" s="182"/>
      <c r="I638" s="182"/>
      <c r="J638" s="183"/>
      <c r="K638" s="183"/>
      <c r="L638" s="182"/>
      <c r="N638" s="367">
        <f t="shared" si="28"/>
        <v>0</v>
      </c>
      <c r="O638" s="368">
        <f t="shared" si="29"/>
        <v>0</v>
      </c>
      <c r="Q638" s="364"/>
      <c r="R638" s="364"/>
      <c r="S638" s="364"/>
      <c r="T638" s="364"/>
      <c r="U638" s="364"/>
      <c r="V638" s="364"/>
      <c r="W638" s="364"/>
      <c r="X638" s="364"/>
      <c r="Y638" s="364"/>
      <c r="Z638" s="364"/>
      <c r="AA638" s="364"/>
      <c r="AB638" s="364"/>
      <c r="AC638" s="364"/>
      <c r="AD638" s="364"/>
    </row>
    <row r="639" spans="2:30">
      <c r="B639" s="367">
        <f t="shared" si="27"/>
        <v>-1</v>
      </c>
      <c r="D639" s="182"/>
      <c r="E639" s="182"/>
      <c r="F639" s="184"/>
      <c r="G639" s="182"/>
      <c r="H639" s="182"/>
      <c r="I639" s="182"/>
      <c r="J639" s="183"/>
      <c r="K639" s="183"/>
      <c r="L639" s="182"/>
      <c r="N639" s="367">
        <f t="shared" si="28"/>
        <v>0</v>
      </c>
      <c r="O639" s="368">
        <f t="shared" si="29"/>
        <v>0</v>
      </c>
      <c r="Q639" s="364"/>
      <c r="R639" s="364"/>
      <c r="S639" s="364"/>
      <c r="T639" s="364"/>
      <c r="U639" s="364"/>
      <c r="V639" s="364"/>
      <c r="W639" s="364"/>
      <c r="X639" s="364"/>
      <c r="Y639" s="364"/>
      <c r="Z639" s="364"/>
      <c r="AA639" s="364"/>
      <c r="AB639" s="364"/>
      <c r="AC639" s="364"/>
      <c r="AD639" s="364"/>
    </row>
    <row r="640" spans="2:30">
      <c r="B640" s="367">
        <f t="shared" si="27"/>
        <v>-1</v>
      </c>
      <c r="D640" s="182"/>
      <c r="E640" s="182"/>
      <c r="F640" s="184"/>
      <c r="G640" s="182"/>
      <c r="H640" s="182"/>
      <c r="I640" s="182"/>
      <c r="J640" s="183"/>
      <c r="K640" s="183"/>
      <c r="L640" s="182"/>
      <c r="N640" s="367">
        <f t="shared" si="28"/>
        <v>0</v>
      </c>
      <c r="O640" s="368">
        <f t="shared" si="29"/>
        <v>0</v>
      </c>
      <c r="Q640" s="364"/>
      <c r="R640" s="364"/>
      <c r="S640" s="364"/>
      <c r="T640" s="364"/>
      <c r="U640" s="364"/>
      <c r="V640" s="364"/>
      <c r="W640" s="364"/>
      <c r="X640" s="364"/>
      <c r="Y640" s="364"/>
      <c r="Z640" s="364"/>
      <c r="AA640" s="364"/>
      <c r="AB640" s="364"/>
      <c r="AC640" s="364"/>
      <c r="AD640" s="364"/>
    </row>
    <row r="641" spans="2:30">
      <c r="B641" s="367">
        <f t="shared" si="27"/>
        <v>-1</v>
      </c>
      <c r="D641" s="182"/>
      <c r="E641" s="182"/>
      <c r="F641" s="184"/>
      <c r="G641" s="182"/>
      <c r="H641" s="182"/>
      <c r="I641" s="182"/>
      <c r="J641" s="183"/>
      <c r="K641" s="183"/>
      <c r="L641" s="182"/>
      <c r="N641" s="367">
        <f t="shared" si="28"/>
        <v>0</v>
      </c>
      <c r="O641" s="368">
        <f t="shared" si="29"/>
        <v>0</v>
      </c>
      <c r="Q641" s="364"/>
      <c r="R641" s="364"/>
      <c r="S641" s="364"/>
      <c r="T641" s="364"/>
      <c r="U641" s="364"/>
      <c r="V641" s="364"/>
      <c r="W641" s="364"/>
      <c r="X641" s="364"/>
      <c r="Y641" s="364"/>
      <c r="Z641" s="364"/>
      <c r="AA641" s="364"/>
      <c r="AB641" s="364"/>
      <c r="AC641" s="364"/>
      <c r="AD641" s="364"/>
    </row>
    <row r="642" spans="2:30">
      <c r="B642" s="367">
        <f t="shared" si="27"/>
        <v>-1</v>
      </c>
      <c r="D642" s="182"/>
      <c r="E642" s="182"/>
      <c r="F642" s="184"/>
      <c r="G642" s="182"/>
      <c r="H642" s="182"/>
      <c r="I642" s="182"/>
      <c r="J642" s="183"/>
      <c r="K642" s="183"/>
      <c r="L642" s="182"/>
      <c r="N642" s="367">
        <f t="shared" si="28"/>
        <v>0</v>
      </c>
      <c r="O642" s="368">
        <f t="shared" si="29"/>
        <v>0</v>
      </c>
      <c r="Q642" s="364"/>
      <c r="R642" s="364"/>
      <c r="S642" s="364"/>
      <c r="T642" s="364"/>
      <c r="U642" s="364"/>
      <c r="V642" s="364"/>
      <c r="W642" s="364"/>
      <c r="X642" s="364"/>
      <c r="Y642" s="364"/>
      <c r="Z642" s="364"/>
      <c r="AA642" s="364"/>
      <c r="AB642" s="364"/>
      <c r="AC642" s="364"/>
      <c r="AD642" s="364"/>
    </row>
    <row r="643" spans="2:30">
      <c r="B643" s="367">
        <f t="shared" si="27"/>
        <v>-1</v>
      </c>
      <c r="D643" s="182"/>
      <c r="E643" s="182"/>
      <c r="F643" s="184"/>
      <c r="G643" s="182"/>
      <c r="H643" s="182"/>
      <c r="I643" s="182"/>
      <c r="J643" s="183"/>
      <c r="K643" s="183"/>
      <c r="L643" s="182"/>
      <c r="N643" s="367">
        <f t="shared" si="28"/>
        <v>0</v>
      </c>
      <c r="O643" s="368">
        <f t="shared" si="29"/>
        <v>0</v>
      </c>
      <c r="Q643" s="364"/>
      <c r="R643" s="364"/>
      <c r="S643" s="364"/>
      <c r="T643" s="364"/>
      <c r="U643" s="364"/>
      <c r="V643" s="364"/>
      <c r="W643" s="364"/>
      <c r="X643" s="364"/>
      <c r="Y643" s="364"/>
      <c r="Z643" s="364"/>
      <c r="AA643" s="364"/>
      <c r="AB643" s="364"/>
      <c r="AC643" s="364"/>
      <c r="AD643" s="364"/>
    </row>
    <row r="644" spans="2:30">
      <c r="B644" s="367">
        <f t="shared" si="27"/>
        <v>-1</v>
      </c>
      <c r="D644" s="182"/>
      <c r="E644" s="182"/>
      <c r="F644" s="184"/>
      <c r="G644" s="182"/>
      <c r="H644" s="182"/>
      <c r="I644" s="182"/>
      <c r="J644" s="183"/>
      <c r="K644" s="183"/>
      <c r="L644" s="182"/>
      <c r="N644" s="367">
        <f t="shared" si="28"/>
        <v>0</v>
      </c>
      <c r="O644" s="368">
        <f t="shared" si="29"/>
        <v>0</v>
      </c>
      <c r="Q644" s="364"/>
      <c r="R644" s="364"/>
      <c r="S644" s="364"/>
      <c r="T644" s="364"/>
      <c r="U644" s="364"/>
      <c r="V644" s="364"/>
      <c r="W644" s="364"/>
      <c r="X644" s="364"/>
      <c r="Y644" s="364"/>
      <c r="Z644" s="364"/>
      <c r="AA644" s="364"/>
      <c r="AB644" s="364"/>
      <c r="AC644" s="364"/>
      <c r="AD644" s="364"/>
    </row>
    <row r="645" spans="2:30">
      <c r="B645" s="367">
        <f t="shared" si="27"/>
        <v>-1</v>
      </c>
      <c r="D645" s="182"/>
      <c r="E645" s="182"/>
      <c r="F645" s="184"/>
      <c r="G645" s="182"/>
      <c r="H645" s="182"/>
      <c r="I645" s="182"/>
      <c r="J645" s="183"/>
      <c r="K645" s="183"/>
      <c r="L645" s="182"/>
      <c r="N645" s="367">
        <f t="shared" si="28"/>
        <v>0</v>
      </c>
      <c r="O645" s="368">
        <f t="shared" si="29"/>
        <v>0</v>
      </c>
      <c r="Q645" s="364"/>
      <c r="R645" s="364"/>
      <c r="S645" s="364"/>
      <c r="T645" s="364"/>
      <c r="U645" s="364"/>
      <c r="V645" s="364"/>
      <c r="W645" s="364"/>
      <c r="X645" s="364"/>
      <c r="Y645" s="364"/>
      <c r="Z645" s="364"/>
      <c r="AA645" s="364"/>
      <c r="AB645" s="364"/>
      <c r="AC645" s="364"/>
      <c r="AD645" s="364"/>
    </row>
    <row r="646" spans="2:30">
      <c r="B646" s="367">
        <f t="shared" si="27"/>
        <v>-1</v>
      </c>
      <c r="D646" s="182"/>
      <c r="E646" s="182"/>
      <c r="F646" s="184"/>
      <c r="G646" s="182"/>
      <c r="H646" s="182"/>
      <c r="I646" s="182"/>
      <c r="J646" s="183"/>
      <c r="K646" s="183"/>
      <c r="L646" s="182"/>
      <c r="N646" s="367">
        <f t="shared" si="28"/>
        <v>0</v>
      </c>
      <c r="O646" s="368">
        <f t="shared" si="29"/>
        <v>0</v>
      </c>
      <c r="Q646" s="364"/>
      <c r="R646" s="364"/>
      <c r="S646" s="364"/>
      <c r="T646" s="364"/>
      <c r="U646" s="364"/>
      <c r="V646" s="364"/>
      <c r="W646" s="364"/>
      <c r="X646" s="364"/>
      <c r="Y646" s="364"/>
      <c r="Z646" s="364"/>
      <c r="AA646" s="364"/>
      <c r="AB646" s="364"/>
      <c r="AC646" s="364"/>
      <c r="AD646" s="364"/>
    </row>
    <row r="647" spans="2:30">
      <c r="B647" s="367">
        <f t="shared" si="27"/>
        <v>-1</v>
      </c>
      <c r="D647" s="182"/>
      <c r="E647" s="182"/>
      <c r="F647" s="184"/>
      <c r="G647" s="182"/>
      <c r="H647" s="182"/>
      <c r="I647" s="182"/>
      <c r="J647" s="183"/>
      <c r="K647" s="183"/>
      <c r="L647" s="182"/>
      <c r="N647" s="367">
        <f t="shared" si="28"/>
        <v>0</v>
      </c>
      <c r="O647" s="368">
        <f t="shared" si="29"/>
        <v>0</v>
      </c>
      <c r="Q647" s="364"/>
      <c r="R647" s="364"/>
      <c r="S647" s="364"/>
      <c r="T647" s="364"/>
      <c r="U647" s="364"/>
      <c r="V647" s="364"/>
      <c r="W647" s="364"/>
      <c r="X647" s="364"/>
      <c r="Y647" s="364"/>
      <c r="Z647" s="364"/>
      <c r="AA647" s="364"/>
      <c r="AB647" s="364"/>
      <c r="AC647" s="364"/>
      <c r="AD647" s="364"/>
    </row>
    <row r="648" spans="2:30">
      <c r="B648" s="367">
        <f t="shared" si="27"/>
        <v>-1</v>
      </c>
      <c r="D648" s="182"/>
      <c r="E648" s="182"/>
      <c r="F648" s="184"/>
      <c r="G648" s="182"/>
      <c r="H648" s="182"/>
      <c r="I648" s="182"/>
      <c r="J648" s="183"/>
      <c r="K648" s="183"/>
      <c r="L648" s="182"/>
      <c r="N648" s="367">
        <f t="shared" si="28"/>
        <v>0</v>
      </c>
      <c r="O648" s="368">
        <f t="shared" si="29"/>
        <v>0</v>
      </c>
      <c r="Q648" s="364"/>
      <c r="R648" s="364"/>
      <c r="S648" s="364"/>
      <c r="T648" s="364"/>
      <c r="U648" s="364"/>
      <c r="V648" s="364"/>
      <c r="W648" s="364"/>
      <c r="X648" s="364"/>
      <c r="Y648" s="364"/>
      <c r="Z648" s="364"/>
      <c r="AA648" s="364"/>
      <c r="AB648" s="364"/>
      <c r="AC648" s="364"/>
      <c r="AD648" s="364"/>
    </row>
    <row r="649" spans="2:30">
      <c r="B649" s="367">
        <f t="shared" si="27"/>
        <v>-1</v>
      </c>
      <c r="D649" s="182"/>
      <c r="E649" s="182"/>
      <c r="F649" s="184"/>
      <c r="G649" s="182"/>
      <c r="H649" s="182"/>
      <c r="I649" s="182"/>
      <c r="J649" s="183"/>
      <c r="K649" s="183"/>
      <c r="L649" s="182"/>
      <c r="N649" s="367">
        <f t="shared" si="28"/>
        <v>0</v>
      </c>
      <c r="O649" s="368">
        <f t="shared" si="29"/>
        <v>0</v>
      </c>
      <c r="Q649" s="364"/>
      <c r="R649" s="364"/>
      <c r="S649" s="364"/>
      <c r="T649" s="364"/>
      <c r="U649" s="364"/>
      <c r="V649" s="364"/>
      <c r="W649" s="364"/>
      <c r="X649" s="364"/>
      <c r="Y649" s="364"/>
      <c r="Z649" s="364"/>
      <c r="AA649" s="364"/>
      <c r="AB649" s="364"/>
      <c r="AC649" s="364"/>
      <c r="AD649" s="364"/>
    </row>
    <row r="650" spans="2:30">
      <c r="B650" s="367">
        <f t="shared" ref="B650:B713" si="30">IF(G650="buy",1,-1)</f>
        <v>-1</v>
      </c>
      <c r="D650" s="182"/>
      <c r="E650" s="182"/>
      <c r="F650" s="184"/>
      <c r="G650" s="182"/>
      <c r="H650" s="182"/>
      <c r="I650" s="182"/>
      <c r="J650" s="183"/>
      <c r="K650" s="183"/>
      <c r="L650" s="182"/>
      <c r="N650" s="367">
        <f t="shared" ref="N650:N713" si="31">+H650*((K650-J650)+1)*B650</f>
        <v>0</v>
      </c>
      <c r="O650" s="368">
        <f t="shared" ref="O650:O713" si="32">N650*L650/100</f>
        <v>0</v>
      </c>
      <c r="Q650" s="364"/>
      <c r="R650" s="364"/>
      <c r="S650" s="364"/>
      <c r="T650" s="364"/>
      <c r="U650" s="364"/>
      <c r="V650" s="364"/>
      <c r="W650" s="364"/>
      <c r="X650" s="364"/>
      <c r="Y650" s="364"/>
      <c r="Z650" s="364"/>
      <c r="AA650" s="364"/>
      <c r="AB650" s="364"/>
      <c r="AC650" s="364"/>
      <c r="AD650" s="364"/>
    </row>
    <row r="651" spans="2:30">
      <c r="B651" s="367">
        <f t="shared" si="30"/>
        <v>-1</v>
      </c>
      <c r="D651" s="182"/>
      <c r="E651" s="182"/>
      <c r="F651" s="184"/>
      <c r="G651" s="182"/>
      <c r="H651" s="182"/>
      <c r="I651" s="182"/>
      <c r="J651" s="183"/>
      <c r="K651" s="183"/>
      <c r="L651" s="182"/>
      <c r="N651" s="367">
        <f t="shared" si="31"/>
        <v>0</v>
      </c>
      <c r="O651" s="368">
        <f t="shared" si="32"/>
        <v>0</v>
      </c>
      <c r="Q651" s="364"/>
      <c r="R651" s="364"/>
      <c r="S651" s="364"/>
      <c r="T651" s="364"/>
      <c r="U651" s="364"/>
      <c r="V651" s="364"/>
      <c r="W651" s="364"/>
      <c r="X651" s="364"/>
      <c r="Y651" s="364"/>
      <c r="Z651" s="364"/>
      <c r="AA651" s="364"/>
      <c r="AB651" s="364"/>
      <c r="AC651" s="364"/>
      <c r="AD651" s="364"/>
    </row>
    <row r="652" spans="2:30">
      <c r="B652" s="367">
        <f t="shared" si="30"/>
        <v>-1</v>
      </c>
      <c r="D652" s="182"/>
      <c r="E652" s="182"/>
      <c r="F652" s="184"/>
      <c r="G652" s="182"/>
      <c r="H652" s="182"/>
      <c r="I652" s="182"/>
      <c r="J652" s="183"/>
      <c r="K652" s="183"/>
      <c r="L652" s="182"/>
      <c r="N652" s="367">
        <f t="shared" si="31"/>
        <v>0</v>
      </c>
      <c r="O652" s="368">
        <f t="shared" si="32"/>
        <v>0</v>
      </c>
      <c r="Q652" s="364"/>
      <c r="R652" s="364"/>
      <c r="S652" s="364"/>
      <c r="T652" s="364"/>
      <c r="U652" s="364"/>
      <c r="V652" s="364"/>
      <c r="W652" s="364"/>
      <c r="X652" s="364"/>
      <c r="Y652" s="364"/>
      <c r="Z652" s="364"/>
      <c r="AA652" s="364"/>
      <c r="AB652" s="364"/>
      <c r="AC652" s="364"/>
      <c r="AD652" s="364"/>
    </row>
    <row r="653" spans="2:30">
      <c r="B653" s="367">
        <f t="shared" si="30"/>
        <v>-1</v>
      </c>
      <c r="D653" s="182"/>
      <c r="E653" s="182"/>
      <c r="F653" s="184"/>
      <c r="G653" s="182"/>
      <c r="H653" s="182"/>
      <c r="I653" s="182"/>
      <c r="J653" s="183"/>
      <c r="K653" s="183"/>
      <c r="L653" s="182"/>
      <c r="N653" s="367">
        <f t="shared" si="31"/>
        <v>0</v>
      </c>
      <c r="O653" s="368">
        <f t="shared" si="32"/>
        <v>0</v>
      </c>
      <c r="Q653" s="364"/>
      <c r="R653" s="364"/>
      <c r="S653" s="364"/>
      <c r="T653" s="364"/>
      <c r="U653" s="364"/>
      <c r="V653" s="364"/>
      <c r="W653" s="364"/>
      <c r="X653" s="364"/>
      <c r="Y653" s="364"/>
      <c r="Z653" s="364"/>
      <c r="AA653" s="364"/>
      <c r="AB653" s="364"/>
      <c r="AC653" s="364"/>
      <c r="AD653" s="364"/>
    </row>
    <row r="654" spans="2:30">
      <c r="B654" s="367">
        <f t="shared" si="30"/>
        <v>-1</v>
      </c>
      <c r="D654" s="182"/>
      <c r="E654" s="182"/>
      <c r="F654" s="184"/>
      <c r="G654" s="182"/>
      <c r="H654" s="182"/>
      <c r="I654" s="182"/>
      <c r="J654" s="183"/>
      <c r="K654" s="183"/>
      <c r="L654" s="182"/>
      <c r="N654" s="367">
        <f t="shared" si="31"/>
        <v>0</v>
      </c>
      <c r="O654" s="368">
        <f t="shared" si="32"/>
        <v>0</v>
      </c>
      <c r="Q654" s="364"/>
      <c r="R654" s="364"/>
      <c r="S654" s="364"/>
      <c r="T654" s="364"/>
      <c r="U654" s="364"/>
      <c r="V654" s="364"/>
      <c r="W654" s="364"/>
      <c r="X654" s="364"/>
      <c r="Y654" s="364"/>
      <c r="Z654" s="364"/>
      <c r="AA654" s="364"/>
      <c r="AB654" s="364"/>
      <c r="AC654" s="364"/>
      <c r="AD654" s="364"/>
    </row>
    <row r="655" spans="2:30">
      <c r="B655" s="367">
        <f t="shared" si="30"/>
        <v>-1</v>
      </c>
      <c r="D655" s="182"/>
      <c r="E655" s="182"/>
      <c r="F655" s="184"/>
      <c r="G655" s="182"/>
      <c r="H655" s="182"/>
      <c r="I655" s="182"/>
      <c r="J655" s="183"/>
      <c r="K655" s="183"/>
      <c r="L655" s="182"/>
      <c r="N655" s="367">
        <f t="shared" si="31"/>
        <v>0</v>
      </c>
      <c r="O655" s="368">
        <f t="shared" si="32"/>
        <v>0</v>
      </c>
      <c r="Q655" s="364"/>
      <c r="R655" s="364"/>
      <c r="S655" s="364"/>
      <c r="T655" s="364"/>
      <c r="U655" s="364"/>
      <c r="V655" s="364"/>
      <c r="W655" s="364"/>
      <c r="X655" s="364"/>
      <c r="Y655" s="364"/>
      <c r="Z655" s="364"/>
      <c r="AA655" s="364"/>
      <c r="AB655" s="364"/>
      <c r="AC655" s="364"/>
      <c r="AD655" s="364"/>
    </row>
    <row r="656" spans="2:30">
      <c r="B656" s="367">
        <f t="shared" si="30"/>
        <v>-1</v>
      </c>
      <c r="D656" s="182"/>
      <c r="E656" s="182"/>
      <c r="F656" s="184"/>
      <c r="G656" s="182"/>
      <c r="H656" s="182"/>
      <c r="I656" s="182"/>
      <c r="J656" s="183"/>
      <c r="K656" s="183"/>
      <c r="L656" s="182"/>
      <c r="N656" s="367">
        <f t="shared" si="31"/>
        <v>0</v>
      </c>
      <c r="O656" s="368">
        <f t="shared" si="32"/>
        <v>0</v>
      </c>
      <c r="Q656" s="364"/>
      <c r="R656" s="364"/>
      <c r="S656" s="364"/>
      <c r="T656" s="364"/>
      <c r="U656" s="364"/>
      <c r="V656" s="364"/>
      <c r="W656" s="364"/>
      <c r="X656" s="364"/>
      <c r="Y656" s="364"/>
      <c r="Z656" s="364"/>
      <c r="AA656" s="364"/>
      <c r="AB656" s="364"/>
      <c r="AC656" s="364"/>
      <c r="AD656" s="364"/>
    </row>
    <row r="657" spans="2:30">
      <c r="B657" s="367">
        <f t="shared" si="30"/>
        <v>-1</v>
      </c>
      <c r="D657" s="182"/>
      <c r="E657" s="182"/>
      <c r="F657" s="184"/>
      <c r="G657" s="182"/>
      <c r="H657" s="182"/>
      <c r="I657" s="182"/>
      <c r="J657" s="183"/>
      <c r="K657" s="183"/>
      <c r="L657" s="182"/>
      <c r="N657" s="367">
        <f t="shared" si="31"/>
        <v>0</v>
      </c>
      <c r="O657" s="368">
        <f t="shared" si="32"/>
        <v>0</v>
      </c>
      <c r="Q657" s="364"/>
      <c r="R657" s="364"/>
      <c r="S657" s="364"/>
      <c r="T657" s="364"/>
      <c r="U657" s="364"/>
      <c r="V657" s="364"/>
      <c r="W657" s="364"/>
      <c r="X657" s="364"/>
      <c r="Y657" s="364"/>
      <c r="Z657" s="364"/>
      <c r="AA657" s="364"/>
      <c r="AB657" s="364"/>
      <c r="AC657" s="364"/>
      <c r="AD657" s="364"/>
    </row>
    <row r="658" spans="2:30">
      <c r="B658" s="367">
        <f t="shared" si="30"/>
        <v>-1</v>
      </c>
      <c r="D658" s="182"/>
      <c r="E658" s="182"/>
      <c r="F658" s="184"/>
      <c r="G658" s="182"/>
      <c r="H658" s="182"/>
      <c r="I658" s="182"/>
      <c r="J658" s="183"/>
      <c r="K658" s="183"/>
      <c r="L658" s="182"/>
      <c r="N658" s="367">
        <f t="shared" si="31"/>
        <v>0</v>
      </c>
      <c r="O658" s="368">
        <f t="shared" si="32"/>
        <v>0</v>
      </c>
      <c r="Q658" s="364"/>
      <c r="R658" s="364"/>
      <c r="S658" s="364"/>
      <c r="T658" s="364"/>
      <c r="U658" s="364"/>
      <c r="V658" s="364"/>
      <c r="W658" s="364"/>
      <c r="X658" s="364"/>
      <c r="Y658" s="364"/>
      <c r="Z658" s="364"/>
      <c r="AA658" s="364"/>
      <c r="AB658" s="364"/>
      <c r="AC658" s="364"/>
      <c r="AD658" s="364"/>
    </row>
    <row r="659" spans="2:30">
      <c r="B659" s="367">
        <f t="shared" si="30"/>
        <v>-1</v>
      </c>
      <c r="D659" s="182"/>
      <c r="E659" s="182"/>
      <c r="F659" s="184"/>
      <c r="G659" s="182"/>
      <c r="H659" s="182"/>
      <c r="I659" s="182"/>
      <c r="J659" s="183"/>
      <c r="K659" s="183"/>
      <c r="L659" s="182"/>
      <c r="N659" s="367">
        <f t="shared" si="31"/>
        <v>0</v>
      </c>
      <c r="O659" s="368">
        <f t="shared" si="32"/>
        <v>0</v>
      </c>
      <c r="Q659" s="364"/>
      <c r="R659" s="364"/>
      <c r="S659" s="364"/>
      <c r="T659" s="364"/>
      <c r="U659" s="364"/>
      <c r="V659" s="364"/>
      <c r="W659" s="364"/>
      <c r="X659" s="364"/>
      <c r="Y659" s="364"/>
      <c r="Z659" s="364"/>
      <c r="AA659" s="364"/>
      <c r="AB659" s="364"/>
      <c r="AC659" s="364"/>
      <c r="AD659" s="364"/>
    </row>
    <row r="660" spans="2:30">
      <c r="B660" s="367">
        <f t="shared" si="30"/>
        <v>-1</v>
      </c>
      <c r="D660" s="182"/>
      <c r="E660" s="182"/>
      <c r="F660" s="184"/>
      <c r="G660" s="182"/>
      <c r="H660" s="182"/>
      <c r="I660" s="182"/>
      <c r="J660" s="183"/>
      <c r="K660" s="183"/>
      <c r="L660" s="182"/>
      <c r="N660" s="367">
        <f t="shared" si="31"/>
        <v>0</v>
      </c>
      <c r="O660" s="368">
        <f t="shared" si="32"/>
        <v>0</v>
      </c>
      <c r="Q660" s="364"/>
      <c r="R660" s="364"/>
      <c r="S660" s="364"/>
      <c r="T660" s="364"/>
      <c r="U660" s="364"/>
      <c r="V660" s="364"/>
      <c r="W660" s="364"/>
      <c r="X660" s="364"/>
      <c r="Y660" s="364"/>
      <c r="Z660" s="364"/>
      <c r="AA660" s="364"/>
      <c r="AB660" s="364"/>
      <c r="AC660" s="364"/>
      <c r="AD660" s="364"/>
    </row>
    <row r="661" spans="2:30">
      <c r="B661" s="367">
        <f t="shared" si="30"/>
        <v>-1</v>
      </c>
      <c r="D661" s="182"/>
      <c r="E661" s="182"/>
      <c r="F661" s="184"/>
      <c r="G661" s="182"/>
      <c r="H661" s="182"/>
      <c r="I661" s="182"/>
      <c r="J661" s="183"/>
      <c r="K661" s="183"/>
      <c r="L661" s="182"/>
      <c r="N661" s="367">
        <f t="shared" si="31"/>
        <v>0</v>
      </c>
      <c r="O661" s="368">
        <f t="shared" si="32"/>
        <v>0</v>
      </c>
      <c r="Q661" s="364"/>
      <c r="R661" s="364"/>
      <c r="S661" s="364"/>
      <c r="T661" s="364"/>
      <c r="U661" s="364"/>
      <c r="V661" s="364"/>
      <c r="W661" s="364"/>
      <c r="X661" s="364"/>
      <c r="Y661" s="364"/>
      <c r="Z661" s="364"/>
      <c r="AA661" s="364"/>
      <c r="AB661" s="364"/>
      <c r="AC661" s="364"/>
      <c r="AD661" s="364"/>
    </row>
    <row r="662" spans="2:30">
      <c r="B662" s="367">
        <f t="shared" si="30"/>
        <v>-1</v>
      </c>
      <c r="D662" s="182"/>
      <c r="E662" s="182"/>
      <c r="F662" s="184"/>
      <c r="G662" s="182"/>
      <c r="H662" s="182"/>
      <c r="I662" s="182"/>
      <c r="J662" s="183"/>
      <c r="K662" s="183"/>
      <c r="L662" s="182"/>
      <c r="N662" s="367">
        <f t="shared" si="31"/>
        <v>0</v>
      </c>
      <c r="O662" s="368">
        <f t="shared" si="32"/>
        <v>0</v>
      </c>
      <c r="Q662" s="364"/>
      <c r="R662" s="364"/>
      <c r="S662" s="364"/>
      <c r="T662" s="364"/>
      <c r="U662" s="364"/>
      <c r="V662" s="364"/>
      <c r="W662" s="364"/>
      <c r="X662" s="364"/>
      <c r="Y662" s="364"/>
      <c r="Z662" s="364"/>
      <c r="AA662" s="364"/>
      <c r="AB662" s="364"/>
      <c r="AC662" s="364"/>
      <c r="AD662" s="364"/>
    </row>
    <row r="663" spans="2:30">
      <c r="B663" s="367">
        <f t="shared" si="30"/>
        <v>-1</v>
      </c>
      <c r="D663" s="182"/>
      <c r="E663" s="182"/>
      <c r="F663" s="184"/>
      <c r="G663" s="182"/>
      <c r="H663" s="182"/>
      <c r="I663" s="182"/>
      <c r="J663" s="183"/>
      <c r="K663" s="183"/>
      <c r="L663" s="182"/>
      <c r="N663" s="367">
        <f t="shared" si="31"/>
        <v>0</v>
      </c>
      <c r="O663" s="368">
        <f t="shared" si="32"/>
        <v>0</v>
      </c>
      <c r="Q663" s="364"/>
      <c r="R663" s="364"/>
      <c r="S663" s="364"/>
      <c r="T663" s="364"/>
      <c r="U663" s="364"/>
      <c r="V663" s="364"/>
      <c r="W663" s="364"/>
      <c r="X663" s="364"/>
      <c r="Y663" s="364"/>
      <c r="Z663" s="364"/>
      <c r="AA663" s="364"/>
      <c r="AB663" s="364"/>
      <c r="AC663" s="364"/>
      <c r="AD663" s="364"/>
    </row>
    <row r="664" spans="2:30">
      <c r="B664" s="367">
        <f t="shared" si="30"/>
        <v>-1</v>
      </c>
      <c r="D664" s="182"/>
      <c r="E664" s="182"/>
      <c r="F664" s="184"/>
      <c r="G664" s="182"/>
      <c r="H664" s="182"/>
      <c r="I664" s="182"/>
      <c r="J664" s="183"/>
      <c r="K664" s="183"/>
      <c r="L664" s="182"/>
      <c r="N664" s="367">
        <f t="shared" si="31"/>
        <v>0</v>
      </c>
      <c r="O664" s="368">
        <f t="shared" si="32"/>
        <v>0</v>
      </c>
      <c r="Q664" s="364"/>
      <c r="R664" s="364"/>
      <c r="S664" s="364"/>
      <c r="T664" s="364"/>
      <c r="U664" s="364"/>
      <c r="V664" s="364"/>
      <c r="W664" s="364"/>
      <c r="X664" s="364"/>
      <c r="Y664" s="364"/>
      <c r="Z664" s="364"/>
      <c r="AA664" s="364"/>
      <c r="AB664" s="364"/>
      <c r="AC664" s="364"/>
      <c r="AD664" s="364"/>
    </row>
    <row r="665" spans="2:30">
      <c r="B665" s="367">
        <f t="shared" si="30"/>
        <v>-1</v>
      </c>
      <c r="D665" s="182"/>
      <c r="E665" s="182"/>
      <c r="F665" s="184"/>
      <c r="G665" s="182"/>
      <c r="H665" s="182"/>
      <c r="I665" s="182"/>
      <c r="J665" s="183"/>
      <c r="K665" s="183"/>
      <c r="L665" s="182"/>
      <c r="N665" s="367">
        <f t="shared" si="31"/>
        <v>0</v>
      </c>
      <c r="O665" s="368">
        <f t="shared" si="32"/>
        <v>0</v>
      </c>
      <c r="Q665" s="364"/>
      <c r="R665" s="364"/>
      <c r="S665" s="364"/>
      <c r="T665" s="364"/>
      <c r="U665" s="364"/>
      <c r="V665" s="364"/>
      <c r="W665" s="364"/>
      <c r="X665" s="364"/>
      <c r="Y665" s="364"/>
      <c r="Z665" s="364"/>
      <c r="AA665" s="364"/>
      <c r="AB665" s="364"/>
      <c r="AC665" s="364"/>
      <c r="AD665" s="364"/>
    </row>
    <row r="666" spans="2:30">
      <c r="B666" s="367">
        <f t="shared" si="30"/>
        <v>-1</v>
      </c>
      <c r="D666" s="182"/>
      <c r="E666" s="182"/>
      <c r="F666" s="184"/>
      <c r="G666" s="182"/>
      <c r="H666" s="182"/>
      <c r="I666" s="182"/>
      <c r="J666" s="183"/>
      <c r="K666" s="183"/>
      <c r="L666" s="182"/>
      <c r="N666" s="367">
        <f t="shared" si="31"/>
        <v>0</v>
      </c>
      <c r="O666" s="368">
        <f t="shared" si="32"/>
        <v>0</v>
      </c>
      <c r="Q666" s="364"/>
      <c r="R666" s="364"/>
      <c r="S666" s="364"/>
      <c r="T666" s="364"/>
      <c r="U666" s="364"/>
      <c r="V666" s="364"/>
      <c r="W666" s="364"/>
      <c r="X666" s="364"/>
      <c r="Y666" s="364"/>
      <c r="Z666" s="364"/>
      <c r="AA666" s="364"/>
      <c r="AB666" s="364"/>
      <c r="AC666" s="364"/>
      <c r="AD666" s="364"/>
    </row>
    <row r="667" spans="2:30">
      <c r="B667" s="367">
        <f t="shared" si="30"/>
        <v>-1</v>
      </c>
      <c r="D667" s="182"/>
      <c r="E667" s="182"/>
      <c r="F667" s="184"/>
      <c r="G667" s="182"/>
      <c r="H667" s="182"/>
      <c r="I667" s="182"/>
      <c r="J667" s="183"/>
      <c r="K667" s="183"/>
      <c r="L667" s="182"/>
      <c r="N667" s="367">
        <f t="shared" si="31"/>
        <v>0</v>
      </c>
      <c r="O667" s="368">
        <f t="shared" si="32"/>
        <v>0</v>
      </c>
      <c r="Q667" s="364"/>
      <c r="R667" s="364"/>
      <c r="S667" s="364"/>
      <c r="T667" s="364"/>
      <c r="U667" s="364"/>
      <c r="V667" s="364"/>
      <c r="W667" s="364"/>
      <c r="X667" s="364"/>
      <c r="Y667" s="364"/>
      <c r="Z667" s="364"/>
      <c r="AA667" s="364"/>
      <c r="AB667" s="364"/>
      <c r="AC667" s="364"/>
      <c r="AD667" s="364"/>
    </row>
    <row r="668" spans="2:30">
      <c r="B668" s="367">
        <f t="shared" si="30"/>
        <v>-1</v>
      </c>
      <c r="D668" s="182"/>
      <c r="E668" s="182"/>
      <c r="F668" s="184"/>
      <c r="G668" s="182"/>
      <c r="H668" s="182"/>
      <c r="I668" s="182"/>
      <c r="J668" s="183"/>
      <c r="K668" s="183"/>
      <c r="L668" s="182"/>
      <c r="N668" s="367">
        <f t="shared" si="31"/>
        <v>0</v>
      </c>
      <c r="O668" s="368">
        <f t="shared" si="32"/>
        <v>0</v>
      </c>
      <c r="Q668" s="364"/>
      <c r="R668" s="364"/>
      <c r="S668" s="364"/>
      <c r="T668" s="364"/>
      <c r="U668" s="364"/>
      <c r="V668" s="364"/>
      <c r="W668" s="364"/>
      <c r="X668" s="364"/>
      <c r="Y668" s="364"/>
      <c r="Z668" s="364"/>
      <c r="AA668" s="364"/>
      <c r="AB668" s="364"/>
      <c r="AC668" s="364"/>
      <c r="AD668" s="364"/>
    </row>
    <row r="669" spans="2:30">
      <c r="B669" s="367">
        <f t="shared" si="30"/>
        <v>-1</v>
      </c>
      <c r="D669" s="182"/>
      <c r="E669" s="182"/>
      <c r="F669" s="184"/>
      <c r="G669" s="182"/>
      <c r="H669" s="182"/>
      <c r="I669" s="182"/>
      <c r="J669" s="183"/>
      <c r="K669" s="183"/>
      <c r="L669" s="182"/>
      <c r="N669" s="367">
        <f t="shared" si="31"/>
        <v>0</v>
      </c>
      <c r="O669" s="368">
        <f t="shared" si="32"/>
        <v>0</v>
      </c>
      <c r="Q669" s="364"/>
      <c r="R669" s="364"/>
      <c r="S669" s="364"/>
      <c r="T669" s="364"/>
      <c r="U669" s="364"/>
      <c r="V669" s="364"/>
      <c r="W669" s="364"/>
      <c r="X669" s="364"/>
      <c r="Y669" s="364"/>
      <c r="Z669" s="364"/>
      <c r="AA669" s="364"/>
      <c r="AB669" s="364"/>
      <c r="AC669" s="364"/>
      <c r="AD669" s="364"/>
    </row>
    <row r="670" spans="2:30">
      <c r="B670" s="367">
        <f t="shared" si="30"/>
        <v>-1</v>
      </c>
      <c r="D670" s="182"/>
      <c r="E670" s="182"/>
      <c r="F670" s="184"/>
      <c r="G670" s="182"/>
      <c r="H670" s="182"/>
      <c r="I670" s="182"/>
      <c r="J670" s="183"/>
      <c r="K670" s="183"/>
      <c r="L670" s="182"/>
      <c r="N670" s="367">
        <f t="shared" si="31"/>
        <v>0</v>
      </c>
      <c r="O670" s="368">
        <f t="shared" si="32"/>
        <v>0</v>
      </c>
      <c r="Q670" s="364"/>
      <c r="R670" s="364"/>
      <c r="S670" s="364"/>
      <c r="T670" s="364"/>
      <c r="U670" s="364"/>
      <c r="V670" s="364"/>
      <c r="W670" s="364"/>
      <c r="X670" s="364"/>
      <c r="Y670" s="364"/>
      <c r="Z670" s="364"/>
      <c r="AA670" s="364"/>
      <c r="AB670" s="364"/>
      <c r="AC670" s="364"/>
      <c r="AD670" s="364"/>
    </row>
    <row r="671" spans="2:30">
      <c r="B671" s="367">
        <f t="shared" si="30"/>
        <v>-1</v>
      </c>
      <c r="D671" s="182"/>
      <c r="E671" s="182"/>
      <c r="F671" s="184"/>
      <c r="G671" s="182"/>
      <c r="H671" s="182"/>
      <c r="I671" s="182"/>
      <c r="J671" s="183"/>
      <c r="K671" s="183"/>
      <c r="L671" s="182"/>
      <c r="N671" s="367">
        <f t="shared" si="31"/>
        <v>0</v>
      </c>
      <c r="O671" s="368">
        <f t="shared" si="32"/>
        <v>0</v>
      </c>
      <c r="Q671" s="364"/>
      <c r="R671" s="364"/>
      <c r="S671" s="364"/>
      <c r="T671" s="364"/>
      <c r="U671" s="364"/>
      <c r="V671" s="364"/>
      <c r="W671" s="364"/>
      <c r="X671" s="364"/>
      <c r="Y671" s="364"/>
      <c r="Z671" s="364"/>
      <c r="AA671" s="364"/>
      <c r="AB671" s="364"/>
      <c r="AC671" s="364"/>
      <c r="AD671" s="364"/>
    </row>
    <row r="672" spans="2:30">
      <c r="B672" s="367">
        <f t="shared" si="30"/>
        <v>-1</v>
      </c>
      <c r="D672" s="182"/>
      <c r="E672" s="182"/>
      <c r="F672" s="184"/>
      <c r="G672" s="182"/>
      <c r="H672" s="182"/>
      <c r="I672" s="182"/>
      <c r="J672" s="183"/>
      <c r="K672" s="183"/>
      <c r="L672" s="182"/>
      <c r="N672" s="367">
        <f t="shared" si="31"/>
        <v>0</v>
      </c>
      <c r="O672" s="368">
        <f t="shared" si="32"/>
        <v>0</v>
      </c>
      <c r="Q672" s="364"/>
      <c r="R672" s="364"/>
      <c r="S672" s="364"/>
      <c r="T672" s="364"/>
      <c r="U672" s="364"/>
      <c r="V672" s="364"/>
      <c r="W672" s="364"/>
      <c r="X672" s="364"/>
      <c r="Y672" s="364"/>
      <c r="Z672" s="364"/>
      <c r="AA672" s="364"/>
      <c r="AB672" s="364"/>
      <c r="AC672" s="364"/>
      <c r="AD672" s="364"/>
    </row>
    <row r="673" spans="2:30">
      <c r="B673" s="367">
        <f t="shared" si="30"/>
        <v>-1</v>
      </c>
      <c r="D673" s="182"/>
      <c r="E673" s="182"/>
      <c r="F673" s="184"/>
      <c r="G673" s="182"/>
      <c r="H673" s="182"/>
      <c r="I673" s="182"/>
      <c r="J673" s="183"/>
      <c r="K673" s="183"/>
      <c r="L673" s="182"/>
      <c r="N673" s="367">
        <f t="shared" si="31"/>
        <v>0</v>
      </c>
      <c r="O673" s="368">
        <f t="shared" si="32"/>
        <v>0</v>
      </c>
      <c r="Q673" s="364"/>
      <c r="R673" s="364"/>
      <c r="S673" s="364"/>
      <c r="T673" s="364"/>
      <c r="U673" s="364"/>
      <c r="V673" s="364"/>
      <c r="W673" s="364"/>
      <c r="X673" s="364"/>
      <c r="Y673" s="364"/>
      <c r="Z673" s="364"/>
      <c r="AA673" s="364"/>
      <c r="AB673" s="364"/>
      <c r="AC673" s="364"/>
      <c r="AD673" s="364"/>
    </row>
    <row r="674" spans="2:30">
      <c r="B674" s="367">
        <f t="shared" si="30"/>
        <v>-1</v>
      </c>
      <c r="D674" s="182"/>
      <c r="E674" s="182"/>
      <c r="F674" s="184"/>
      <c r="G674" s="182"/>
      <c r="H674" s="182"/>
      <c r="I674" s="182"/>
      <c r="J674" s="183"/>
      <c r="K674" s="183"/>
      <c r="L674" s="182"/>
      <c r="N674" s="367">
        <f t="shared" si="31"/>
        <v>0</v>
      </c>
      <c r="O674" s="368">
        <f t="shared" si="32"/>
        <v>0</v>
      </c>
      <c r="Q674" s="364"/>
      <c r="R674" s="364"/>
      <c r="S674" s="364"/>
      <c r="T674" s="364"/>
      <c r="U674" s="364"/>
      <c r="V674" s="364"/>
      <c r="W674" s="364"/>
      <c r="X674" s="364"/>
      <c r="Y674" s="364"/>
      <c r="Z674" s="364"/>
      <c r="AA674" s="364"/>
      <c r="AB674" s="364"/>
      <c r="AC674" s="364"/>
      <c r="AD674" s="364"/>
    </row>
    <row r="675" spans="2:30">
      <c r="B675" s="367">
        <f t="shared" si="30"/>
        <v>-1</v>
      </c>
      <c r="D675" s="182"/>
      <c r="E675" s="182"/>
      <c r="F675" s="184"/>
      <c r="G675" s="182"/>
      <c r="H675" s="182"/>
      <c r="I675" s="182"/>
      <c r="J675" s="183"/>
      <c r="K675" s="183"/>
      <c r="L675" s="182"/>
      <c r="N675" s="367">
        <f t="shared" si="31"/>
        <v>0</v>
      </c>
      <c r="O675" s="368">
        <f t="shared" si="32"/>
        <v>0</v>
      </c>
      <c r="Q675" s="364"/>
      <c r="R675" s="364"/>
      <c r="S675" s="364"/>
      <c r="T675" s="364"/>
      <c r="U675" s="364"/>
      <c r="V675" s="364"/>
      <c r="W675" s="364"/>
      <c r="X675" s="364"/>
      <c r="Y675" s="364"/>
      <c r="Z675" s="364"/>
      <c r="AA675" s="364"/>
      <c r="AB675" s="364"/>
      <c r="AC675" s="364"/>
      <c r="AD675" s="364"/>
    </row>
    <row r="676" spans="2:30">
      <c r="B676" s="367">
        <f t="shared" si="30"/>
        <v>-1</v>
      </c>
      <c r="D676" s="182"/>
      <c r="E676" s="182"/>
      <c r="F676" s="184"/>
      <c r="G676" s="182"/>
      <c r="H676" s="182"/>
      <c r="I676" s="182"/>
      <c r="J676" s="183"/>
      <c r="K676" s="183"/>
      <c r="L676" s="182"/>
      <c r="N676" s="367">
        <f t="shared" si="31"/>
        <v>0</v>
      </c>
      <c r="O676" s="368">
        <f t="shared" si="32"/>
        <v>0</v>
      </c>
      <c r="Q676" s="364"/>
      <c r="R676" s="364"/>
      <c r="S676" s="364"/>
      <c r="T676" s="364"/>
      <c r="U676" s="364"/>
      <c r="V676" s="364"/>
      <c r="W676" s="364"/>
      <c r="X676" s="364"/>
      <c r="Y676" s="364"/>
      <c r="Z676" s="364"/>
      <c r="AA676" s="364"/>
      <c r="AB676" s="364"/>
      <c r="AC676" s="364"/>
      <c r="AD676" s="364"/>
    </row>
    <row r="677" spans="2:30">
      <c r="B677" s="367">
        <f t="shared" si="30"/>
        <v>-1</v>
      </c>
      <c r="D677" s="182"/>
      <c r="E677" s="182"/>
      <c r="F677" s="184"/>
      <c r="G677" s="182"/>
      <c r="H677" s="182"/>
      <c r="I677" s="182"/>
      <c r="J677" s="183"/>
      <c r="K677" s="183"/>
      <c r="L677" s="182"/>
      <c r="N677" s="367">
        <f t="shared" si="31"/>
        <v>0</v>
      </c>
      <c r="O677" s="368">
        <f t="shared" si="32"/>
        <v>0</v>
      </c>
      <c r="Q677" s="364"/>
      <c r="R677" s="364"/>
      <c r="S677" s="364"/>
      <c r="T677" s="364"/>
      <c r="U677" s="364"/>
      <c r="V677" s="364"/>
      <c r="W677" s="364"/>
      <c r="X677" s="364"/>
      <c r="Y677" s="364"/>
      <c r="Z677" s="364"/>
      <c r="AA677" s="364"/>
      <c r="AB677" s="364"/>
      <c r="AC677" s="364"/>
      <c r="AD677" s="364"/>
    </row>
    <row r="678" spans="2:30">
      <c r="B678" s="367">
        <f t="shared" si="30"/>
        <v>-1</v>
      </c>
      <c r="D678" s="182"/>
      <c r="E678" s="182"/>
      <c r="F678" s="184"/>
      <c r="G678" s="182"/>
      <c r="H678" s="182"/>
      <c r="I678" s="182"/>
      <c r="J678" s="183"/>
      <c r="K678" s="183"/>
      <c r="L678" s="182"/>
      <c r="N678" s="367">
        <f t="shared" si="31"/>
        <v>0</v>
      </c>
      <c r="O678" s="368">
        <f t="shared" si="32"/>
        <v>0</v>
      </c>
      <c r="Q678" s="364"/>
      <c r="R678" s="364"/>
      <c r="S678" s="364"/>
      <c r="T678" s="364"/>
      <c r="U678" s="364"/>
      <c r="V678" s="364"/>
      <c r="W678" s="364"/>
      <c r="X678" s="364"/>
      <c r="Y678" s="364"/>
      <c r="Z678" s="364"/>
      <c r="AA678" s="364"/>
      <c r="AB678" s="364"/>
      <c r="AC678" s="364"/>
      <c r="AD678" s="364"/>
    </row>
    <row r="679" spans="2:30">
      <c r="B679" s="367">
        <f t="shared" si="30"/>
        <v>-1</v>
      </c>
      <c r="D679" s="182"/>
      <c r="E679" s="182"/>
      <c r="F679" s="184"/>
      <c r="G679" s="182"/>
      <c r="H679" s="182"/>
      <c r="I679" s="182"/>
      <c r="J679" s="183"/>
      <c r="K679" s="183"/>
      <c r="L679" s="182"/>
      <c r="N679" s="367">
        <f t="shared" si="31"/>
        <v>0</v>
      </c>
      <c r="O679" s="368">
        <f t="shared" si="32"/>
        <v>0</v>
      </c>
      <c r="Q679" s="364"/>
      <c r="R679" s="364"/>
      <c r="S679" s="364"/>
      <c r="T679" s="364"/>
      <c r="U679" s="364"/>
      <c r="V679" s="364"/>
      <c r="W679" s="364"/>
      <c r="X679" s="364"/>
      <c r="Y679" s="364"/>
      <c r="Z679" s="364"/>
      <c r="AA679" s="364"/>
      <c r="AB679" s="364"/>
      <c r="AC679" s="364"/>
      <c r="AD679" s="364"/>
    </row>
    <row r="680" spans="2:30">
      <c r="B680" s="367">
        <f t="shared" si="30"/>
        <v>-1</v>
      </c>
      <c r="D680" s="182"/>
      <c r="E680" s="182"/>
      <c r="F680" s="184"/>
      <c r="G680" s="182"/>
      <c r="H680" s="182"/>
      <c r="I680" s="182"/>
      <c r="J680" s="183"/>
      <c r="K680" s="183"/>
      <c r="L680" s="182"/>
      <c r="N680" s="367">
        <f t="shared" si="31"/>
        <v>0</v>
      </c>
      <c r="O680" s="368">
        <f t="shared" si="32"/>
        <v>0</v>
      </c>
      <c r="Q680" s="364"/>
      <c r="R680" s="364"/>
      <c r="S680" s="364"/>
      <c r="T680" s="364"/>
      <c r="U680" s="364"/>
      <c r="V680" s="364"/>
      <c r="W680" s="364"/>
      <c r="X680" s="364"/>
      <c r="Y680" s="364"/>
      <c r="Z680" s="364"/>
      <c r="AA680" s="364"/>
      <c r="AB680" s="364"/>
      <c r="AC680" s="364"/>
      <c r="AD680" s="364"/>
    </row>
    <row r="681" spans="2:30">
      <c r="B681" s="367">
        <f t="shared" si="30"/>
        <v>-1</v>
      </c>
      <c r="D681" s="182"/>
      <c r="E681" s="182"/>
      <c r="F681" s="184"/>
      <c r="G681" s="182"/>
      <c r="H681" s="182"/>
      <c r="I681" s="182"/>
      <c r="J681" s="183"/>
      <c r="K681" s="183"/>
      <c r="L681" s="182"/>
      <c r="N681" s="367">
        <f t="shared" si="31"/>
        <v>0</v>
      </c>
      <c r="O681" s="368">
        <f t="shared" si="32"/>
        <v>0</v>
      </c>
      <c r="Q681" s="364"/>
      <c r="R681" s="364"/>
      <c r="S681" s="364"/>
      <c r="T681" s="364"/>
      <c r="U681" s="364"/>
      <c r="V681" s="364"/>
      <c r="W681" s="364"/>
      <c r="X681" s="364"/>
      <c r="Y681" s="364"/>
      <c r="Z681" s="364"/>
      <c r="AA681" s="364"/>
      <c r="AB681" s="364"/>
      <c r="AC681" s="364"/>
      <c r="AD681" s="364"/>
    </row>
    <row r="682" spans="2:30">
      <c r="B682" s="367">
        <f t="shared" si="30"/>
        <v>-1</v>
      </c>
      <c r="D682" s="182"/>
      <c r="E682" s="182"/>
      <c r="F682" s="184"/>
      <c r="G682" s="182"/>
      <c r="H682" s="182"/>
      <c r="I682" s="182"/>
      <c r="J682" s="183"/>
      <c r="K682" s="183"/>
      <c r="L682" s="182"/>
      <c r="N682" s="367">
        <f t="shared" si="31"/>
        <v>0</v>
      </c>
      <c r="O682" s="368">
        <f t="shared" si="32"/>
        <v>0</v>
      </c>
      <c r="Q682" s="364"/>
      <c r="R682" s="364"/>
      <c r="S682" s="364"/>
      <c r="T682" s="364"/>
      <c r="U682" s="364"/>
      <c r="V682" s="364"/>
      <c r="W682" s="364"/>
      <c r="X682" s="364"/>
      <c r="Y682" s="364"/>
      <c r="Z682" s="364"/>
      <c r="AA682" s="364"/>
      <c r="AB682" s="364"/>
      <c r="AC682" s="364"/>
      <c r="AD682" s="364"/>
    </row>
    <row r="683" spans="2:30">
      <c r="B683" s="367">
        <f t="shared" si="30"/>
        <v>-1</v>
      </c>
      <c r="D683" s="182"/>
      <c r="E683" s="182"/>
      <c r="F683" s="184"/>
      <c r="G683" s="182"/>
      <c r="H683" s="182"/>
      <c r="I683" s="182"/>
      <c r="J683" s="183"/>
      <c r="K683" s="183"/>
      <c r="L683" s="182"/>
      <c r="N683" s="367">
        <f t="shared" si="31"/>
        <v>0</v>
      </c>
      <c r="O683" s="368">
        <f t="shared" si="32"/>
        <v>0</v>
      </c>
      <c r="Q683" s="364"/>
      <c r="R683" s="364"/>
      <c r="S683" s="364"/>
      <c r="T683" s="364"/>
      <c r="U683" s="364"/>
      <c r="V683" s="364"/>
      <c r="W683" s="364"/>
      <c r="X683" s="364"/>
      <c r="Y683" s="364"/>
      <c r="Z683" s="364"/>
      <c r="AA683" s="364"/>
      <c r="AB683" s="364"/>
      <c r="AC683" s="364"/>
      <c r="AD683" s="364"/>
    </row>
    <row r="684" spans="2:30">
      <c r="B684" s="367">
        <f t="shared" si="30"/>
        <v>-1</v>
      </c>
      <c r="D684" s="182"/>
      <c r="E684" s="182"/>
      <c r="F684" s="184"/>
      <c r="G684" s="182"/>
      <c r="H684" s="182"/>
      <c r="I684" s="182"/>
      <c r="J684" s="183"/>
      <c r="K684" s="183"/>
      <c r="L684" s="182"/>
      <c r="N684" s="367">
        <f t="shared" si="31"/>
        <v>0</v>
      </c>
      <c r="O684" s="368">
        <f t="shared" si="32"/>
        <v>0</v>
      </c>
      <c r="Q684" s="364"/>
      <c r="R684" s="364"/>
      <c r="S684" s="364"/>
      <c r="T684" s="364"/>
      <c r="U684" s="364"/>
      <c r="V684" s="364"/>
      <c r="W684" s="364"/>
      <c r="X684" s="364"/>
      <c r="Y684" s="364"/>
      <c r="Z684" s="364"/>
      <c r="AA684" s="364"/>
      <c r="AB684" s="364"/>
      <c r="AC684" s="364"/>
      <c r="AD684" s="364"/>
    </row>
    <row r="685" spans="2:30">
      <c r="B685" s="367">
        <f t="shared" si="30"/>
        <v>-1</v>
      </c>
      <c r="D685" s="182"/>
      <c r="E685" s="182"/>
      <c r="F685" s="184"/>
      <c r="G685" s="182"/>
      <c r="H685" s="182"/>
      <c r="I685" s="182"/>
      <c r="J685" s="183"/>
      <c r="K685" s="183"/>
      <c r="L685" s="182"/>
      <c r="N685" s="367">
        <f t="shared" si="31"/>
        <v>0</v>
      </c>
      <c r="O685" s="368">
        <f t="shared" si="32"/>
        <v>0</v>
      </c>
      <c r="Q685" s="364"/>
      <c r="R685" s="364"/>
      <c r="S685" s="364"/>
      <c r="T685" s="364"/>
      <c r="U685" s="364"/>
      <c r="V685" s="364"/>
      <c r="W685" s="364"/>
      <c r="X685" s="364"/>
      <c r="Y685" s="364"/>
      <c r="Z685" s="364"/>
      <c r="AA685" s="364"/>
      <c r="AB685" s="364"/>
      <c r="AC685" s="364"/>
      <c r="AD685" s="364"/>
    </row>
    <row r="686" spans="2:30">
      <c r="B686" s="367">
        <f t="shared" si="30"/>
        <v>-1</v>
      </c>
      <c r="D686" s="182"/>
      <c r="E686" s="182"/>
      <c r="F686" s="184"/>
      <c r="G686" s="182"/>
      <c r="H686" s="182"/>
      <c r="I686" s="182"/>
      <c r="J686" s="183"/>
      <c r="K686" s="183"/>
      <c r="L686" s="182"/>
      <c r="N686" s="367">
        <f t="shared" si="31"/>
        <v>0</v>
      </c>
      <c r="O686" s="368">
        <f t="shared" si="32"/>
        <v>0</v>
      </c>
      <c r="Q686" s="364"/>
      <c r="R686" s="364"/>
      <c r="S686" s="364"/>
      <c r="T686" s="364"/>
      <c r="U686" s="364"/>
      <c r="V686" s="364"/>
      <c r="W686" s="364"/>
      <c r="X686" s="364"/>
      <c r="Y686" s="364"/>
      <c r="Z686" s="364"/>
      <c r="AA686" s="364"/>
      <c r="AB686" s="364"/>
      <c r="AC686" s="364"/>
      <c r="AD686" s="364"/>
    </row>
    <row r="687" spans="2:30">
      <c r="B687" s="367">
        <f t="shared" si="30"/>
        <v>-1</v>
      </c>
      <c r="D687" s="182"/>
      <c r="E687" s="182"/>
      <c r="F687" s="184"/>
      <c r="G687" s="182"/>
      <c r="H687" s="182"/>
      <c r="I687" s="182"/>
      <c r="J687" s="183"/>
      <c r="K687" s="183"/>
      <c r="L687" s="182"/>
      <c r="N687" s="367">
        <f t="shared" si="31"/>
        <v>0</v>
      </c>
      <c r="O687" s="368">
        <f t="shared" si="32"/>
        <v>0</v>
      </c>
      <c r="Q687" s="364"/>
      <c r="R687" s="364"/>
      <c r="S687" s="364"/>
      <c r="T687" s="364"/>
      <c r="U687" s="364"/>
      <c r="V687" s="364"/>
      <c r="W687" s="364"/>
      <c r="X687" s="364"/>
      <c r="Y687" s="364"/>
      <c r="Z687" s="364"/>
      <c r="AA687" s="364"/>
      <c r="AB687" s="364"/>
      <c r="AC687" s="364"/>
      <c r="AD687" s="364"/>
    </row>
    <row r="688" spans="2:30">
      <c r="B688" s="367">
        <f t="shared" si="30"/>
        <v>-1</v>
      </c>
      <c r="D688" s="182"/>
      <c r="E688" s="182"/>
      <c r="F688" s="184"/>
      <c r="G688" s="182"/>
      <c r="H688" s="182"/>
      <c r="I688" s="182"/>
      <c r="J688" s="183"/>
      <c r="K688" s="183"/>
      <c r="L688" s="182"/>
      <c r="N688" s="367">
        <f t="shared" si="31"/>
        <v>0</v>
      </c>
      <c r="O688" s="368">
        <f t="shared" si="32"/>
        <v>0</v>
      </c>
      <c r="Q688" s="364"/>
      <c r="R688" s="364"/>
      <c r="S688" s="364"/>
      <c r="T688" s="364"/>
      <c r="U688" s="364"/>
      <c r="V688" s="364"/>
      <c r="W688" s="364"/>
      <c r="X688" s="364"/>
      <c r="Y688" s="364"/>
      <c r="Z688" s="364"/>
      <c r="AA688" s="364"/>
      <c r="AB688" s="364"/>
      <c r="AC688" s="364"/>
      <c r="AD688" s="364"/>
    </row>
    <row r="689" spans="2:30">
      <c r="B689" s="367">
        <f t="shared" si="30"/>
        <v>-1</v>
      </c>
      <c r="D689" s="182"/>
      <c r="E689" s="182"/>
      <c r="F689" s="184"/>
      <c r="G689" s="182"/>
      <c r="H689" s="182"/>
      <c r="I689" s="182"/>
      <c r="J689" s="183"/>
      <c r="K689" s="183"/>
      <c r="L689" s="182"/>
      <c r="N689" s="367">
        <f t="shared" si="31"/>
        <v>0</v>
      </c>
      <c r="O689" s="368">
        <f t="shared" si="32"/>
        <v>0</v>
      </c>
      <c r="Q689" s="364"/>
      <c r="R689" s="364"/>
      <c r="S689" s="364"/>
      <c r="T689" s="364"/>
      <c r="U689" s="364"/>
      <c r="V689" s="364"/>
      <c r="W689" s="364"/>
      <c r="X689" s="364"/>
      <c r="Y689" s="364"/>
      <c r="Z689" s="364"/>
      <c r="AA689" s="364"/>
      <c r="AB689" s="364"/>
      <c r="AC689" s="364"/>
      <c r="AD689" s="364"/>
    </row>
    <row r="690" spans="2:30">
      <c r="B690" s="367">
        <f t="shared" si="30"/>
        <v>-1</v>
      </c>
      <c r="D690" s="182"/>
      <c r="E690" s="182"/>
      <c r="F690" s="184"/>
      <c r="G690" s="182"/>
      <c r="H690" s="182"/>
      <c r="I690" s="182"/>
      <c r="J690" s="183"/>
      <c r="K690" s="183"/>
      <c r="L690" s="182"/>
      <c r="N690" s="367">
        <f t="shared" si="31"/>
        <v>0</v>
      </c>
      <c r="O690" s="368">
        <f t="shared" si="32"/>
        <v>0</v>
      </c>
      <c r="Q690" s="364"/>
      <c r="R690" s="364"/>
      <c r="S690" s="364"/>
      <c r="T690" s="364"/>
      <c r="U690" s="364"/>
      <c r="V690" s="364"/>
      <c r="W690" s="364"/>
      <c r="X690" s="364"/>
      <c r="Y690" s="364"/>
      <c r="Z690" s="364"/>
      <c r="AA690" s="364"/>
      <c r="AB690" s="364"/>
      <c r="AC690" s="364"/>
      <c r="AD690" s="364"/>
    </row>
    <row r="691" spans="2:30">
      <c r="B691" s="367">
        <f t="shared" si="30"/>
        <v>-1</v>
      </c>
      <c r="D691" s="182"/>
      <c r="E691" s="182"/>
      <c r="F691" s="184"/>
      <c r="G691" s="182"/>
      <c r="H691" s="182"/>
      <c r="I691" s="182"/>
      <c r="J691" s="183"/>
      <c r="K691" s="183"/>
      <c r="L691" s="182"/>
      <c r="N691" s="367">
        <f t="shared" si="31"/>
        <v>0</v>
      </c>
      <c r="O691" s="368">
        <f t="shared" si="32"/>
        <v>0</v>
      </c>
      <c r="Q691" s="364"/>
      <c r="R691" s="364"/>
      <c r="S691" s="364"/>
      <c r="T691" s="364"/>
      <c r="U691" s="364"/>
      <c r="V691" s="364"/>
      <c r="W691" s="364"/>
      <c r="X691" s="364"/>
      <c r="Y691" s="364"/>
      <c r="Z691" s="364"/>
      <c r="AA691" s="364"/>
      <c r="AB691" s="364"/>
      <c r="AC691" s="364"/>
      <c r="AD691" s="364"/>
    </row>
    <row r="692" spans="2:30">
      <c r="B692" s="367">
        <f t="shared" si="30"/>
        <v>-1</v>
      </c>
      <c r="D692" s="182"/>
      <c r="E692" s="182"/>
      <c r="F692" s="184"/>
      <c r="G692" s="182"/>
      <c r="H692" s="182"/>
      <c r="I692" s="182"/>
      <c r="J692" s="183"/>
      <c r="K692" s="183"/>
      <c r="L692" s="182"/>
      <c r="N692" s="367">
        <f t="shared" si="31"/>
        <v>0</v>
      </c>
      <c r="O692" s="368">
        <f t="shared" si="32"/>
        <v>0</v>
      </c>
      <c r="Q692" s="364"/>
      <c r="R692" s="364"/>
      <c r="S692" s="364"/>
      <c r="T692" s="364"/>
      <c r="U692" s="364"/>
      <c r="V692" s="364"/>
      <c r="W692" s="364"/>
      <c r="X692" s="364"/>
      <c r="Y692" s="364"/>
      <c r="Z692" s="364"/>
      <c r="AA692" s="364"/>
      <c r="AB692" s="364"/>
      <c r="AC692" s="364"/>
      <c r="AD692" s="364"/>
    </row>
    <row r="693" spans="2:30">
      <c r="B693" s="367">
        <f t="shared" si="30"/>
        <v>-1</v>
      </c>
      <c r="D693" s="182"/>
      <c r="E693" s="182"/>
      <c r="F693" s="184"/>
      <c r="G693" s="182"/>
      <c r="H693" s="182"/>
      <c r="I693" s="182"/>
      <c r="J693" s="183"/>
      <c r="K693" s="183"/>
      <c r="L693" s="182"/>
      <c r="N693" s="367">
        <f t="shared" si="31"/>
        <v>0</v>
      </c>
      <c r="O693" s="368">
        <f t="shared" si="32"/>
        <v>0</v>
      </c>
      <c r="Q693" s="364"/>
      <c r="R693" s="364"/>
      <c r="S693" s="364"/>
      <c r="T693" s="364"/>
      <c r="U693" s="364"/>
      <c r="V693" s="364"/>
      <c r="W693" s="364"/>
      <c r="X693" s="364"/>
      <c r="Y693" s="364"/>
      <c r="Z693" s="364"/>
      <c r="AA693" s="364"/>
      <c r="AB693" s="364"/>
      <c r="AC693" s="364"/>
      <c r="AD693" s="364"/>
    </row>
    <row r="694" spans="2:30">
      <c r="B694" s="367">
        <f t="shared" si="30"/>
        <v>-1</v>
      </c>
      <c r="D694" s="182"/>
      <c r="E694" s="182"/>
      <c r="F694" s="184"/>
      <c r="G694" s="182"/>
      <c r="H694" s="182"/>
      <c r="I694" s="182"/>
      <c r="J694" s="183"/>
      <c r="K694" s="183"/>
      <c r="L694" s="182"/>
      <c r="N694" s="367">
        <f t="shared" si="31"/>
        <v>0</v>
      </c>
      <c r="O694" s="368">
        <f t="shared" si="32"/>
        <v>0</v>
      </c>
      <c r="Q694" s="364"/>
      <c r="R694" s="364"/>
      <c r="S694" s="364"/>
      <c r="T694" s="364"/>
      <c r="U694" s="364"/>
      <c r="V694" s="364"/>
      <c r="W694" s="364"/>
      <c r="X694" s="364"/>
      <c r="Y694" s="364"/>
      <c r="Z694" s="364"/>
      <c r="AA694" s="364"/>
      <c r="AB694" s="364"/>
      <c r="AC694" s="364"/>
      <c r="AD694" s="364"/>
    </row>
    <row r="695" spans="2:30">
      <c r="B695" s="367">
        <f t="shared" si="30"/>
        <v>-1</v>
      </c>
      <c r="D695" s="182"/>
      <c r="E695" s="182"/>
      <c r="F695" s="184"/>
      <c r="G695" s="182"/>
      <c r="H695" s="182"/>
      <c r="I695" s="182"/>
      <c r="J695" s="183"/>
      <c r="K695" s="183"/>
      <c r="L695" s="182"/>
      <c r="N695" s="367">
        <f t="shared" si="31"/>
        <v>0</v>
      </c>
      <c r="O695" s="368">
        <f t="shared" si="32"/>
        <v>0</v>
      </c>
      <c r="Q695" s="364"/>
      <c r="R695" s="364"/>
      <c r="S695" s="364"/>
      <c r="T695" s="364"/>
      <c r="U695" s="364"/>
      <c r="V695" s="364"/>
      <c r="W695" s="364"/>
      <c r="X695" s="364"/>
      <c r="Y695" s="364"/>
      <c r="Z695" s="364"/>
      <c r="AA695" s="364"/>
      <c r="AB695" s="364"/>
      <c r="AC695" s="364"/>
      <c r="AD695" s="364"/>
    </row>
    <row r="696" spans="2:30">
      <c r="B696" s="367">
        <f t="shared" si="30"/>
        <v>-1</v>
      </c>
      <c r="D696" s="182"/>
      <c r="E696" s="182"/>
      <c r="F696" s="184"/>
      <c r="G696" s="182"/>
      <c r="H696" s="182"/>
      <c r="I696" s="182"/>
      <c r="J696" s="183"/>
      <c r="K696" s="183"/>
      <c r="L696" s="182"/>
      <c r="N696" s="367">
        <f t="shared" si="31"/>
        <v>0</v>
      </c>
      <c r="O696" s="368">
        <f t="shared" si="32"/>
        <v>0</v>
      </c>
      <c r="Q696" s="364"/>
      <c r="R696" s="364"/>
      <c r="S696" s="364"/>
      <c r="T696" s="364"/>
      <c r="U696" s="364"/>
      <c r="V696" s="364"/>
      <c r="W696" s="364"/>
      <c r="X696" s="364"/>
      <c r="Y696" s="364"/>
      <c r="Z696" s="364"/>
      <c r="AA696" s="364"/>
      <c r="AB696" s="364"/>
      <c r="AC696" s="364"/>
      <c r="AD696" s="364"/>
    </row>
    <row r="697" spans="2:30">
      <c r="B697" s="367">
        <f t="shared" si="30"/>
        <v>-1</v>
      </c>
      <c r="D697" s="182"/>
      <c r="E697" s="182"/>
      <c r="F697" s="184"/>
      <c r="G697" s="182"/>
      <c r="H697" s="182"/>
      <c r="I697" s="182"/>
      <c r="J697" s="183"/>
      <c r="K697" s="183"/>
      <c r="L697" s="182"/>
      <c r="N697" s="367">
        <f t="shared" si="31"/>
        <v>0</v>
      </c>
      <c r="O697" s="368">
        <f t="shared" si="32"/>
        <v>0</v>
      </c>
      <c r="Q697" s="364"/>
      <c r="R697" s="364"/>
      <c r="S697" s="364"/>
      <c r="T697" s="364"/>
      <c r="U697" s="364"/>
      <c r="V697" s="364"/>
      <c r="W697" s="364"/>
      <c r="X697" s="364"/>
      <c r="Y697" s="364"/>
      <c r="Z697" s="364"/>
      <c r="AA697" s="364"/>
      <c r="AB697" s="364"/>
      <c r="AC697" s="364"/>
      <c r="AD697" s="364"/>
    </row>
    <row r="698" spans="2:30">
      <c r="B698" s="367">
        <f t="shared" si="30"/>
        <v>-1</v>
      </c>
      <c r="D698" s="182"/>
      <c r="E698" s="182"/>
      <c r="F698" s="184"/>
      <c r="G698" s="182"/>
      <c r="H698" s="182"/>
      <c r="I698" s="182"/>
      <c r="J698" s="183"/>
      <c r="K698" s="183"/>
      <c r="L698" s="182"/>
      <c r="N698" s="367">
        <f t="shared" si="31"/>
        <v>0</v>
      </c>
      <c r="O698" s="368">
        <f t="shared" si="32"/>
        <v>0</v>
      </c>
      <c r="Q698" s="364"/>
      <c r="R698" s="364"/>
      <c r="S698" s="364"/>
      <c r="T698" s="364"/>
      <c r="U698" s="364"/>
      <c r="V698" s="364"/>
      <c r="W698" s="364"/>
      <c r="X698" s="364"/>
      <c r="Y698" s="364"/>
      <c r="Z698" s="364"/>
      <c r="AA698" s="364"/>
      <c r="AB698" s="364"/>
      <c r="AC698" s="364"/>
      <c r="AD698" s="364"/>
    </row>
    <row r="699" spans="2:30">
      <c r="B699" s="367">
        <f t="shared" si="30"/>
        <v>-1</v>
      </c>
      <c r="D699" s="182"/>
      <c r="E699" s="182"/>
      <c r="F699" s="184"/>
      <c r="G699" s="182"/>
      <c r="H699" s="182"/>
      <c r="I699" s="182"/>
      <c r="J699" s="183"/>
      <c r="K699" s="183"/>
      <c r="L699" s="182"/>
      <c r="N699" s="367">
        <f t="shared" si="31"/>
        <v>0</v>
      </c>
      <c r="O699" s="368">
        <f t="shared" si="32"/>
        <v>0</v>
      </c>
      <c r="Q699" s="364"/>
      <c r="R699" s="364"/>
      <c r="S699" s="364"/>
      <c r="T699" s="364"/>
      <c r="U699" s="364"/>
      <c r="V699" s="364"/>
      <c r="W699" s="364"/>
      <c r="X699" s="364"/>
      <c r="Y699" s="364"/>
      <c r="Z699" s="364"/>
      <c r="AA699" s="364"/>
      <c r="AB699" s="364"/>
      <c r="AC699" s="364"/>
      <c r="AD699" s="364"/>
    </row>
    <row r="700" spans="2:30">
      <c r="B700" s="367">
        <f t="shared" si="30"/>
        <v>-1</v>
      </c>
      <c r="D700" s="182"/>
      <c r="E700" s="182"/>
      <c r="F700" s="184"/>
      <c r="G700" s="182"/>
      <c r="H700" s="182"/>
      <c r="I700" s="182"/>
      <c r="J700" s="183"/>
      <c r="K700" s="183"/>
      <c r="L700" s="182"/>
      <c r="N700" s="367">
        <f t="shared" si="31"/>
        <v>0</v>
      </c>
      <c r="O700" s="368">
        <f t="shared" si="32"/>
        <v>0</v>
      </c>
      <c r="Q700" s="364"/>
      <c r="R700" s="364"/>
      <c r="S700" s="364"/>
      <c r="T700" s="364"/>
      <c r="U700" s="364"/>
      <c r="V700" s="364"/>
      <c r="W700" s="364"/>
      <c r="X700" s="364"/>
      <c r="Y700" s="364"/>
      <c r="Z700" s="364"/>
      <c r="AA700" s="364"/>
      <c r="AB700" s="364"/>
      <c r="AC700" s="364"/>
      <c r="AD700" s="364"/>
    </row>
    <row r="701" spans="2:30">
      <c r="B701" s="367">
        <f t="shared" si="30"/>
        <v>-1</v>
      </c>
      <c r="D701" s="182"/>
      <c r="E701" s="182"/>
      <c r="F701" s="184"/>
      <c r="G701" s="182"/>
      <c r="H701" s="182"/>
      <c r="I701" s="182"/>
      <c r="J701" s="183"/>
      <c r="K701" s="183"/>
      <c r="L701" s="182"/>
      <c r="N701" s="367">
        <f t="shared" si="31"/>
        <v>0</v>
      </c>
      <c r="O701" s="368">
        <f t="shared" si="32"/>
        <v>0</v>
      </c>
      <c r="Q701" s="364"/>
      <c r="R701" s="364"/>
      <c r="S701" s="364"/>
      <c r="T701" s="364"/>
      <c r="U701" s="364"/>
      <c r="V701" s="364"/>
      <c r="W701" s="364"/>
      <c r="X701" s="364"/>
      <c r="Y701" s="364"/>
      <c r="Z701" s="364"/>
      <c r="AA701" s="364"/>
      <c r="AB701" s="364"/>
      <c r="AC701" s="364"/>
      <c r="AD701" s="364"/>
    </row>
    <row r="702" spans="2:30">
      <c r="B702" s="367">
        <f t="shared" si="30"/>
        <v>-1</v>
      </c>
      <c r="D702" s="182"/>
      <c r="E702" s="182"/>
      <c r="F702" s="184"/>
      <c r="G702" s="182"/>
      <c r="H702" s="182"/>
      <c r="I702" s="182"/>
      <c r="J702" s="183"/>
      <c r="K702" s="183"/>
      <c r="L702" s="182"/>
      <c r="N702" s="367">
        <f t="shared" si="31"/>
        <v>0</v>
      </c>
      <c r="O702" s="368">
        <f t="shared" si="32"/>
        <v>0</v>
      </c>
      <c r="Q702" s="364"/>
      <c r="R702" s="364"/>
      <c r="S702" s="364"/>
      <c r="T702" s="364"/>
      <c r="U702" s="364"/>
      <c r="V702" s="364"/>
      <c r="W702" s="364"/>
      <c r="X702" s="364"/>
      <c r="Y702" s="364"/>
      <c r="Z702" s="364"/>
      <c r="AA702" s="364"/>
      <c r="AB702" s="364"/>
      <c r="AC702" s="364"/>
      <c r="AD702" s="364"/>
    </row>
    <row r="703" spans="2:30">
      <c r="B703" s="367">
        <f t="shared" si="30"/>
        <v>-1</v>
      </c>
      <c r="D703" s="182"/>
      <c r="E703" s="182"/>
      <c r="F703" s="184"/>
      <c r="G703" s="182"/>
      <c r="H703" s="182"/>
      <c r="I703" s="182"/>
      <c r="J703" s="183"/>
      <c r="K703" s="183"/>
      <c r="L703" s="182"/>
      <c r="N703" s="367">
        <f t="shared" si="31"/>
        <v>0</v>
      </c>
      <c r="O703" s="368">
        <f t="shared" si="32"/>
        <v>0</v>
      </c>
      <c r="Q703" s="364"/>
      <c r="R703" s="364"/>
      <c r="S703" s="364"/>
      <c r="T703" s="364"/>
      <c r="U703" s="364"/>
      <c r="V703" s="364"/>
      <c r="W703" s="364"/>
      <c r="X703" s="364"/>
      <c r="Y703" s="364"/>
      <c r="Z703" s="364"/>
      <c r="AA703" s="364"/>
      <c r="AB703" s="364"/>
      <c r="AC703" s="364"/>
      <c r="AD703" s="364"/>
    </row>
    <row r="704" spans="2:30">
      <c r="B704" s="367">
        <f t="shared" si="30"/>
        <v>-1</v>
      </c>
      <c r="D704" s="182"/>
      <c r="E704" s="182"/>
      <c r="F704" s="184"/>
      <c r="G704" s="182"/>
      <c r="H704" s="182"/>
      <c r="I704" s="182"/>
      <c r="J704" s="183"/>
      <c r="K704" s="183"/>
      <c r="L704" s="182"/>
      <c r="N704" s="367">
        <f t="shared" si="31"/>
        <v>0</v>
      </c>
      <c r="O704" s="368">
        <f t="shared" si="32"/>
        <v>0</v>
      </c>
      <c r="Q704" s="364"/>
      <c r="R704" s="364"/>
      <c r="S704" s="364"/>
      <c r="T704" s="364"/>
      <c r="U704" s="364"/>
      <c r="V704" s="364"/>
      <c r="W704" s="364"/>
      <c r="X704" s="364"/>
      <c r="Y704" s="364"/>
      <c r="Z704" s="364"/>
      <c r="AA704" s="364"/>
      <c r="AB704" s="364"/>
      <c r="AC704" s="364"/>
      <c r="AD704" s="364"/>
    </row>
    <row r="705" spans="2:30">
      <c r="B705" s="367">
        <f t="shared" si="30"/>
        <v>-1</v>
      </c>
      <c r="D705" s="182"/>
      <c r="E705" s="182"/>
      <c r="F705" s="184"/>
      <c r="G705" s="182"/>
      <c r="H705" s="182"/>
      <c r="I705" s="182"/>
      <c r="J705" s="183"/>
      <c r="K705" s="183"/>
      <c r="L705" s="182"/>
      <c r="N705" s="367">
        <f t="shared" si="31"/>
        <v>0</v>
      </c>
      <c r="O705" s="368">
        <f t="shared" si="32"/>
        <v>0</v>
      </c>
      <c r="Q705" s="364"/>
      <c r="R705" s="364"/>
      <c r="S705" s="364"/>
      <c r="T705" s="364"/>
      <c r="U705" s="364"/>
      <c r="V705" s="364"/>
      <c r="W705" s="364"/>
      <c r="X705" s="364"/>
      <c r="Y705" s="364"/>
      <c r="Z705" s="364"/>
      <c r="AA705" s="364"/>
      <c r="AB705" s="364"/>
      <c r="AC705" s="364"/>
      <c r="AD705" s="364"/>
    </row>
    <row r="706" spans="2:30">
      <c r="B706" s="367">
        <f t="shared" si="30"/>
        <v>-1</v>
      </c>
      <c r="D706" s="182"/>
      <c r="E706" s="182"/>
      <c r="F706" s="184"/>
      <c r="G706" s="182"/>
      <c r="H706" s="182"/>
      <c r="I706" s="182"/>
      <c r="J706" s="183"/>
      <c r="K706" s="183"/>
      <c r="L706" s="182"/>
      <c r="N706" s="367">
        <f t="shared" si="31"/>
        <v>0</v>
      </c>
      <c r="O706" s="368">
        <f t="shared" si="32"/>
        <v>0</v>
      </c>
      <c r="Q706" s="364"/>
      <c r="R706" s="364"/>
      <c r="S706" s="364"/>
      <c r="T706" s="364"/>
      <c r="U706" s="364"/>
      <c r="V706" s="364"/>
      <c r="W706" s="364"/>
      <c r="X706" s="364"/>
      <c r="Y706" s="364"/>
      <c r="Z706" s="364"/>
      <c r="AA706" s="364"/>
      <c r="AB706" s="364"/>
      <c r="AC706" s="364"/>
      <c r="AD706" s="364"/>
    </row>
    <row r="707" spans="2:30">
      <c r="B707" s="367">
        <f t="shared" si="30"/>
        <v>-1</v>
      </c>
      <c r="D707" s="182"/>
      <c r="E707" s="182"/>
      <c r="F707" s="184"/>
      <c r="G707" s="182"/>
      <c r="H707" s="182"/>
      <c r="I707" s="182"/>
      <c r="J707" s="183"/>
      <c r="K707" s="183"/>
      <c r="L707" s="182"/>
      <c r="N707" s="367">
        <f t="shared" si="31"/>
        <v>0</v>
      </c>
      <c r="O707" s="368">
        <f t="shared" si="32"/>
        <v>0</v>
      </c>
      <c r="Q707" s="364"/>
      <c r="R707" s="364"/>
      <c r="S707" s="364"/>
      <c r="T707" s="364"/>
      <c r="U707" s="364"/>
      <c r="V707" s="364"/>
      <c r="W707" s="364"/>
      <c r="X707" s="364"/>
      <c r="Y707" s="364"/>
      <c r="Z707" s="364"/>
      <c r="AA707" s="364"/>
      <c r="AB707" s="364"/>
      <c r="AC707" s="364"/>
      <c r="AD707" s="364"/>
    </row>
    <row r="708" spans="2:30">
      <c r="B708" s="367">
        <f t="shared" si="30"/>
        <v>-1</v>
      </c>
      <c r="D708" s="182"/>
      <c r="E708" s="182"/>
      <c r="F708" s="184"/>
      <c r="G708" s="182"/>
      <c r="H708" s="182"/>
      <c r="I708" s="182"/>
      <c r="J708" s="183"/>
      <c r="K708" s="183"/>
      <c r="L708" s="182"/>
      <c r="N708" s="367">
        <f t="shared" si="31"/>
        <v>0</v>
      </c>
      <c r="O708" s="368">
        <f t="shared" si="32"/>
        <v>0</v>
      </c>
      <c r="Q708" s="364"/>
      <c r="R708" s="364"/>
      <c r="S708" s="364"/>
      <c r="T708" s="364"/>
      <c r="U708" s="364"/>
      <c r="V708" s="364"/>
      <c r="W708" s="364"/>
      <c r="X708" s="364"/>
      <c r="Y708" s="364"/>
      <c r="Z708" s="364"/>
      <c r="AA708" s="364"/>
      <c r="AB708" s="364"/>
      <c r="AC708" s="364"/>
      <c r="AD708" s="364"/>
    </row>
    <row r="709" spans="2:30">
      <c r="B709" s="367">
        <f t="shared" si="30"/>
        <v>-1</v>
      </c>
      <c r="D709" s="182"/>
      <c r="E709" s="182"/>
      <c r="F709" s="184"/>
      <c r="G709" s="182"/>
      <c r="H709" s="182"/>
      <c r="I709" s="182"/>
      <c r="J709" s="183"/>
      <c r="K709" s="183"/>
      <c r="L709" s="182"/>
      <c r="N709" s="367">
        <f t="shared" si="31"/>
        <v>0</v>
      </c>
      <c r="O709" s="368">
        <f t="shared" si="32"/>
        <v>0</v>
      </c>
      <c r="Q709" s="364"/>
      <c r="R709" s="364"/>
      <c r="S709" s="364"/>
      <c r="T709" s="364"/>
      <c r="U709" s="364"/>
      <c r="V709" s="364"/>
      <c r="W709" s="364"/>
      <c r="X709" s="364"/>
      <c r="Y709" s="364"/>
      <c r="Z709" s="364"/>
      <c r="AA709" s="364"/>
      <c r="AB709" s="364"/>
      <c r="AC709" s="364"/>
      <c r="AD709" s="364"/>
    </row>
    <row r="710" spans="2:30">
      <c r="B710" s="367">
        <f t="shared" si="30"/>
        <v>-1</v>
      </c>
      <c r="D710" s="182"/>
      <c r="E710" s="182"/>
      <c r="F710" s="184"/>
      <c r="G710" s="182"/>
      <c r="H710" s="182"/>
      <c r="I710" s="182"/>
      <c r="J710" s="183"/>
      <c r="K710" s="183"/>
      <c r="L710" s="182"/>
      <c r="N710" s="367">
        <f t="shared" si="31"/>
        <v>0</v>
      </c>
      <c r="O710" s="368">
        <f t="shared" si="32"/>
        <v>0</v>
      </c>
      <c r="Q710" s="364"/>
      <c r="R710" s="364"/>
      <c r="S710" s="364"/>
      <c r="T710" s="364"/>
      <c r="U710" s="364"/>
      <c r="V710" s="364"/>
      <c r="W710" s="364"/>
      <c r="X710" s="364"/>
      <c r="Y710" s="364"/>
      <c r="Z710" s="364"/>
      <c r="AA710" s="364"/>
      <c r="AB710" s="364"/>
      <c r="AC710" s="364"/>
      <c r="AD710" s="364"/>
    </row>
    <row r="711" spans="2:30">
      <c r="B711" s="367">
        <f t="shared" si="30"/>
        <v>-1</v>
      </c>
      <c r="D711" s="182"/>
      <c r="E711" s="182"/>
      <c r="F711" s="184"/>
      <c r="G711" s="182"/>
      <c r="H711" s="182"/>
      <c r="I711" s="182"/>
      <c r="J711" s="183"/>
      <c r="K711" s="183"/>
      <c r="L711" s="182"/>
      <c r="N711" s="367">
        <f t="shared" si="31"/>
        <v>0</v>
      </c>
      <c r="O711" s="368">
        <f t="shared" si="32"/>
        <v>0</v>
      </c>
      <c r="Q711" s="364"/>
      <c r="R711" s="364"/>
      <c r="S711" s="364"/>
      <c r="T711" s="364"/>
      <c r="U711" s="364"/>
      <c r="V711" s="364"/>
      <c r="W711" s="364"/>
      <c r="X711" s="364"/>
      <c r="Y711" s="364"/>
      <c r="Z711" s="364"/>
      <c r="AA711" s="364"/>
      <c r="AB711" s="364"/>
      <c r="AC711" s="364"/>
      <c r="AD711" s="364"/>
    </row>
    <row r="712" spans="2:30">
      <c r="B712" s="367">
        <f t="shared" si="30"/>
        <v>-1</v>
      </c>
      <c r="D712" s="182"/>
      <c r="E712" s="182"/>
      <c r="F712" s="184"/>
      <c r="G712" s="182"/>
      <c r="H712" s="182"/>
      <c r="I712" s="182"/>
      <c r="J712" s="183"/>
      <c r="K712" s="183"/>
      <c r="L712" s="182"/>
      <c r="N712" s="367">
        <f t="shared" si="31"/>
        <v>0</v>
      </c>
      <c r="O712" s="368">
        <f t="shared" si="32"/>
        <v>0</v>
      </c>
      <c r="Q712" s="364"/>
      <c r="R712" s="364"/>
      <c r="S712" s="364"/>
      <c r="T712" s="364"/>
      <c r="U712" s="364"/>
      <c r="V712" s="364"/>
      <c r="W712" s="364"/>
      <c r="X712" s="364"/>
      <c r="Y712" s="364"/>
      <c r="Z712" s="364"/>
      <c r="AA712" s="364"/>
      <c r="AB712" s="364"/>
      <c r="AC712" s="364"/>
      <c r="AD712" s="364"/>
    </row>
    <row r="713" spans="2:30">
      <c r="B713" s="367">
        <f t="shared" si="30"/>
        <v>-1</v>
      </c>
      <c r="D713" s="182"/>
      <c r="E713" s="182"/>
      <c r="F713" s="184"/>
      <c r="G713" s="182"/>
      <c r="H713" s="182"/>
      <c r="I713" s="182"/>
      <c r="J713" s="183"/>
      <c r="K713" s="183"/>
      <c r="L713" s="182"/>
      <c r="N713" s="367">
        <f t="shared" si="31"/>
        <v>0</v>
      </c>
      <c r="O713" s="368">
        <f t="shared" si="32"/>
        <v>0</v>
      </c>
      <c r="Q713" s="364"/>
      <c r="R713" s="364"/>
      <c r="S713" s="364"/>
      <c r="T713" s="364"/>
      <c r="U713" s="364"/>
      <c r="V713" s="364"/>
      <c r="W713" s="364"/>
      <c r="X713" s="364"/>
      <c r="Y713" s="364"/>
      <c r="Z713" s="364"/>
      <c r="AA713" s="364"/>
      <c r="AB713" s="364"/>
      <c r="AC713" s="364"/>
      <c r="AD713" s="364"/>
    </row>
    <row r="714" spans="2:30">
      <c r="B714" s="367">
        <f t="shared" ref="B714:B771" si="33">IF(G714="buy",1,-1)</f>
        <v>-1</v>
      </c>
      <c r="D714" s="182"/>
      <c r="E714" s="182"/>
      <c r="F714" s="184"/>
      <c r="G714" s="182"/>
      <c r="H714" s="182"/>
      <c r="I714" s="182"/>
      <c r="J714" s="183"/>
      <c r="K714" s="183"/>
      <c r="L714" s="182"/>
      <c r="N714" s="367">
        <f t="shared" ref="N714:N771" si="34">+H714*((K714-J714)+1)*B714</f>
        <v>0</v>
      </c>
      <c r="O714" s="368">
        <f t="shared" ref="O714:O771" si="35">N714*L714/100</f>
        <v>0</v>
      </c>
      <c r="Q714" s="364"/>
      <c r="R714" s="364"/>
      <c r="S714" s="364"/>
      <c r="T714" s="364"/>
      <c r="U714" s="364"/>
      <c r="V714" s="364"/>
      <c r="W714" s="364"/>
      <c r="X714" s="364"/>
      <c r="Y714" s="364"/>
      <c r="Z714" s="364"/>
      <c r="AA714" s="364"/>
      <c r="AB714" s="364"/>
      <c r="AC714" s="364"/>
      <c r="AD714" s="364"/>
    </row>
    <row r="715" spans="2:30">
      <c r="B715" s="367">
        <f t="shared" si="33"/>
        <v>-1</v>
      </c>
      <c r="D715" s="182"/>
      <c r="E715" s="182"/>
      <c r="F715" s="184"/>
      <c r="G715" s="182"/>
      <c r="H715" s="182"/>
      <c r="I715" s="182"/>
      <c r="J715" s="183"/>
      <c r="K715" s="183"/>
      <c r="L715" s="182"/>
      <c r="N715" s="367">
        <f t="shared" si="34"/>
        <v>0</v>
      </c>
      <c r="O715" s="368">
        <f t="shared" si="35"/>
        <v>0</v>
      </c>
      <c r="Q715" s="364"/>
      <c r="R715" s="364"/>
      <c r="S715" s="364"/>
      <c r="T715" s="364"/>
      <c r="U715" s="364"/>
      <c r="V715" s="364"/>
      <c r="W715" s="364"/>
      <c r="X715" s="364"/>
      <c r="Y715" s="364"/>
      <c r="Z715" s="364"/>
      <c r="AA715" s="364"/>
      <c r="AB715" s="364"/>
      <c r="AC715" s="364"/>
      <c r="AD715" s="364"/>
    </row>
    <row r="716" spans="2:30">
      <c r="B716" s="367">
        <f t="shared" si="33"/>
        <v>-1</v>
      </c>
      <c r="D716" s="182"/>
      <c r="E716" s="182"/>
      <c r="F716" s="184"/>
      <c r="G716" s="182"/>
      <c r="H716" s="182"/>
      <c r="I716" s="182"/>
      <c r="J716" s="183"/>
      <c r="K716" s="183"/>
      <c r="L716" s="182"/>
      <c r="N716" s="367">
        <f t="shared" si="34"/>
        <v>0</v>
      </c>
      <c r="O716" s="368">
        <f t="shared" si="35"/>
        <v>0</v>
      </c>
      <c r="Q716" s="364"/>
      <c r="R716" s="364"/>
      <c r="S716" s="364"/>
      <c r="T716" s="364"/>
      <c r="U716" s="364"/>
      <c r="V716" s="364"/>
      <c r="W716" s="364"/>
      <c r="X716" s="364"/>
      <c r="Y716" s="364"/>
      <c r="Z716" s="364"/>
      <c r="AA716" s="364"/>
      <c r="AB716" s="364"/>
      <c r="AC716" s="364"/>
      <c r="AD716" s="364"/>
    </row>
    <row r="717" spans="2:30">
      <c r="B717" s="367">
        <f t="shared" si="33"/>
        <v>-1</v>
      </c>
      <c r="D717" s="182"/>
      <c r="E717" s="182"/>
      <c r="F717" s="184"/>
      <c r="G717" s="182"/>
      <c r="H717" s="182"/>
      <c r="I717" s="182"/>
      <c r="J717" s="183"/>
      <c r="K717" s="183"/>
      <c r="L717" s="182"/>
      <c r="N717" s="367">
        <f t="shared" si="34"/>
        <v>0</v>
      </c>
      <c r="O717" s="368">
        <f t="shared" si="35"/>
        <v>0</v>
      </c>
      <c r="Q717" s="364"/>
      <c r="R717" s="364"/>
      <c r="S717" s="364"/>
      <c r="T717" s="364"/>
      <c r="U717" s="364"/>
      <c r="V717" s="364"/>
      <c r="W717" s="364"/>
      <c r="X717" s="364"/>
      <c r="Y717" s="364"/>
      <c r="Z717" s="364"/>
      <c r="AA717" s="364"/>
      <c r="AB717" s="364"/>
      <c r="AC717" s="364"/>
      <c r="AD717" s="364"/>
    </row>
    <row r="718" spans="2:30">
      <c r="B718" s="367">
        <f t="shared" si="33"/>
        <v>-1</v>
      </c>
      <c r="D718" s="182"/>
      <c r="E718" s="182"/>
      <c r="F718" s="184"/>
      <c r="G718" s="182"/>
      <c r="H718" s="182"/>
      <c r="I718" s="182"/>
      <c r="J718" s="183"/>
      <c r="K718" s="183"/>
      <c r="L718" s="182"/>
      <c r="N718" s="367">
        <f t="shared" si="34"/>
        <v>0</v>
      </c>
      <c r="O718" s="368">
        <f t="shared" si="35"/>
        <v>0</v>
      </c>
      <c r="Q718" s="364"/>
      <c r="R718" s="364"/>
      <c r="S718" s="364"/>
      <c r="T718" s="364"/>
      <c r="U718" s="364"/>
      <c r="V718" s="364"/>
      <c r="W718" s="364"/>
      <c r="X718" s="364"/>
      <c r="Y718" s="364"/>
      <c r="Z718" s="364"/>
      <c r="AA718" s="364"/>
      <c r="AB718" s="364"/>
      <c r="AC718" s="364"/>
      <c r="AD718" s="364"/>
    </row>
    <row r="719" spans="2:30">
      <c r="B719" s="367">
        <f t="shared" si="33"/>
        <v>-1</v>
      </c>
      <c r="D719" s="182"/>
      <c r="E719" s="182"/>
      <c r="F719" s="184"/>
      <c r="G719" s="182"/>
      <c r="H719" s="182"/>
      <c r="I719" s="182"/>
      <c r="J719" s="183"/>
      <c r="K719" s="183"/>
      <c r="L719" s="182"/>
      <c r="N719" s="367">
        <f t="shared" si="34"/>
        <v>0</v>
      </c>
      <c r="O719" s="368">
        <f t="shared" si="35"/>
        <v>0</v>
      </c>
      <c r="Q719" s="364"/>
      <c r="R719" s="364"/>
      <c r="S719" s="364"/>
      <c r="T719" s="364"/>
      <c r="U719" s="364"/>
      <c r="V719" s="364"/>
      <c r="W719" s="364"/>
      <c r="X719" s="364"/>
      <c r="Y719" s="364"/>
      <c r="Z719" s="364"/>
      <c r="AA719" s="364"/>
      <c r="AB719" s="364"/>
      <c r="AC719" s="364"/>
      <c r="AD719" s="364"/>
    </row>
    <row r="720" spans="2:30">
      <c r="B720" s="367">
        <f t="shared" si="33"/>
        <v>-1</v>
      </c>
      <c r="D720" s="182"/>
      <c r="E720" s="182"/>
      <c r="F720" s="184"/>
      <c r="G720" s="182"/>
      <c r="H720" s="182"/>
      <c r="I720" s="182"/>
      <c r="J720" s="183"/>
      <c r="K720" s="183"/>
      <c r="L720" s="182"/>
      <c r="N720" s="367">
        <f t="shared" si="34"/>
        <v>0</v>
      </c>
      <c r="O720" s="368">
        <f t="shared" si="35"/>
        <v>0</v>
      </c>
      <c r="Q720" s="364"/>
      <c r="R720" s="364"/>
      <c r="S720" s="364"/>
      <c r="T720" s="364"/>
      <c r="U720" s="364"/>
      <c r="V720" s="364"/>
      <c r="W720" s="364"/>
      <c r="X720" s="364"/>
      <c r="Y720" s="364"/>
      <c r="Z720" s="364"/>
      <c r="AA720" s="364"/>
      <c r="AB720" s="364"/>
      <c r="AC720" s="364"/>
      <c r="AD720" s="364"/>
    </row>
    <row r="721" spans="2:30">
      <c r="B721" s="367">
        <f t="shared" si="33"/>
        <v>-1</v>
      </c>
      <c r="D721" s="182"/>
      <c r="E721" s="182"/>
      <c r="F721" s="184"/>
      <c r="G721" s="182"/>
      <c r="H721" s="182"/>
      <c r="I721" s="182"/>
      <c r="J721" s="183"/>
      <c r="K721" s="183"/>
      <c r="L721" s="182"/>
      <c r="N721" s="367">
        <f t="shared" si="34"/>
        <v>0</v>
      </c>
      <c r="O721" s="368">
        <f t="shared" si="35"/>
        <v>0</v>
      </c>
      <c r="Q721" s="364"/>
      <c r="R721" s="364"/>
      <c r="S721" s="364"/>
      <c r="T721" s="364"/>
      <c r="U721" s="364"/>
      <c r="V721" s="364"/>
      <c r="W721" s="364"/>
      <c r="X721" s="364"/>
      <c r="Y721" s="364"/>
      <c r="Z721" s="364"/>
      <c r="AA721" s="364"/>
      <c r="AB721" s="364"/>
      <c r="AC721" s="364"/>
      <c r="AD721" s="364"/>
    </row>
    <row r="722" spans="2:30">
      <c r="B722" s="367">
        <f t="shared" si="33"/>
        <v>-1</v>
      </c>
      <c r="D722" s="182"/>
      <c r="E722" s="182"/>
      <c r="F722" s="184"/>
      <c r="G722" s="182"/>
      <c r="H722" s="182"/>
      <c r="I722" s="182"/>
      <c r="J722" s="183"/>
      <c r="K722" s="183"/>
      <c r="L722" s="182"/>
      <c r="N722" s="367">
        <f t="shared" si="34"/>
        <v>0</v>
      </c>
      <c r="O722" s="368">
        <f t="shared" si="35"/>
        <v>0</v>
      </c>
      <c r="Q722" s="364"/>
      <c r="R722" s="364"/>
      <c r="S722" s="364"/>
      <c r="T722" s="364"/>
      <c r="U722" s="364"/>
      <c r="V722" s="364"/>
      <c r="W722" s="364"/>
      <c r="X722" s="364"/>
      <c r="Y722" s="364"/>
      <c r="Z722" s="364"/>
      <c r="AA722" s="364"/>
      <c r="AB722" s="364"/>
      <c r="AC722" s="364"/>
      <c r="AD722" s="364"/>
    </row>
    <row r="723" spans="2:30">
      <c r="B723" s="367">
        <f t="shared" si="33"/>
        <v>-1</v>
      </c>
      <c r="D723" s="182"/>
      <c r="E723" s="182"/>
      <c r="F723" s="184"/>
      <c r="G723" s="182"/>
      <c r="H723" s="182"/>
      <c r="I723" s="182"/>
      <c r="J723" s="183"/>
      <c r="K723" s="183"/>
      <c r="L723" s="182"/>
      <c r="N723" s="367">
        <f t="shared" si="34"/>
        <v>0</v>
      </c>
      <c r="O723" s="368">
        <f t="shared" si="35"/>
        <v>0</v>
      </c>
      <c r="Q723" s="364"/>
      <c r="R723" s="364"/>
      <c r="S723" s="364"/>
      <c r="T723" s="364"/>
      <c r="U723" s="364"/>
      <c r="V723" s="364"/>
      <c r="W723" s="364"/>
      <c r="X723" s="364"/>
      <c r="Y723" s="364"/>
      <c r="Z723" s="364"/>
      <c r="AA723" s="364"/>
      <c r="AB723" s="364"/>
      <c r="AC723" s="364"/>
      <c r="AD723" s="364"/>
    </row>
    <row r="724" spans="2:30">
      <c r="B724" s="367">
        <f t="shared" si="33"/>
        <v>-1</v>
      </c>
      <c r="D724" s="182"/>
      <c r="E724" s="182"/>
      <c r="F724" s="184"/>
      <c r="G724" s="182"/>
      <c r="H724" s="182"/>
      <c r="I724" s="182"/>
      <c r="J724" s="183"/>
      <c r="K724" s="183"/>
      <c r="L724" s="182"/>
      <c r="N724" s="367">
        <f t="shared" si="34"/>
        <v>0</v>
      </c>
      <c r="O724" s="368">
        <f t="shared" si="35"/>
        <v>0</v>
      </c>
      <c r="Q724" s="364"/>
      <c r="R724" s="364"/>
      <c r="S724" s="364"/>
      <c r="T724" s="364"/>
      <c r="U724" s="364"/>
      <c r="V724" s="364"/>
      <c r="W724" s="364"/>
      <c r="X724" s="364"/>
      <c r="Y724" s="364"/>
      <c r="Z724" s="364"/>
      <c r="AA724" s="364"/>
      <c r="AB724" s="364"/>
      <c r="AC724" s="364"/>
      <c r="AD724" s="364"/>
    </row>
    <row r="725" spans="2:30">
      <c r="B725" s="367">
        <f t="shared" si="33"/>
        <v>-1</v>
      </c>
      <c r="D725" s="182"/>
      <c r="E725" s="182"/>
      <c r="F725" s="184"/>
      <c r="G725" s="182"/>
      <c r="H725" s="182"/>
      <c r="I725" s="182"/>
      <c r="J725" s="183"/>
      <c r="K725" s="183"/>
      <c r="L725" s="182"/>
      <c r="N725" s="367">
        <f t="shared" si="34"/>
        <v>0</v>
      </c>
      <c r="O725" s="368">
        <f t="shared" si="35"/>
        <v>0</v>
      </c>
      <c r="Q725" s="364"/>
      <c r="R725" s="364"/>
      <c r="S725" s="364"/>
      <c r="T725" s="364"/>
      <c r="U725" s="364"/>
      <c r="V725" s="364"/>
      <c r="W725" s="364"/>
      <c r="X725" s="364"/>
      <c r="Y725" s="364"/>
      <c r="Z725" s="364"/>
      <c r="AA725" s="364"/>
      <c r="AB725" s="364"/>
      <c r="AC725" s="364"/>
      <c r="AD725" s="364"/>
    </row>
    <row r="726" spans="2:30">
      <c r="B726" s="367">
        <f t="shared" si="33"/>
        <v>-1</v>
      </c>
      <c r="D726" s="182"/>
      <c r="E726" s="182"/>
      <c r="F726" s="184"/>
      <c r="G726" s="182"/>
      <c r="H726" s="182"/>
      <c r="I726" s="182"/>
      <c r="J726" s="183"/>
      <c r="K726" s="183"/>
      <c r="L726" s="182"/>
      <c r="N726" s="367">
        <f t="shared" si="34"/>
        <v>0</v>
      </c>
      <c r="O726" s="368">
        <f t="shared" si="35"/>
        <v>0</v>
      </c>
      <c r="Q726" s="364"/>
      <c r="R726" s="364"/>
      <c r="S726" s="364"/>
      <c r="T726" s="364"/>
      <c r="U726" s="364"/>
      <c r="V726" s="364"/>
      <c r="W726" s="364"/>
      <c r="X726" s="364"/>
      <c r="Y726" s="364"/>
      <c r="Z726" s="364"/>
      <c r="AA726" s="364"/>
      <c r="AB726" s="364"/>
      <c r="AC726" s="364"/>
      <c r="AD726" s="364"/>
    </row>
    <row r="727" spans="2:30">
      <c r="B727" s="367">
        <f t="shared" si="33"/>
        <v>-1</v>
      </c>
      <c r="D727" s="182"/>
      <c r="E727" s="182"/>
      <c r="F727" s="184"/>
      <c r="G727" s="182"/>
      <c r="H727" s="182"/>
      <c r="I727" s="182"/>
      <c r="J727" s="183"/>
      <c r="K727" s="183"/>
      <c r="L727" s="182"/>
      <c r="N727" s="367">
        <f t="shared" si="34"/>
        <v>0</v>
      </c>
      <c r="O727" s="368">
        <f t="shared" si="35"/>
        <v>0</v>
      </c>
      <c r="Q727" s="364"/>
      <c r="R727" s="364"/>
      <c r="S727" s="364"/>
      <c r="T727" s="364"/>
      <c r="U727" s="364"/>
      <c r="V727" s="364"/>
      <c r="W727" s="364"/>
      <c r="X727" s="364"/>
      <c r="Y727" s="364"/>
      <c r="Z727" s="364"/>
      <c r="AA727" s="364"/>
      <c r="AB727" s="364"/>
      <c r="AC727" s="364"/>
      <c r="AD727" s="364"/>
    </row>
    <row r="728" spans="2:30">
      <c r="B728" s="367">
        <f t="shared" si="33"/>
        <v>-1</v>
      </c>
      <c r="D728" s="182"/>
      <c r="E728" s="182"/>
      <c r="F728" s="184"/>
      <c r="G728" s="182"/>
      <c r="H728" s="182"/>
      <c r="I728" s="182"/>
      <c r="J728" s="183"/>
      <c r="K728" s="183"/>
      <c r="L728" s="182"/>
      <c r="N728" s="367">
        <f t="shared" si="34"/>
        <v>0</v>
      </c>
      <c r="O728" s="368">
        <f t="shared" si="35"/>
        <v>0</v>
      </c>
      <c r="Q728" s="364"/>
      <c r="R728" s="364"/>
      <c r="S728" s="364"/>
      <c r="T728" s="364"/>
      <c r="U728" s="364"/>
      <c r="V728" s="364"/>
      <c r="W728" s="364"/>
      <c r="X728" s="364"/>
      <c r="Y728" s="364"/>
      <c r="Z728" s="364"/>
      <c r="AA728" s="364"/>
      <c r="AB728" s="364"/>
      <c r="AC728" s="364"/>
      <c r="AD728" s="364"/>
    </row>
    <row r="729" spans="2:30">
      <c r="B729" s="367">
        <f t="shared" si="33"/>
        <v>-1</v>
      </c>
      <c r="D729" s="182"/>
      <c r="E729" s="182"/>
      <c r="F729" s="184"/>
      <c r="G729" s="182"/>
      <c r="H729" s="182"/>
      <c r="I729" s="182"/>
      <c r="J729" s="183"/>
      <c r="K729" s="183"/>
      <c r="L729" s="182"/>
      <c r="N729" s="367">
        <f t="shared" si="34"/>
        <v>0</v>
      </c>
      <c r="O729" s="368">
        <f t="shared" si="35"/>
        <v>0</v>
      </c>
      <c r="Q729" s="364"/>
      <c r="R729" s="364"/>
      <c r="S729" s="364"/>
      <c r="T729" s="364"/>
      <c r="U729" s="364"/>
      <c r="V729" s="364"/>
      <c r="W729" s="364"/>
      <c r="X729" s="364"/>
      <c r="Y729" s="364"/>
      <c r="Z729" s="364"/>
      <c r="AA729" s="364"/>
      <c r="AB729" s="364"/>
      <c r="AC729" s="364"/>
      <c r="AD729" s="364"/>
    </row>
    <row r="730" spans="2:30">
      <c r="B730" s="367">
        <f t="shared" si="33"/>
        <v>-1</v>
      </c>
      <c r="D730" s="182"/>
      <c r="E730" s="182"/>
      <c r="F730" s="184"/>
      <c r="G730" s="182"/>
      <c r="H730" s="182"/>
      <c r="I730" s="182"/>
      <c r="J730" s="183"/>
      <c r="K730" s="183"/>
      <c r="L730" s="182"/>
      <c r="N730" s="367">
        <f t="shared" si="34"/>
        <v>0</v>
      </c>
      <c r="O730" s="368">
        <f t="shared" si="35"/>
        <v>0</v>
      </c>
      <c r="Q730" s="364"/>
      <c r="R730" s="364"/>
      <c r="S730" s="364"/>
      <c r="T730" s="364"/>
      <c r="U730" s="364"/>
      <c r="V730" s="364"/>
      <c r="W730" s="364"/>
      <c r="X730" s="364"/>
      <c r="Y730" s="364"/>
      <c r="Z730" s="364"/>
      <c r="AA730" s="364"/>
      <c r="AB730" s="364"/>
      <c r="AC730" s="364"/>
      <c r="AD730" s="364"/>
    </row>
    <row r="731" spans="2:30">
      <c r="B731" s="367">
        <f t="shared" si="33"/>
        <v>-1</v>
      </c>
      <c r="D731" s="182"/>
      <c r="E731" s="182"/>
      <c r="F731" s="184"/>
      <c r="G731" s="182"/>
      <c r="H731" s="182"/>
      <c r="I731" s="182"/>
      <c r="J731" s="183"/>
      <c r="K731" s="183"/>
      <c r="L731" s="182"/>
      <c r="N731" s="367">
        <f t="shared" si="34"/>
        <v>0</v>
      </c>
      <c r="O731" s="368">
        <f t="shared" si="35"/>
        <v>0</v>
      </c>
      <c r="Q731" s="364"/>
      <c r="R731" s="364"/>
      <c r="S731" s="364"/>
      <c r="T731" s="364"/>
      <c r="U731" s="364"/>
      <c r="V731" s="364"/>
      <c r="W731" s="364"/>
      <c r="X731" s="364"/>
      <c r="Y731" s="364"/>
      <c r="Z731" s="364"/>
      <c r="AA731" s="364"/>
      <c r="AB731" s="364"/>
      <c r="AC731" s="364"/>
      <c r="AD731" s="364"/>
    </row>
    <row r="732" spans="2:30">
      <c r="B732" s="367">
        <f t="shared" si="33"/>
        <v>-1</v>
      </c>
      <c r="D732" s="182"/>
      <c r="E732" s="182"/>
      <c r="F732" s="184"/>
      <c r="G732" s="182"/>
      <c r="H732" s="182"/>
      <c r="I732" s="182"/>
      <c r="J732" s="183"/>
      <c r="K732" s="183"/>
      <c r="L732" s="182"/>
      <c r="N732" s="367">
        <f t="shared" si="34"/>
        <v>0</v>
      </c>
      <c r="O732" s="368">
        <f t="shared" si="35"/>
        <v>0</v>
      </c>
      <c r="Q732" s="364"/>
      <c r="R732" s="364"/>
      <c r="S732" s="364"/>
      <c r="T732" s="364"/>
      <c r="U732" s="364"/>
      <c r="V732" s="364"/>
      <c r="W732" s="364"/>
      <c r="X732" s="364"/>
      <c r="Y732" s="364"/>
      <c r="Z732" s="364"/>
      <c r="AA732" s="364"/>
      <c r="AB732" s="364"/>
      <c r="AC732" s="364"/>
      <c r="AD732" s="364"/>
    </row>
    <row r="733" spans="2:30">
      <c r="B733" s="367">
        <f t="shared" si="33"/>
        <v>-1</v>
      </c>
      <c r="D733" s="182"/>
      <c r="E733" s="182"/>
      <c r="F733" s="184"/>
      <c r="G733" s="182"/>
      <c r="H733" s="182"/>
      <c r="I733" s="182"/>
      <c r="J733" s="183"/>
      <c r="K733" s="183"/>
      <c r="L733" s="182"/>
      <c r="N733" s="367">
        <f t="shared" si="34"/>
        <v>0</v>
      </c>
      <c r="O733" s="368">
        <f t="shared" si="35"/>
        <v>0</v>
      </c>
      <c r="Q733" s="364"/>
      <c r="R733" s="364"/>
      <c r="S733" s="364"/>
      <c r="T733" s="364"/>
      <c r="U733" s="364"/>
      <c r="V733" s="364"/>
      <c r="W733" s="364"/>
      <c r="X733" s="364"/>
      <c r="Y733" s="364"/>
      <c r="Z733" s="364"/>
      <c r="AA733" s="364"/>
      <c r="AB733" s="364"/>
      <c r="AC733" s="364"/>
      <c r="AD733" s="364"/>
    </row>
    <row r="734" spans="2:30">
      <c r="B734" s="367">
        <f t="shared" si="33"/>
        <v>-1</v>
      </c>
      <c r="D734" s="182"/>
      <c r="E734" s="182"/>
      <c r="F734" s="184"/>
      <c r="G734" s="182"/>
      <c r="H734" s="182"/>
      <c r="I734" s="182"/>
      <c r="J734" s="183"/>
      <c r="K734" s="183"/>
      <c r="L734" s="182"/>
      <c r="N734" s="367">
        <f t="shared" si="34"/>
        <v>0</v>
      </c>
      <c r="O734" s="368">
        <f t="shared" si="35"/>
        <v>0</v>
      </c>
      <c r="Q734" s="364"/>
      <c r="R734" s="364"/>
      <c r="S734" s="364"/>
      <c r="T734" s="364"/>
      <c r="U734" s="364"/>
      <c r="V734" s="364"/>
      <c r="W734" s="364"/>
      <c r="X734" s="364"/>
      <c r="Y734" s="364"/>
      <c r="Z734" s="364"/>
      <c r="AA734" s="364"/>
      <c r="AB734" s="364"/>
      <c r="AC734" s="364"/>
      <c r="AD734" s="364"/>
    </row>
    <row r="735" spans="2:30">
      <c r="B735" s="367">
        <f t="shared" si="33"/>
        <v>-1</v>
      </c>
      <c r="D735" s="182"/>
      <c r="E735" s="182"/>
      <c r="F735" s="184"/>
      <c r="G735" s="182"/>
      <c r="H735" s="182"/>
      <c r="I735" s="182"/>
      <c r="J735" s="183"/>
      <c r="K735" s="183"/>
      <c r="L735" s="182"/>
      <c r="N735" s="367">
        <f t="shared" si="34"/>
        <v>0</v>
      </c>
      <c r="O735" s="368">
        <f t="shared" si="35"/>
        <v>0</v>
      </c>
      <c r="Q735" s="364"/>
      <c r="R735" s="364"/>
      <c r="S735" s="364"/>
      <c r="T735" s="364"/>
      <c r="U735" s="364"/>
      <c r="V735" s="364"/>
      <c r="W735" s="364"/>
      <c r="X735" s="364"/>
      <c r="Y735" s="364"/>
      <c r="Z735" s="364"/>
      <c r="AA735" s="364"/>
      <c r="AB735" s="364"/>
      <c r="AC735" s="364"/>
      <c r="AD735" s="364"/>
    </row>
    <row r="736" spans="2:30">
      <c r="B736" s="367">
        <f t="shared" si="33"/>
        <v>-1</v>
      </c>
      <c r="D736" s="182"/>
      <c r="E736" s="182"/>
      <c r="F736" s="184"/>
      <c r="G736" s="182"/>
      <c r="H736" s="182"/>
      <c r="I736" s="182"/>
      <c r="J736" s="183"/>
      <c r="K736" s="183"/>
      <c r="L736" s="182"/>
      <c r="N736" s="367">
        <f t="shared" si="34"/>
        <v>0</v>
      </c>
      <c r="O736" s="368">
        <f t="shared" si="35"/>
        <v>0</v>
      </c>
      <c r="Q736" s="364"/>
      <c r="R736" s="364"/>
      <c r="S736" s="364"/>
      <c r="T736" s="364"/>
      <c r="U736" s="364"/>
      <c r="V736" s="364"/>
      <c r="W736" s="364"/>
      <c r="X736" s="364"/>
      <c r="Y736" s="364"/>
      <c r="Z736" s="364"/>
      <c r="AA736" s="364"/>
      <c r="AB736" s="364"/>
      <c r="AC736" s="364"/>
      <c r="AD736" s="364"/>
    </row>
    <row r="737" spans="2:30">
      <c r="B737" s="367">
        <f t="shared" si="33"/>
        <v>-1</v>
      </c>
      <c r="D737" s="182"/>
      <c r="E737" s="182"/>
      <c r="F737" s="184"/>
      <c r="G737" s="182"/>
      <c r="H737" s="182"/>
      <c r="I737" s="182"/>
      <c r="J737" s="183"/>
      <c r="K737" s="183"/>
      <c r="L737" s="182"/>
      <c r="N737" s="367">
        <f t="shared" si="34"/>
        <v>0</v>
      </c>
      <c r="O737" s="368">
        <f t="shared" si="35"/>
        <v>0</v>
      </c>
      <c r="Q737" s="364"/>
      <c r="R737" s="364"/>
      <c r="S737" s="364"/>
      <c r="T737" s="364"/>
      <c r="U737" s="364"/>
      <c r="V737" s="364"/>
      <c r="W737" s="364"/>
      <c r="X737" s="364"/>
      <c r="Y737" s="364"/>
      <c r="Z737" s="364"/>
      <c r="AA737" s="364"/>
      <c r="AB737" s="364"/>
      <c r="AC737" s="364"/>
      <c r="AD737" s="364"/>
    </row>
    <row r="738" spans="2:30">
      <c r="B738" s="367">
        <f t="shared" si="33"/>
        <v>-1</v>
      </c>
      <c r="D738" s="182"/>
      <c r="E738" s="182"/>
      <c r="F738" s="184"/>
      <c r="G738" s="182"/>
      <c r="H738" s="182"/>
      <c r="I738" s="182"/>
      <c r="J738" s="183"/>
      <c r="K738" s="183"/>
      <c r="L738" s="182"/>
      <c r="N738" s="367">
        <f t="shared" si="34"/>
        <v>0</v>
      </c>
      <c r="O738" s="368">
        <f t="shared" si="35"/>
        <v>0</v>
      </c>
      <c r="Q738" s="364"/>
      <c r="R738" s="364"/>
      <c r="S738" s="364"/>
      <c r="T738" s="364"/>
      <c r="U738" s="364"/>
      <c r="V738" s="364"/>
      <c r="W738" s="364"/>
      <c r="X738" s="364"/>
      <c r="Y738" s="364"/>
      <c r="Z738" s="364"/>
      <c r="AA738" s="364"/>
      <c r="AB738" s="364"/>
      <c r="AC738" s="364"/>
      <c r="AD738" s="364"/>
    </row>
    <row r="739" spans="2:30">
      <c r="B739" s="367">
        <f t="shared" si="33"/>
        <v>-1</v>
      </c>
      <c r="D739" s="182"/>
      <c r="E739" s="182"/>
      <c r="F739" s="184"/>
      <c r="G739" s="182"/>
      <c r="H739" s="182"/>
      <c r="I739" s="182"/>
      <c r="J739" s="183"/>
      <c r="K739" s="183"/>
      <c r="L739" s="182"/>
      <c r="N739" s="367">
        <f t="shared" si="34"/>
        <v>0</v>
      </c>
      <c r="O739" s="368">
        <f t="shared" si="35"/>
        <v>0</v>
      </c>
      <c r="Q739" s="364"/>
      <c r="R739" s="364"/>
      <c r="S739" s="364"/>
      <c r="T739" s="364"/>
      <c r="U739" s="364"/>
      <c r="V739" s="364"/>
      <c r="W739" s="364"/>
      <c r="X739" s="364"/>
      <c r="Y739" s="364"/>
      <c r="Z739" s="364"/>
      <c r="AA739" s="364"/>
      <c r="AB739" s="364"/>
      <c r="AC739" s="364"/>
      <c r="AD739" s="364"/>
    </row>
    <row r="740" spans="2:30">
      <c r="B740" s="367">
        <f t="shared" si="33"/>
        <v>-1</v>
      </c>
      <c r="D740" s="182"/>
      <c r="E740" s="182"/>
      <c r="F740" s="184"/>
      <c r="G740" s="182"/>
      <c r="H740" s="182"/>
      <c r="I740" s="182"/>
      <c r="J740" s="183"/>
      <c r="K740" s="183"/>
      <c r="L740" s="182"/>
      <c r="N740" s="367">
        <f t="shared" si="34"/>
        <v>0</v>
      </c>
      <c r="O740" s="368">
        <f t="shared" si="35"/>
        <v>0</v>
      </c>
      <c r="Q740" s="364"/>
      <c r="R740" s="364"/>
      <c r="S740" s="364"/>
      <c r="T740" s="364"/>
      <c r="U740" s="364"/>
      <c r="V740" s="364"/>
      <c r="W740" s="364"/>
      <c r="X740" s="364"/>
      <c r="Y740" s="364"/>
      <c r="Z740" s="364"/>
      <c r="AA740" s="364"/>
      <c r="AB740" s="364"/>
      <c r="AC740" s="364"/>
      <c r="AD740" s="364"/>
    </row>
    <row r="741" spans="2:30">
      <c r="B741" s="367">
        <f t="shared" si="33"/>
        <v>-1</v>
      </c>
      <c r="D741" s="182"/>
      <c r="E741" s="182"/>
      <c r="F741" s="184"/>
      <c r="G741" s="182"/>
      <c r="H741" s="182"/>
      <c r="I741" s="182"/>
      <c r="J741" s="183"/>
      <c r="K741" s="183"/>
      <c r="L741" s="182"/>
      <c r="N741" s="367">
        <f t="shared" si="34"/>
        <v>0</v>
      </c>
      <c r="O741" s="368">
        <f t="shared" si="35"/>
        <v>0</v>
      </c>
      <c r="Q741" s="364"/>
      <c r="R741" s="364"/>
      <c r="S741" s="364"/>
      <c r="T741" s="364"/>
      <c r="U741" s="364"/>
      <c r="V741" s="364"/>
      <c r="W741" s="364"/>
      <c r="X741" s="364"/>
      <c r="Y741" s="364"/>
      <c r="Z741" s="364"/>
      <c r="AA741" s="364"/>
      <c r="AB741" s="364"/>
      <c r="AC741" s="364"/>
      <c r="AD741" s="364"/>
    </row>
    <row r="742" spans="2:30">
      <c r="B742" s="367">
        <f t="shared" si="33"/>
        <v>-1</v>
      </c>
      <c r="D742" s="182"/>
      <c r="E742" s="182"/>
      <c r="F742" s="184"/>
      <c r="G742" s="182"/>
      <c r="H742" s="182"/>
      <c r="I742" s="182"/>
      <c r="J742" s="183"/>
      <c r="K742" s="183"/>
      <c r="L742" s="182"/>
      <c r="N742" s="367">
        <f t="shared" si="34"/>
        <v>0</v>
      </c>
      <c r="O742" s="368">
        <f t="shared" si="35"/>
        <v>0</v>
      </c>
      <c r="Q742" s="364"/>
      <c r="R742" s="364"/>
      <c r="S742" s="364"/>
      <c r="T742" s="364"/>
      <c r="U742" s="364"/>
      <c r="V742" s="364"/>
      <c r="W742" s="364"/>
      <c r="X742" s="364"/>
      <c r="Y742" s="364"/>
      <c r="Z742" s="364"/>
      <c r="AA742" s="364"/>
      <c r="AB742" s="364"/>
      <c r="AC742" s="364"/>
      <c r="AD742" s="364"/>
    </row>
    <row r="743" spans="2:30">
      <c r="B743" s="367">
        <f t="shared" si="33"/>
        <v>-1</v>
      </c>
      <c r="D743" s="182"/>
      <c r="E743" s="182"/>
      <c r="F743" s="184"/>
      <c r="G743" s="182"/>
      <c r="H743" s="182"/>
      <c r="I743" s="182"/>
      <c r="J743" s="183"/>
      <c r="K743" s="183"/>
      <c r="L743" s="182"/>
      <c r="N743" s="367">
        <f t="shared" si="34"/>
        <v>0</v>
      </c>
      <c r="O743" s="368">
        <f t="shared" si="35"/>
        <v>0</v>
      </c>
      <c r="Q743" s="364"/>
      <c r="R743" s="364"/>
      <c r="S743" s="364"/>
      <c r="T743" s="364"/>
      <c r="U743" s="364"/>
      <c r="V743" s="364"/>
      <c r="W743" s="364"/>
      <c r="X743" s="364"/>
      <c r="Y743" s="364"/>
      <c r="Z743" s="364"/>
      <c r="AA743" s="364"/>
      <c r="AB743" s="364"/>
      <c r="AC743" s="364"/>
      <c r="AD743" s="364"/>
    </row>
    <row r="744" spans="2:30">
      <c r="B744" s="367">
        <f t="shared" si="33"/>
        <v>-1</v>
      </c>
      <c r="D744" s="182"/>
      <c r="E744" s="182"/>
      <c r="F744" s="184"/>
      <c r="G744" s="182"/>
      <c r="H744" s="182"/>
      <c r="I744" s="182"/>
      <c r="J744" s="183"/>
      <c r="K744" s="183"/>
      <c r="L744" s="182"/>
      <c r="N744" s="367">
        <f t="shared" si="34"/>
        <v>0</v>
      </c>
      <c r="O744" s="368">
        <f t="shared" si="35"/>
        <v>0</v>
      </c>
      <c r="Q744" s="364"/>
      <c r="R744" s="364"/>
      <c r="S744" s="364"/>
      <c r="T744" s="364"/>
      <c r="U744" s="364"/>
      <c r="V744" s="364"/>
      <c r="W744" s="364"/>
      <c r="X744" s="364"/>
      <c r="Y744" s="364"/>
      <c r="Z744" s="364"/>
      <c r="AA744" s="364"/>
      <c r="AB744" s="364"/>
      <c r="AC744" s="364"/>
      <c r="AD744" s="364"/>
    </row>
    <row r="745" spans="2:30">
      <c r="B745" s="367">
        <f t="shared" si="33"/>
        <v>-1</v>
      </c>
      <c r="D745" s="182"/>
      <c r="E745" s="182"/>
      <c r="F745" s="184"/>
      <c r="G745" s="182"/>
      <c r="H745" s="182"/>
      <c r="I745" s="182"/>
      <c r="J745" s="183"/>
      <c r="K745" s="183"/>
      <c r="L745" s="182"/>
      <c r="N745" s="367">
        <f t="shared" si="34"/>
        <v>0</v>
      </c>
      <c r="O745" s="368">
        <f t="shared" si="35"/>
        <v>0</v>
      </c>
      <c r="Q745" s="364"/>
      <c r="R745" s="364"/>
      <c r="S745" s="364"/>
      <c r="T745" s="364"/>
      <c r="U745" s="364"/>
      <c r="V745" s="364"/>
      <c r="W745" s="364"/>
      <c r="X745" s="364"/>
      <c r="Y745" s="364"/>
      <c r="Z745" s="364"/>
      <c r="AA745" s="364"/>
      <c r="AB745" s="364"/>
      <c r="AC745" s="364"/>
      <c r="AD745" s="364"/>
    </row>
    <row r="746" spans="2:30">
      <c r="B746" s="367">
        <f t="shared" si="33"/>
        <v>-1</v>
      </c>
      <c r="D746" s="182"/>
      <c r="E746" s="182"/>
      <c r="F746" s="184"/>
      <c r="G746" s="182"/>
      <c r="H746" s="182"/>
      <c r="I746" s="182"/>
      <c r="J746" s="183"/>
      <c r="K746" s="183"/>
      <c r="L746" s="182"/>
      <c r="N746" s="367">
        <f t="shared" si="34"/>
        <v>0</v>
      </c>
      <c r="O746" s="368">
        <f t="shared" si="35"/>
        <v>0</v>
      </c>
      <c r="Q746" s="364"/>
      <c r="R746" s="364"/>
      <c r="S746" s="364"/>
      <c r="T746" s="364"/>
      <c r="U746" s="364"/>
      <c r="V746" s="364"/>
      <c r="W746" s="364"/>
      <c r="X746" s="364"/>
      <c r="Y746" s="364"/>
      <c r="Z746" s="364"/>
      <c r="AA746" s="364"/>
      <c r="AB746" s="364"/>
      <c r="AC746" s="364"/>
      <c r="AD746" s="364"/>
    </row>
    <row r="747" spans="2:30">
      <c r="B747" s="367">
        <f t="shared" si="33"/>
        <v>-1</v>
      </c>
      <c r="D747" s="182"/>
      <c r="E747" s="182"/>
      <c r="F747" s="184"/>
      <c r="G747" s="182"/>
      <c r="H747" s="182"/>
      <c r="I747" s="182"/>
      <c r="J747" s="183"/>
      <c r="K747" s="183"/>
      <c r="L747" s="182"/>
      <c r="N747" s="367">
        <f t="shared" si="34"/>
        <v>0</v>
      </c>
      <c r="O747" s="368">
        <f t="shared" si="35"/>
        <v>0</v>
      </c>
      <c r="Q747" s="364"/>
      <c r="R747" s="364"/>
      <c r="S747" s="364"/>
      <c r="T747" s="364"/>
      <c r="U747" s="364"/>
      <c r="V747" s="364"/>
      <c r="W747" s="364"/>
      <c r="X747" s="364"/>
      <c r="Y747" s="364"/>
      <c r="Z747" s="364"/>
      <c r="AA747" s="364"/>
      <c r="AB747" s="364"/>
      <c r="AC747" s="364"/>
      <c r="AD747" s="364"/>
    </row>
    <row r="748" spans="2:30">
      <c r="B748" s="367">
        <f t="shared" si="33"/>
        <v>-1</v>
      </c>
      <c r="D748" s="182"/>
      <c r="E748" s="182"/>
      <c r="F748" s="184"/>
      <c r="G748" s="182"/>
      <c r="H748" s="182"/>
      <c r="I748" s="182"/>
      <c r="J748" s="183"/>
      <c r="K748" s="183"/>
      <c r="L748" s="182"/>
      <c r="N748" s="367">
        <f t="shared" si="34"/>
        <v>0</v>
      </c>
      <c r="O748" s="368">
        <f t="shared" si="35"/>
        <v>0</v>
      </c>
      <c r="Q748" s="364"/>
      <c r="R748" s="364"/>
      <c r="S748" s="364"/>
      <c r="T748" s="364"/>
      <c r="U748" s="364"/>
      <c r="V748" s="364"/>
      <c r="W748" s="364"/>
      <c r="X748" s="364"/>
      <c r="Y748" s="364"/>
      <c r="Z748" s="364"/>
      <c r="AA748" s="364"/>
      <c r="AB748" s="364"/>
      <c r="AC748" s="364"/>
      <c r="AD748" s="364"/>
    </row>
    <row r="749" spans="2:30">
      <c r="B749" s="367">
        <f t="shared" si="33"/>
        <v>-1</v>
      </c>
      <c r="D749" s="182"/>
      <c r="E749" s="182"/>
      <c r="F749" s="184"/>
      <c r="G749" s="182"/>
      <c r="H749" s="182"/>
      <c r="I749" s="182"/>
      <c r="J749" s="183"/>
      <c r="K749" s="183"/>
      <c r="L749" s="182"/>
      <c r="N749" s="367">
        <f t="shared" si="34"/>
        <v>0</v>
      </c>
      <c r="O749" s="368">
        <f t="shared" si="35"/>
        <v>0</v>
      </c>
      <c r="Q749" s="364"/>
      <c r="R749" s="364"/>
      <c r="S749" s="364"/>
      <c r="T749" s="364"/>
      <c r="U749" s="364"/>
      <c r="V749" s="364"/>
      <c r="W749" s="364"/>
      <c r="X749" s="364"/>
      <c r="Y749" s="364"/>
      <c r="Z749" s="364"/>
      <c r="AA749" s="364"/>
      <c r="AB749" s="364"/>
      <c r="AC749" s="364"/>
      <c r="AD749" s="364"/>
    </row>
    <row r="750" spans="2:30">
      <c r="B750" s="367">
        <f t="shared" si="33"/>
        <v>-1</v>
      </c>
      <c r="D750" s="182"/>
      <c r="E750" s="182"/>
      <c r="F750" s="184"/>
      <c r="G750" s="182"/>
      <c r="H750" s="182"/>
      <c r="I750" s="182"/>
      <c r="J750" s="183"/>
      <c r="K750" s="183"/>
      <c r="L750" s="182"/>
      <c r="N750" s="367">
        <f t="shared" si="34"/>
        <v>0</v>
      </c>
      <c r="O750" s="368">
        <f t="shared" si="35"/>
        <v>0</v>
      </c>
      <c r="Q750" s="364"/>
      <c r="R750" s="364"/>
      <c r="S750" s="364"/>
      <c r="T750" s="364"/>
      <c r="U750" s="364"/>
      <c r="V750" s="364"/>
      <c r="W750" s="364"/>
      <c r="X750" s="364"/>
      <c r="Y750" s="364"/>
      <c r="Z750" s="364"/>
      <c r="AA750" s="364"/>
      <c r="AB750" s="364"/>
      <c r="AC750" s="364"/>
      <c r="AD750" s="364"/>
    </row>
    <row r="751" spans="2:30">
      <c r="B751" s="367">
        <f t="shared" si="33"/>
        <v>-1</v>
      </c>
      <c r="D751" s="182"/>
      <c r="E751" s="182"/>
      <c r="F751" s="184"/>
      <c r="G751" s="182"/>
      <c r="H751" s="182"/>
      <c r="I751" s="182"/>
      <c r="J751" s="183"/>
      <c r="K751" s="183"/>
      <c r="L751" s="182"/>
      <c r="N751" s="367">
        <f t="shared" si="34"/>
        <v>0</v>
      </c>
      <c r="O751" s="368">
        <f t="shared" si="35"/>
        <v>0</v>
      </c>
      <c r="Q751" s="364"/>
      <c r="R751" s="364"/>
      <c r="S751" s="364"/>
      <c r="T751" s="364"/>
      <c r="U751" s="364"/>
      <c r="V751" s="364"/>
      <c r="W751" s="364"/>
      <c r="X751" s="364"/>
      <c r="Y751" s="364"/>
      <c r="Z751" s="364"/>
      <c r="AA751" s="364"/>
      <c r="AB751" s="364"/>
      <c r="AC751" s="364"/>
      <c r="AD751" s="364"/>
    </row>
    <row r="752" spans="2:30">
      <c r="B752" s="367">
        <f t="shared" si="33"/>
        <v>-1</v>
      </c>
      <c r="D752" s="182"/>
      <c r="E752" s="182"/>
      <c r="F752" s="184"/>
      <c r="G752" s="182"/>
      <c r="H752" s="182"/>
      <c r="I752" s="182"/>
      <c r="J752" s="183"/>
      <c r="K752" s="183"/>
      <c r="L752" s="182"/>
      <c r="N752" s="367">
        <f t="shared" si="34"/>
        <v>0</v>
      </c>
      <c r="O752" s="368">
        <f t="shared" si="35"/>
        <v>0</v>
      </c>
      <c r="Q752" s="364"/>
      <c r="R752" s="364"/>
      <c r="S752" s="364"/>
      <c r="T752" s="364"/>
      <c r="U752" s="364"/>
      <c r="V752" s="364"/>
      <c r="W752" s="364"/>
      <c r="X752" s="364"/>
      <c r="Y752" s="364"/>
      <c r="Z752" s="364"/>
      <c r="AA752" s="364"/>
      <c r="AB752" s="364"/>
      <c r="AC752" s="364"/>
      <c r="AD752" s="364"/>
    </row>
    <row r="753" spans="2:30">
      <c r="B753" s="367">
        <f t="shared" si="33"/>
        <v>-1</v>
      </c>
      <c r="D753" s="182"/>
      <c r="E753" s="182"/>
      <c r="F753" s="184"/>
      <c r="G753" s="182"/>
      <c r="H753" s="182"/>
      <c r="I753" s="182"/>
      <c r="J753" s="183"/>
      <c r="K753" s="183"/>
      <c r="L753" s="182"/>
      <c r="N753" s="367">
        <f t="shared" si="34"/>
        <v>0</v>
      </c>
      <c r="O753" s="368">
        <f t="shared" si="35"/>
        <v>0</v>
      </c>
      <c r="Q753" s="364"/>
      <c r="R753" s="364"/>
      <c r="S753" s="364"/>
      <c r="T753" s="364"/>
      <c r="U753" s="364"/>
      <c r="V753" s="364"/>
      <c r="W753" s="364"/>
      <c r="X753" s="364"/>
      <c r="Y753" s="364"/>
      <c r="Z753" s="364"/>
      <c r="AA753" s="364"/>
      <c r="AB753" s="364"/>
      <c r="AC753" s="364"/>
      <c r="AD753" s="364"/>
    </row>
    <row r="754" spans="2:30">
      <c r="B754" s="367">
        <f t="shared" si="33"/>
        <v>-1</v>
      </c>
      <c r="D754" s="182"/>
      <c r="E754" s="182"/>
      <c r="F754" s="184"/>
      <c r="G754" s="182"/>
      <c r="H754" s="182"/>
      <c r="I754" s="182"/>
      <c r="J754" s="183"/>
      <c r="K754" s="183"/>
      <c r="L754" s="182"/>
      <c r="N754" s="367">
        <f t="shared" si="34"/>
        <v>0</v>
      </c>
      <c r="O754" s="368">
        <f t="shared" si="35"/>
        <v>0</v>
      </c>
      <c r="Q754" s="364"/>
      <c r="R754" s="364"/>
      <c r="S754" s="364"/>
      <c r="T754" s="364"/>
      <c r="U754" s="364"/>
      <c r="V754" s="364"/>
      <c r="W754" s="364"/>
      <c r="X754" s="364"/>
      <c r="Y754" s="364"/>
      <c r="Z754" s="364"/>
      <c r="AA754" s="364"/>
      <c r="AB754" s="364"/>
      <c r="AC754" s="364"/>
      <c r="AD754" s="364"/>
    </row>
    <row r="755" spans="2:30">
      <c r="B755" s="367">
        <f t="shared" si="33"/>
        <v>-1</v>
      </c>
      <c r="D755" s="182"/>
      <c r="E755" s="182"/>
      <c r="F755" s="184"/>
      <c r="G755" s="182"/>
      <c r="H755" s="182"/>
      <c r="I755" s="182"/>
      <c r="J755" s="183"/>
      <c r="K755" s="183"/>
      <c r="L755" s="182"/>
      <c r="N755" s="367">
        <f t="shared" si="34"/>
        <v>0</v>
      </c>
      <c r="O755" s="368">
        <f t="shared" si="35"/>
        <v>0</v>
      </c>
      <c r="Q755" s="364"/>
      <c r="R755" s="364"/>
      <c r="S755" s="364"/>
      <c r="T755" s="364"/>
      <c r="U755" s="364"/>
      <c r="V755" s="364"/>
      <c r="W755" s="364"/>
      <c r="X755" s="364"/>
      <c r="Y755" s="364"/>
      <c r="Z755" s="364"/>
      <c r="AA755" s="364"/>
      <c r="AB755" s="364"/>
      <c r="AC755" s="364"/>
      <c r="AD755" s="364"/>
    </row>
    <row r="756" spans="2:30">
      <c r="B756" s="367">
        <f t="shared" si="33"/>
        <v>-1</v>
      </c>
      <c r="D756" s="182"/>
      <c r="E756" s="182"/>
      <c r="F756" s="184"/>
      <c r="G756" s="182"/>
      <c r="H756" s="182"/>
      <c r="I756" s="182"/>
      <c r="J756" s="183"/>
      <c r="K756" s="183"/>
      <c r="L756" s="182"/>
      <c r="N756" s="367">
        <f t="shared" si="34"/>
        <v>0</v>
      </c>
      <c r="O756" s="368">
        <f t="shared" si="35"/>
        <v>0</v>
      </c>
      <c r="Q756" s="364"/>
      <c r="R756" s="364"/>
      <c r="S756" s="364"/>
      <c r="T756" s="364"/>
      <c r="U756" s="364"/>
      <c r="V756" s="364"/>
      <c r="W756" s="364"/>
      <c r="X756" s="364"/>
      <c r="Y756" s="364"/>
      <c r="Z756" s="364"/>
      <c r="AA756" s="364"/>
      <c r="AB756" s="364"/>
      <c r="AC756" s="364"/>
      <c r="AD756" s="364"/>
    </row>
    <row r="757" spans="2:30">
      <c r="B757" s="367">
        <f t="shared" si="33"/>
        <v>-1</v>
      </c>
      <c r="D757" s="182"/>
      <c r="E757" s="182"/>
      <c r="F757" s="184"/>
      <c r="G757" s="182"/>
      <c r="H757" s="182"/>
      <c r="I757" s="182"/>
      <c r="J757" s="183"/>
      <c r="K757" s="183"/>
      <c r="L757" s="182"/>
      <c r="N757" s="367">
        <f t="shared" si="34"/>
        <v>0</v>
      </c>
      <c r="O757" s="368">
        <f t="shared" si="35"/>
        <v>0</v>
      </c>
      <c r="Q757" s="364"/>
      <c r="R757" s="364"/>
      <c r="S757" s="364"/>
      <c r="T757" s="364"/>
      <c r="U757" s="364"/>
      <c r="V757" s="364"/>
      <c r="W757" s="364"/>
      <c r="X757" s="364"/>
      <c r="Y757" s="364"/>
      <c r="Z757" s="364"/>
      <c r="AA757" s="364"/>
      <c r="AB757" s="364"/>
      <c r="AC757" s="364"/>
      <c r="AD757" s="364"/>
    </row>
    <row r="758" spans="2:30">
      <c r="B758" s="367">
        <f t="shared" si="33"/>
        <v>-1</v>
      </c>
      <c r="D758" s="182"/>
      <c r="E758" s="182"/>
      <c r="F758" s="184"/>
      <c r="G758" s="182"/>
      <c r="H758" s="182"/>
      <c r="I758" s="182"/>
      <c r="J758" s="183"/>
      <c r="K758" s="183"/>
      <c r="L758" s="182"/>
      <c r="N758" s="367">
        <f t="shared" si="34"/>
        <v>0</v>
      </c>
      <c r="O758" s="368">
        <f t="shared" si="35"/>
        <v>0</v>
      </c>
      <c r="Q758" s="364"/>
      <c r="R758" s="364"/>
      <c r="S758" s="364"/>
      <c r="T758" s="364"/>
      <c r="U758" s="364"/>
      <c r="V758" s="364"/>
      <c r="W758" s="364"/>
      <c r="X758" s="364"/>
      <c r="Y758" s="364"/>
      <c r="Z758" s="364"/>
      <c r="AA758" s="364"/>
      <c r="AB758" s="364"/>
      <c r="AC758" s="364"/>
      <c r="AD758" s="364"/>
    </row>
    <row r="759" spans="2:30">
      <c r="B759" s="367">
        <f t="shared" si="33"/>
        <v>-1</v>
      </c>
      <c r="D759" s="182"/>
      <c r="E759" s="182"/>
      <c r="F759" s="184"/>
      <c r="G759" s="182"/>
      <c r="H759" s="182"/>
      <c r="I759" s="182"/>
      <c r="J759" s="183"/>
      <c r="K759" s="183"/>
      <c r="L759" s="182"/>
      <c r="N759" s="367">
        <f t="shared" si="34"/>
        <v>0</v>
      </c>
      <c r="O759" s="368">
        <f t="shared" si="35"/>
        <v>0</v>
      </c>
      <c r="Q759" s="364"/>
      <c r="R759" s="364"/>
      <c r="S759" s="364"/>
      <c r="T759" s="364"/>
      <c r="U759" s="364"/>
      <c r="V759" s="364"/>
      <c r="W759" s="364"/>
      <c r="X759" s="364"/>
      <c r="Y759" s="364"/>
      <c r="Z759" s="364"/>
      <c r="AA759" s="364"/>
      <c r="AB759" s="364"/>
      <c r="AC759" s="364"/>
      <c r="AD759" s="364"/>
    </row>
    <row r="760" spans="2:30">
      <c r="B760" s="367">
        <f t="shared" si="33"/>
        <v>-1</v>
      </c>
      <c r="D760" s="182"/>
      <c r="E760" s="182"/>
      <c r="F760" s="184"/>
      <c r="G760" s="182"/>
      <c r="H760" s="182"/>
      <c r="I760" s="182"/>
      <c r="J760" s="183"/>
      <c r="K760" s="183"/>
      <c r="L760" s="182"/>
      <c r="N760" s="367">
        <f t="shared" si="34"/>
        <v>0</v>
      </c>
      <c r="O760" s="368">
        <f t="shared" si="35"/>
        <v>0</v>
      </c>
      <c r="Q760" s="364"/>
      <c r="R760" s="364"/>
      <c r="S760" s="364"/>
      <c r="T760" s="364"/>
      <c r="U760" s="364"/>
      <c r="V760" s="364"/>
      <c r="W760" s="364"/>
      <c r="X760" s="364"/>
      <c r="Y760" s="364"/>
      <c r="Z760" s="364"/>
      <c r="AA760" s="364"/>
      <c r="AB760" s="364"/>
      <c r="AC760" s="364"/>
      <c r="AD760" s="364"/>
    </row>
    <row r="761" spans="2:30">
      <c r="B761" s="367">
        <f t="shared" si="33"/>
        <v>-1</v>
      </c>
      <c r="D761" s="182"/>
      <c r="E761" s="182"/>
      <c r="F761" s="184"/>
      <c r="G761" s="182"/>
      <c r="H761" s="182"/>
      <c r="I761" s="182"/>
      <c r="J761" s="183"/>
      <c r="K761" s="183"/>
      <c r="L761" s="182"/>
      <c r="N761" s="367">
        <f t="shared" si="34"/>
        <v>0</v>
      </c>
      <c r="O761" s="368">
        <f t="shared" si="35"/>
        <v>0</v>
      </c>
      <c r="Q761" s="364"/>
      <c r="R761" s="364"/>
      <c r="S761" s="364"/>
      <c r="T761" s="364"/>
      <c r="U761" s="364"/>
      <c r="V761" s="364"/>
      <c r="W761" s="364"/>
      <c r="X761" s="364"/>
      <c r="Y761" s="364"/>
      <c r="Z761" s="364"/>
      <c r="AA761" s="364"/>
      <c r="AB761" s="364"/>
      <c r="AC761" s="364"/>
      <c r="AD761" s="364"/>
    </row>
    <row r="762" spans="2:30">
      <c r="B762" s="367">
        <f t="shared" si="33"/>
        <v>-1</v>
      </c>
      <c r="D762" s="182"/>
      <c r="E762" s="182"/>
      <c r="F762" s="184"/>
      <c r="G762" s="182"/>
      <c r="H762" s="182"/>
      <c r="I762" s="182"/>
      <c r="J762" s="183"/>
      <c r="K762" s="183"/>
      <c r="L762" s="182"/>
      <c r="N762" s="367">
        <f t="shared" si="34"/>
        <v>0</v>
      </c>
      <c r="O762" s="368">
        <f t="shared" si="35"/>
        <v>0</v>
      </c>
      <c r="Q762" s="364"/>
      <c r="R762" s="364"/>
      <c r="S762" s="364"/>
      <c r="T762" s="364"/>
      <c r="U762" s="364"/>
      <c r="V762" s="364"/>
      <c r="W762" s="364"/>
      <c r="X762" s="364"/>
      <c r="Y762" s="364"/>
      <c r="Z762" s="364"/>
      <c r="AA762" s="364"/>
      <c r="AB762" s="364"/>
      <c r="AC762" s="364"/>
      <c r="AD762" s="364"/>
    </row>
    <row r="763" spans="2:30">
      <c r="B763" s="367">
        <f t="shared" si="33"/>
        <v>-1</v>
      </c>
      <c r="D763" s="182"/>
      <c r="E763" s="182"/>
      <c r="F763" s="184"/>
      <c r="G763" s="182"/>
      <c r="H763" s="182"/>
      <c r="I763" s="182"/>
      <c r="J763" s="183"/>
      <c r="K763" s="183"/>
      <c r="L763" s="182"/>
      <c r="N763" s="367">
        <f t="shared" si="34"/>
        <v>0</v>
      </c>
      <c r="O763" s="368">
        <f t="shared" si="35"/>
        <v>0</v>
      </c>
      <c r="Q763" s="364"/>
      <c r="R763" s="364"/>
      <c r="S763" s="364"/>
      <c r="T763" s="364"/>
      <c r="U763" s="364"/>
      <c r="V763" s="364"/>
      <c r="W763" s="364"/>
      <c r="X763" s="364"/>
      <c r="Y763" s="364"/>
      <c r="Z763" s="364"/>
      <c r="AA763" s="364"/>
      <c r="AB763" s="364"/>
      <c r="AC763" s="364"/>
      <c r="AD763" s="364"/>
    </row>
    <row r="764" spans="2:30">
      <c r="B764" s="367">
        <f t="shared" si="33"/>
        <v>-1</v>
      </c>
      <c r="D764" s="182"/>
      <c r="E764" s="182"/>
      <c r="F764" s="184"/>
      <c r="G764" s="182"/>
      <c r="H764" s="182"/>
      <c r="I764" s="182"/>
      <c r="J764" s="183"/>
      <c r="K764" s="183"/>
      <c r="L764" s="182"/>
      <c r="N764" s="367">
        <f t="shared" si="34"/>
        <v>0</v>
      </c>
      <c r="O764" s="368">
        <f t="shared" si="35"/>
        <v>0</v>
      </c>
      <c r="Q764" s="364"/>
      <c r="R764" s="364"/>
      <c r="S764" s="364"/>
      <c r="T764" s="364"/>
      <c r="U764" s="364"/>
      <c r="V764" s="364"/>
      <c r="W764" s="364"/>
      <c r="X764" s="364"/>
      <c r="Y764" s="364"/>
      <c r="Z764" s="364"/>
      <c r="AA764" s="364"/>
      <c r="AB764" s="364"/>
      <c r="AC764" s="364"/>
      <c r="AD764" s="364"/>
    </row>
    <row r="765" spans="2:30">
      <c r="B765" s="367">
        <f t="shared" si="33"/>
        <v>-1</v>
      </c>
      <c r="D765" s="182"/>
      <c r="E765" s="182"/>
      <c r="F765" s="184"/>
      <c r="G765" s="182"/>
      <c r="H765" s="182"/>
      <c r="I765" s="182"/>
      <c r="J765" s="183"/>
      <c r="K765" s="183"/>
      <c r="L765" s="182"/>
      <c r="N765" s="367">
        <f t="shared" si="34"/>
        <v>0</v>
      </c>
      <c r="O765" s="368">
        <f t="shared" si="35"/>
        <v>0</v>
      </c>
      <c r="Q765" s="364"/>
      <c r="R765" s="364"/>
      <c r="S765" s="364"/>
      <c r="T765" s="364"/>
      <c r="U765" s="364"/>
      <c r="V765" s="364"/>
      <c r="W765" s="364"/>
      <c r="X765" s="364"/>
      <c r="Y765" s="364"/>
      <c r="Z765" s="364"/>
      <c r="AA765" s="364"/>
      <c r="AB765" s="364"/>
      <c r="AC765" s="364"/>
      <c r="AD765" s="364"/>
    </row>
    <row r="766" spans="2:30">
      <c r="B766" s="367">
        <f t="shared" si="33"/>
        <v>-1</v>
      </c>
      <c r="D766" s="182"/>
      <c r="E766" s="182"/>
      <c r="F766" s="184"/>
      <c r="G766" s="182"/>
      <c r="H766" s="182"/>
      <c r="I766" s="182"/>
      <c r="J766" s="183"/>
      <c r="K766" s="183"/>
      <c r="L766" s="182"/>
      <c r="N766" s="367">
        <f t="shared" si="34"/>
        <v>0</v>
      </c>
      <c r="O766" s="368">
        <f t="shared" si="35"/>
        <v>0</v>
      </c>
      <c r="Q766" s="364"/>
      <c r="R766" s="364"/>
      <c r="S766" s="364"/>
      <c r="T766" s="364"/>
      <c r="U766" s="364"/>
      <c r="V766" s="364"/>
      <c r="W766" s="364"/>
      <c r="X766" s="364"/>
      <c r="Y766" s="364"/>
      <c r="Z766" s="364"/>
      <c r="AA766" s="364"/>
      <c r="AB766" s="364"/>
      <c r="AC766" s="364"/>
      <c r="AD766" s="364"/>
    </row>
    <row r="767" spans="2:30">
      <c r="B767" s="367">
        <f t="shared" si="33"/>
        <v>-1</v>
      </c>
      <c r="D767" s="182"/>
      <c r="E767" s="182"/>
      <c r="F767" s="184"/>
      <c r="G767" s="182"/>
      <c r="H767" s="182"/>
      <c r="I767" s="182"/>
      <c r="J767" s="183"/>
      <c r="K767" s="183"/>
      <c r="L767" s="182"/>
      <c r="N767" s="367">
        <f t="shared" si="34"/>
        <v>0</v>
      </c>
      <c r="O767" s="368">
        <f t="shared" si="35"/>
        <v>0</v>
      </c>
      <c r="Q767" s="364"/>
      <c r="R767" s="364"/>
      <c r="S767" s="364"/>
      <c r="T767" s="364"/>
      <c r="U767" s="364"/>
      <c r="V767" s="364"/>
      <c r="W767" s="364"/>
      <c r="X767" s="364"/>
      <c r="Y767" s="364"/>
      <c r="Z767" s="364"/>
      <c r="AA767" s="364"/>
      <c r="AB767" s="364"/>
      <c r="AC767" s="364"/>
      <c r="AD767" s="364"/>
    </row>
    <row r="768" spans="2:30">
      <c r="B768" s="367">
        <f t="shared" si="33"/>
        <v>-1</v>
      </c>
      <c r="D768" s="182"/>
      <c r="E768" s="182"/>
      <c r="F768" s="184"/>
      <c r="G768" s="182"/>
      <c r="H768" s="182"/>
      <c r="I768" s="182"/>
      <c r="J768" s="183"/>
      <c r="K768" s="183"/>
      <c r="L768" s="182"/>
      <c r="N768" s="367">
        <f t="shared" si="34"/>
        <v>0</v>
      </c>
      <c r="O768" s="368">
        <f t="shared" si="35"/>
        <v>0</v>
      </c>
      <c r="Q768" s="364"/>
      <c r="R768" s="364"/>
      <c r="S768" s="364"/>
      <c r="T768" s="364"/>
      <c r="U768" s="364"/>
      <c r="V768" s="364"/>
      <c r="W768" s="364"/>
      <c r="X768" s="364"/>
      <c r="Y768" s="364"/>
      <c r="Z768" s="364"/>
      <c r="AA768" s="364"/>
      <c r="AB768" s="364"/>
      <c r="AC768" s="364"/>
      <c r="AD768" s="364"/>
    </row>
    <row r="769" spans="2:30">
      <c r="B769" s="367">
        <f t="shared" si="33"/>
        <v>-1</v>
      </c>
      <c r="D769" s="182"/>
      <c r="E769" s="182"/>
      <c r="F769" s="184"/>
      <c r="G769" s="182"/>
      <c r="H769" s="182"/>
      <c r="I769" s="182"/>
      <c r="J769" s="183"/>
      <c r="K769" s="183"/>
      <c r="L769" s="182"/>
      <c r="N769" s="367">
        <f t="shared" si="34"/>
        <v>0</v>
      </c>
      <c r="O769" s="368">
        <f t="shared" si="35"/>
        <v>0</v>
      </c>
      <c r="Q769" s="364"/>
      <c r="R769" s="364"/>
      <c r="S769" s="364"/>
      <c r="T769" s="364"/>
      <c r="U769" s="364"/>
      <c r="V769" s="364"/>
      <c r="W769" s="364"/>
      <c r="X769" s="364"/>
      <c r="Y769" s="364"/>
      <c r="Z769" s="364"/>
      <c r="AA769" s="364"/>
      <c r="AB769" s="364"/>
      <c r="AC769" s="364"/>
      <c r="AD769" s="364"/>
    </row>
    <row r="770" spans="2:30">
      <c r="B770" s="367">
        <f t="shared" si="33"/>
        <v>-1</v>
      </c>
      <c r="D770" s="182"/>
      <c r="E770" s="182"/>
      <c r="F770" s="184"/>
      <c r="G770" s="182"/>
      <c r="H770" s="182"/>
      <c r="I770" s="182"/>
      <c r="J770" s="183"/>
      <c r="K770" s="183"/>
      <c r="L770" s="182"/>
      <c r="N770" s="367">
        <f t="shared" si="34"/>
        <v>0</v>
      </c>
      <c r="O770" s="368">
        <f t="shared" si="35"/>
        <v>0</v>
      </c>
      <c r="Q770" s="364"/>
      <c r="R770" s="364"/>
      <c r="S770" s="364"/>
      <c r="T770" s="364"/>
      <c r="U770" s="364"/>
      <c r="V770" s="364"/>
      <c r="W770" s="364"/>
      <c r="X770" s="364"/>
      <c r="Y770" s="364"/>
      <c r="Z770" s="364"/>
      <c r="AA770" s="364"/>
      <c r="AB770" s="364"/>
      <c r="AC770" s="364"/>
      <c r="AD770" s="364"/>
    </row>
    <row r="771" spans="2:30">
      <c r="B771" s="367">
        <f t="shared" si="33"/>
        <v>-1</v>
      </c>
      <c r="D771" s="182"/>
      <c r="E771" s="182"/>
      <c r="F771" s="184"/>
      <c r="G771" s="182"/>
      <c r="H771" s="182"/>
      <c r="I771" s="182"/>
      <c r="J771" s="183"/>
      <c r="K771" s="183"/>
      <c r="L771" s="182"/>
      <c r="N771" s="367">
        <f t="shared" si="34"/>
        <v>0</v>
      </c>
      <c r="O771" s="368">
        <f t="shared" si="35"/>
        <v>0</v>
      </c>
      <c r="Q771" s="364"/>
      <c r="R771" s="364"/>
      <c r="S771" s="364"/>
      <c r="T771" s="364"/>
      <c r="U771" s="364"/>
      <c r="V771" s="364"/>
      <c r="W771" s="364"/>
      <c r="X771" s="364"/>
      <c r="Y771" s="364"/>
      <c r="Z771" s="364"/>
      <c r="AA771" s="364"/>
      <c r="AB771" s="364"/>
      <c r="AC771" s="364"/>
      <c r="AD771" s="364"/>
    </row>
    <row r="772" spans="2:30" s="364" customFormat="1" ht="13.15">
      <c r="L772" s="371" t="s">
        <v>1149</v>
      </c>
      <c r="N772" s="369">
        <f>SUM(N10:N771)</f>
        <v>0</v>
      </c>
      <c r="O772" s="370">
        <f>SUM(O10:O771)</f>
        <v>0</v>
      </c>
    </row>
    <row r="773" spans="2:30" s="364" customFormat="1"/>
    <row r="774" spans="2:30" s="364" customFormat="1"/>
    <row r="775" spans="2:30" s="364" customFormat="1"/>
    <row r="776" spans="2:30" s="364" customFormat="1"/>
    <row r="777" spans="2:30" s="364" customFormat="1"/>
    <row r="778" spans="2:30" s="364" customFormat="1"/>
    <row r="779" spans="2:30" s="364" customFormat="1"/>
    <row r="780" spans="2:30" s="364" customFormat="1"/>
    <row r="781" spans="2:30" s="364" customFormat="1"/>
    <row r="782" spans="2:30" s="364" customFormat="1"/>
    <row r="783" spans="2:30" s="364" customFormat="1"/>
    <row r="784" spans="2:30" s="364" customFormat="1"/>
    <row r="785" s="364" customFormat="1"/>
    <row r="786" s="364" customFormat="1"/>
    <row r="787" s="364" customFormat="1"/>
    <row r="788" s="364" customFormat="1"/>
    <row r="789" s="364" customFormat="1"/>
    <row r="790" s="364" customFormat="1"/>
    <row r="791" s="364" customFormat="1"/>
    <row r="792" s="364" customFormat="1"/>
    <row r="793" s="364" customFormat="1"/>
    <row r="794" s="364" customFormat="1"/>
    <row r="795" s="364" customFormat="1"/>
    <row r="796" s="364" customFormat="1"/>
    <row r="797" s="364" customFormat="1"/>
    <row r="798" s="364" customFormat="1"/>
    <row r="799" s="364" customFormat="1"/>
    <row r="800" s="364" customFormat="1"/>
    <row r="801" s="364" customFormat="1"/>
    <row r="802" s="364" customFormat="1"/>
    <row r="803" s="364" customFormat="1"/>
    <row r="804" s="364" customFormat="1"/>
    <row r="805" s="364" customFormat="1"/>
    <row r="806" s="364" customFormat="1"/>
    <row r="807" s="364" customFormat="1"/>
    <row r="808" s="364" customFormat="1"/>
    <row r="809" s="364" customFormat="1"/>
    <row r="810" s="364" customFormat="1"/>
    <row r="811" s="364" customFormat="1"/>
    <row r="812" s="364" customFormat="1"/>
    <row r="813" s="364" customFormat="1"/>
    <row r="814" s="364" customFormat="1"/>
    <row r="815" s="364" customFormat="1"/>
    <row r="816" s="364" customFormat="1"/>
    <row r="817" s="364" customFormat="1"/>
    <row r="818" s="364" customFormat="1"/>
    <row r="819" s="364" customFormat="1"/>
    <row r="820" s="364" customFormat="1"/>
    <row r="821" s="364" customFormat="1"/>
    <row r="822" s="364" customFormat="1"/>
    <row r="823" s="364" customFormat="1"/>
    <row r="824" s="364" customFormat="1"/>
    <row r="825" s="364" customFormat="1"/>
    <row r="826" s="364" customFormat="1"/>
    <row r="827" s="364" customFormat="1"/>
    <row r="828" s="364" customFormat="1"/>
    <row r="829" s="364" customFormat="1"/>
    <row r="830" s="364" customFormat="1"/>
    <row r="831" s="364" customFormat="1"/>
    <row r="832" s="364" customFormat="1"/>
    <row r="833" s="364" customFormat="1"/>
    <row r="834" s="364" customFormat="1"/>
    <row r="835" s="364" customFormat="1"/>
    <row r="836" s="364" customFormat="1"/>
    <row r="837" s="364" customFormat="1"/>
    <row r="838" s="364" customFormat="1"/>
    <row r="839" s="364" customFormat="1"/>
    <row r="840" s="364" customFormat="1"/>
    <row r="841" s="364" customFormat="1"/>
    <row r="842" s="364" customFormat="1"/>
    <row r="843" s="364" customFormat="1"/>
    <row r="844" s="364" customFormat="1"/>
    <row r="845" s="364" customFormat="1"/>
    <row r="846" s="364" customFormat="1"/>
    <row r="847" s="364" customFormat="1"/>
    <row r="848" s="364" customFormat="1"/>
    <row r="849" s="364" customFormat="1"/>
    <row r="850" s="364" customFormat="1"/>
    <row r="851" s="364" customFormat="1"/>
    <row r="852" s="364" customFormat="1"/>
    <row r="853" s="364" customFormat="1"/>
    <row r="854" s="364" customFormat="1"/>
    <row r="855" s="364" customFormat="1"/>
    <row r="856" s="364" customFormat="1"/>
    <row r="857" s="364" customFormat="1"/>
    <row r="858" s="364" customFormat="1"/>
    <row r="859" s="364" customFormat="1"/>
    <row r="860" s="364" customFormat="1"/>
    <row r="861" s="364" customFormat="1"/>
    <row r="862" s="364" customFormat="1"/>
    <row r="863" s="364" customFormat="1"/>
    <row r="864" s="364" customFormat="1"/>
    <row r="865" s="364" customFormat="1"/>
    <row r="866" s="364" customFormat="1"/>
    <row r="867" s="364" customFormat="1"/>
    <row r="868" s="364" customFormat="1"/>
    <row r="869" s="364" customFormat="1"/>
    <row r="870" s="364" customFormat="1"/>
    <row r="871" s="364" customFormat="1"/>
    <row r="872" s="364" customFormat="1"/>
    <row r="873" s="364" customFormat="1"/>
    <row r="874" s="364" customFormat="1"/>
    <row r="875" s="364" customFormat="1"/>
    <row r="876" s="364" customFormat="1"/>
    <row r="877" s="364" customFormat="1"/>
    <row r="878" s="364" customFormat="1"/>
    <row r="879" s="364" customFormat="1"/>
    <row r="880" s="364" customFormat="1"/>
    <row r="881" s="364" customFormat="1"/>
    <row r="882" s="364" customFormat="1"/>
    <row r="883" s="364" customFormat="1"/>
    <row r="884" s="364" customFormat="1"/>
    <row r="885" s="364" customFormat="1"/>
    <row r="886" s="364" customFormat="1"/>
    <row r="887" s="364" customFormat="1"/>
    <row r="888" s="364" customFormat="1"/>
    <row r="889" s="364" customFormat="1"/>
    <row r="890" s="364" customFormat="1"/>
    <row r="891" s="364" customFormat="1"/>
    <row r="892" s="364" customFormat="1"/>
    <row r="893" s="364" customFormat="1"/>
    <row r="894" s="364" customFormat="1"/>
    <row r="895" s="364" customFormat="1"/>
    <row r="896" s="364" customFormat="1"/>
    <row r="897" s="364" customFormat="1"/>
    <row r="898" s="364" customFormat="1"/>
    <row r="899" s="364" customFormat="1"/>
    <row r="900" s="364" customFormat="1"/>
    <row r="901" s="364" customFormat="1"/>
    <row r="902" s="364" customFormat="1"/>
    <row r="903" s="364" customFormat="1"/>
    <row r="904" s="364" customFormat="1"/>
    <row r="905" s="364" customFormat="1"/>
    <row r="906" s="364" customFormat="1"/>
    <row r="907" s="364" customFormat="1"/>
    <row r="908" s="364" customFormat="1"/>
    <row r="909" s="364" customFormat="1"/>
    <row r="910" s="364" customFormat="1"/>
    <row r="911" s="364" customFormat="1"/>
    <row r="912" s="364" customFormat="1"/>
    <row r="913" s="364" customFormat="1"/>
    <row r="914" s="364" customFormat="1"/>
    <row r="915" s="364" customFormat="1"/>
    <row r="916" s="364" customFormat="1"/>
    <row r="917" s="364" customFormat="1"/>
    <row r="918" s="364" customFormat="1"/>
    <row r="919" s="364" customFormat="1"/>
    <row r="920" s="364" customFormat="1"/>
    <row r="921" s="364" customFormat="1"/>
    <row r="922" s="364" customFormat="1"/>
    <row r="923" s="364" customFormat="1"/>
    <row r="924" s="364" customFormat="1"/>
    <row r="925" s="364" customFormat="1"/>
    <row r="926" s="364" customFormat="1"/>
    <row r="927" s="364" customFormat="1"/>
    <row r="928" s="364" customFormat="1"/>
    <row r="929" s="364" customFormat="1"/>
    <row r="930" s="364" customFormat="1"/>
    <row r="931" s="364" customFormat="1"/>
    <row r="932" s="364" customFormat="1"/>
    <row r="933" s="364" customFormat="1"/>
    <row r="934" s="364" customFormat="1"/>
    <row r="935" s="364" customFormat="1"/>
    <row r="936" s="364" customFormat="1"/>
    <row r="937" s="364" customFormat="1"/>
    <row r="938" s="364" customFormat="1"/>
    <row r="939" s="364" customFormat="1"/>
    <row r="940" s="364" customFormat="1"/>
    <row r="941" s="364" customFormat="1"/>
    <row r="942" s="364" customFormat="1"/>
    <row r="943" s="364" customFormat="1"/>
    <row r="944" s="364" customFormat="1"/>
    <row r="945" s="364" customFormat="1"/>
    <row r="946" s="364" customFormat="1"/>
    <row r="947" s="364" customFormat="1"/>
    <row r="948" s="364" customFormat="1"/>
    <row r="949" s="364" customFormat="1"/>
    <row r="950" s="364" customFormat="1"/>
    <row r="951" s="364" customFormat="1"/>
    <row r="952" s="364" customFormat="1"/>
    <row r="953" s="364" customFormat="1"/>
    <row r="954" s="364" customFormat="1"/>
    <row r="955" s="364" customFormat="1"/>
    <row r="956" s="364" customFormat="1"/>
    <row r="957" s="364" customFormat="1"/>
    <row r="958" s="364" customFormat="1"/>
    <row r="959" s="364" customFormat="1"/>
    <row r="960" s="364" customFormat="1"/>
    <row r="961" s="364" customFormat="1"/>
    <row r="962" s="364" customFormat="1"/>
    <row r="963" s="364" customFormat="1"/>
    <row r="964" s="364" customFormat="1"/>
    <row r="965" s="364" customFormat="1"/>
    <row r="966" s="364" customFormat="1"/>
    <row r="967" s="364" customFormat="1"/>
    <row r="968" s="364" customFormat="1"/>
    <row r="969" s="364" customFormat="1"/>
    <row r="970" s="364" customFormat="1"/>
    <row r="971" s="364" customFormat="1"/>
    <row r="972" s="364" customFormat="1"/>
    <row r="973" s="364" customFormat="1"/>
    <row r="974" s="364" customFormat="1"/>
    <row r="975" s="364" customFormat="1"/>
    <row r="976" s="364" customFormat="1"/>
    <row r="977" s="364" customFormat="1"/>
    <row r="978" s="364" customFormat="1"/>
    <row r="979" s="364" customFormat="1"/>
    <row r="980" s="364" customFormat="1"/>
    <row r="981" s="364" customFormat="1"/>
    <row r="982" s="364" customFormat="1"/>
    <row r="983" s="364" customFormat="1"/>
    <row r="984" s="364" customFormat="1"/>
    <row r="985" s="364" customFormat="1"/>
    <row r="986" s="364" customFormat="1"/>
    <row r="987" s="364" customFormat="1"/>
    <row r="988" s="364" customFormat="1"/>
    <row r="989" s="364" customFormat="1"/>
    <row r="990" s="364" customFormat="1"/>
    <row r="991" s="364" customFormat="1"/>
    <row r="992" s="364" customFormat="1"/>
    <row r="993" s="364" customFormat="1"/>
    <row r="994" s="364" customFormat="1"/>
    <row r="995" s="364" customFormat="1"/>
    <row r="996" s="364" customFormat="1"/>
    <row r="997" s="364" customFormat="1"/>
    <row r="998" s="364" customFormat="1"/>
    <row r="999" s="364" customFormat="1"/>
    <row r="1000" s="364" customFormat="1"/>
    <row r="1001" s="364" customFormat="1"/>
    <row r="1002" s="364" customFormat="1"/>
    <row r="1003" s="364" customFormat="1"/>
    <row r="1004" s="364" customFormat="1"/>
    <row r="1005" s="364" customFormat="1"/>
    <row r="1006" s="364" customFormat="1"/>
    <row r="1007" s="364" customFormat="1"/>
    <row r="1008" s="364" customFormat="1"/>
    <row r="1009" s="364" customFormat="1"/>
    <row r="1010" s="364" customFormat="1"/>
    <row r="1011" s="364" customFormat="1"/>
    <row r="1012" s="364" customFormat="1"/>
    <row r="1013" s="364" customFormat="1"/>
    <row r="1014" s="364" customFormat="1"/>
    <row r="1015" s="364" customFormat="1"/>
    <row r="1016" s="364" customFormat="1"/>
    <row r="1017" s="364" customFormat="1"/>
    <row r="1018" s="364" customFormat="1"/>
    <row r="1019" s="364" customFormat="1"/>
    <row r="1020" s="364" customFormat="1"/>
    <row r="1021" s="364" customFormat="1"/>
    <row r="1022" s="364" customFormat="1"/>
    <row r="1023" s="364" customFormat="1"/>
    <row r="1024" s="364" customFormat="1"/>
    <row r="1025" s="364" customFormat="1"/>
    <row r="1026" s="364" customFormat="1"/>
    <row r="1027" s="364" customFormat="1"/>
    <row r="1028" s="364" customFormat="1"/>
    <row r="1029" s="364" customFormat="1"/>
    <row r="1030" s="364" customFormat="1"/>
    <row r="1031" s="364" customFormat="1"/>
    <row r="1032" s="364" customFormat="1"/>
    <row r="1033" s="364" customFormat="1"/>
    <row r="1034" s="364" customFormat="1"/>
    <row r="1035" s="364" customFormat="1"/>
    <row r="1036" s="364" customFormat="1"/>
    <row r="1037" s="364" customFormat="1"/>
    <row r="1038" s="364" customFormat="1"/>
    <row r="1039" s="364" customFormat="1"/>
    <row r="1040" s="364" customFormat="1"/>
    <row r="1041" s="364" customFormat="1"/>
    <row r="1042" s="364" customFormat="1"/>
    <row r="1043" s="364" customFormat="1"/>
    <row r="1044" s="364" customFormat="1"/>
    <row r="1045" s="364" customFormat="1"/>
    <row r="1046" s="364" customFormat="1"/>
    <row r="1047" s="364" customFormat="1"/>
    <row r="1048" s="364" customFormat="1"/>
    <row r="1049" s="364" customFormat="1"/>
    <row r="1050" s="364" customFormat="1"/>
    <row r="1051" s="364" customFormat="1"/>
    <row r="1052" s="364" customFormat="1"/>
    <row r="1053" s="364" customFormat="1"/>
    <row r="1054" s="364" customFormat="1"/>
    <row r="1055" s="364" customFormat="1"/>
    <row r="1056" s="364" customFormat="1"/>
    <row r="1057" s="364" customFormat="1"/>
    <row r="1058" s="364" customFormat="1"/>
    <row r="1059" s="364" customFormat="1"/>
    <row r="1060" s="364" customFormat="1"/>
    <row r="1061" s="364" customFormat="1"/>
    <row r="1062" s="364" customFormat="1"/>
    <row r="1063" s="364" customFormat="1"/>
    <row r="1064" s="364" customFormat="1"/>
    <row r="1065" s="364" customFormat="1"/>
    <row r="1066" s="364" customFormat="1"/>
    <row r="1067" s="364" customFormat="1"/>
    <row r="1068" s="364" customFormat="1"/>
    <row r="1069" s="364" customFormat="1"/>
    <row r="1070" s="364" customFormat="1"/>
    <row r="1071" s="364" customFormat="1"/>
    <row r="1072" s="364" customFormat="1"/>
    <row r="1073" s="364" customFormat="1"/>
    <row r="1074" s="364" customFormat="1"/>
    <row r="1075" s="364" customFormat="1"/>
    <row r="1076" s="364" customFormat="1"/>
    <row r="1077" s="364" customFormat="1"/>
    <row r="1078" s="364" customFormat="1"/>
    <row r="1079" s="364" customFormat="1"/>
    <row r="1080" s="364" customFormat="1"/>
    <row r="1081" s="364" customFormat="1"/>
    <row r="1082" s="364" customFormat="1"/>
    <row r="1083" s="364" customFormat="1"/>
    <row r="1084" s="364" customFormat="1"/>
    <row r="1085" s="364" customFormat="1"/>
    <row r="1086" s="364" customFormat="1"/>
    <row r="1087" s="364" customFormat="1"/>
    <row r="1088" s="364" customFormat="1"/>
    <row r="1089" s="364" customFormat="1"/>
    <row r="1090" s="364" customFormat="1"/>
    <row r="1091" s="364" customFormat="1"/>
    <row r="1092" s="364" customFormat="1"/>
    <row r="1093" s="364" customFormat="1"/>
    <row r="1094" s="364" customFormat="1"/>
    <row r="1095" s="364" customFormat="1"/>
    <row r="1096" s="364" customFormat="1"/>
    <row r="1097" s="364" customFormat="1"/>
    <row r="1098" s="364" customFormat="1"/>
    <row r="1099" s="364" customFormat="1"/>
    <row r="1100" s="364" customFormat="1"/>
    <row r="1101" s="364" customFormat="1"/>
    <row r="1102" s="364" customFormat="1"/>
    <row r="1103" s="364" customFormat="1"/>
    <row r="1104" s="364" customFormat="1"/>
    <row r="1105" s="364" customFormat="1"/>
    <row r="1106" s="364" customFormat="1"/>
    <row r="1107" s="364" customFormat="1"/>
    <row r="1108" s="364" customFormat="1"/>
    <row r="1109" s="364" customFormat="1"/>
    <row r="1110" s="364" customFormat="1"/>
    <row r="1111" s="364" customFormat="1"/>
    <row r="1112" s="364" customFormat="1"/>
    <row r="1113" s="364" customFormat="1"/>
    <row r="1114" s="364" customFormat="1"/>
    <row r="1115" s="364" customFormat="1"/>
    <row r="1116" s="364" customFormat="1"/>
    <row r="1117" s="364" customFormat="1"/>
    <row r="1118" s="364" customFormat="1"/>
    <row r="1119" s="364" customFormat="1"/>
    <row r="1120" s="364" customFormat="1"/>
    <row r="1121" s="364" customFormat="1"/>
    <row r="1122" s="364" customFormat="1"/>
    <row r="1123" s="364" customFormat="1"/>
    <row r="1124" s="364" customFormat="1"/>
    <row r="1125" s="364" customFormat="1"/>
    <row r="1126" s="364" customFormat="1"/>
    <row r="1127" s="364" customFormat="1"/>
    <row r="1128" s="364" customFormat="1"/>
    <row r="1129" s="364" customFormat="1"/>
    <row r="1130" s="364" customFormat="1"/>
    <row r="1131" s="364" customFormat="1"/>
    <row r="1132" s="364" customFormat="1"/>
    <row r="1133" s="364" customFormat="1"/>
    <row r="1134" s="364" customFormat="1"/>
    <row r="1135" s="364" customFormat="1"/>
    <row r="1136" s="364" customFormat="1"/>
    <row r="1137" s="364" customFormat="1"/>
    <row r="1138" s="364" customFormat="1"/>
    <row r="1139" s="364" customFormat="1"/>
    <row r="1140" s="364" customFormat="1"/>
    <row r="1141" s="364" customFormat="1"/>
    <row r="1142" s="364" customFormat="1"/>
    <row r="1143" s="364" customFormat="1"/>
    <row r="1144" s="364" customFormat="1"/>
    <row r="1145" s="364" customFormat="1"/>
    <row r="1146" s="364" customFormat="1"/>
    <row r="1147" s="364" customFormat="1"/>
    <row r="1148" s="364" customFormat="1"/>
    <row r="1149" s="364" customFormat="1"/>
    <row r="1150" s="364" customFormat="1"/>
    <row r="1151" s="364" customFormat="1"/>
    <row r="1152" s="364" customFormat="1"/>
    <row r="1153" s="364" customFormat="1"/>
    <row r="1154" s="364" customFormat="1"/>
    <row r="1155" s="364" customFormat="1"/>
    <row r="1156" s="364" customFormat="1"/>
    <row r="1157" s="364" customFormat="1"/>
    <row r="1158" s="364" customFormat="1"/>
    <row r="1159" s="364" customFormat="1"/>
    <row r="1160" s="364" customFormat="1"/>
    <row r="1161" s="364" customFormat="1"/>
    <row r="1162" s="364" customFormat="1"/>
    <row r="1163" s="364" customFormat="1"/>
    <row r="1164" s="364" customFormat="1"/>
    <row r="1165" s="364" customFormat="1"/>
    <row r="1166" s="364" customFormat="1"/>
    <row r="1167" s="364" customFormat="1"/>
    <row r="1168" s="364" customFormat="1"/>
    <row r="1169" s="364" customFormat="1"/>
    <row r="1170" s="364" customFormat="1"/>
    <row r="1171" s="364" customFormat="1"/>
    <row r="1172" s="364" customFormat="1"/>
    <row r="1173" s="364" customFormat="1"/>
    <row r="1174" s="364" customFormat="1"/>
    <row r="1175" s="364" customFormat="1"/>
    <row r="1176" s="364" customFormat="1"/>
    <row r="1177" s="364" customFormat="1"/>
    <row r="1178" s="364" customFormat="1"/>
    <row r="1179" s="364" customFormat="1"/>
    <row r="1180" s="364" customFormat="1"/>
    <row r="1181" s="364" customFormat="1"/>
    <row r="1182" s="364" customFormat="1"/>
    <row r="1183" s="364" customFormat="1"/>
    <row r="1184" s="364" customFormat="1"/>
    <row r="1185" s="364" customFormat="1"/>
    <row r="1186" s="364" customFormat="1"/>
    <row r="1187" s="364" customFormat="1"/>
    <row r="1188" s="364" customFormat="1"/>
    <row r="1189" s="364" customFormat="1"/>
    <row r="1190" s="364" customFormat="1"/>
    <row r="1191" s="364" customFormat="1"/>
    <row r="1192" s="364" customFormat="1"/>
    <row r="1193" s="364" customFormat="1"/>
    <row r="1194" s="364" customFormat="1"/>
    <row r="1195" s="364" customFormat="1"/>
    <row r="1196" s="364" customFormat="1"/>
    <row r="1197" s="364" customFormat="1"/>
    <row r="1198" s="364" customFormat="1"/>
    <row r="1199" s="364" customFormat="1"/>
    <row r="1200" s="364" customFormat="1"/>
    <row r="1201" s="364" customFormat="1"/>
    <row r="1202" s="364" customFormat="1"/>
    <row r="1203" s="364" customFormat="1"/>
    <row r="1204" s="364" customFormat="1"/>
    <row r="1205" s="364" customFormat="1"/>
    <row r="1206" s="364" customFormat="1"/>
    <row r="1207" s="364" customFormat="1"/>
    <row r="1208" s="364" customFormat="1"/>
    <row r="1209" s="364" customFormat="1"/>
    <row r="1210" s="364" customFormat="1"/>
    <row r="1211" s="364" customFormat="1"/>
    <row r="1212" s="364" customFormat="1"/>
    <row r="1213" s="364" customFormat="1"/>
    <row r="1214" s="364" customFormat="1"/>
    <row r="1215" s="364" customFormat="1"/>
    <row r="1216" s="364" customFormat="1"/>
    <row r="1217" s="364" customFormat="1"/>
    <row r="1218" s="364" customFormat="1"/>
    <row r="1219" s="364" customFormat="1"/>
    <row r="1220" s="364" customFormat="1"/>
    <row r="1221" s="364" customFormat="1"/>
    <row r="1222" s="364" customFormat="1"/>
    <row r="1223" s="364"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313"/>
  <sheetViews>
    <sheetView zoomScale="80" zoomScaleNormal="80" workbookViewId="0">
      <pane ySplit="8" topLeftCell="A9" activePane="bottomLeft" state="frozen"/>
      <selection pane="bottomLeft"/>
    </sheetView>
  </sheetViews>
  <sheetFormatPr defaultColWidth="9.1328125" defaultRowHeight="14.25"/>
  <cols>
    <col min="1" max="2" width="1.73046875" style="435" customWidth="1"/>
    <col min="3" max="3" width="46.73046875" style="435" customWidth="1"/>
    <col min="4" max="4" width="46.59765625" style="435" customWidth="1"/>
    <col min="5" max="5" width="14.86328125" style="435" bestFit="1" customWidth="1"/>
    <col min="6" max="6" width="9.265625" style="435" customWidth="1"/>
    <col min="7" max="7" width="5" style="435" customWidth="1"/>
    <col min="8" max="26" width="1.73046875" style="435" customWidth="1"/>
    <col min="27" max="32" width="17" style="435" customWidth="1"/>
    <col min="33" max="33" width="30.73046875" style="436" customWidth="1"/>
    <col min="34" max="34" width="4" style="435" customWidth="1"/>
    <col min="35" max="35" width="9.1328125" style="436"/>
    <col min="36" max="16384" width="9.1328125" style="435"/>
  </cols>
  <sheetData>
    <row r="1" spans="1:43" s="73" customFormat="1" ht="23.25">
      <c r="A1" s="89" t="str">
        <f>'1.1 Cover'!A2</f>
        <v>Regulatory Reporting Pack</v>
      </c>
      <c r="AG1" s="921"/>
      <c r="AI1" s="921"/>
    </row>
    <row r="2" spans="1:43" s="73" customFormat="1" ht="23.25">
      <c r="A2" s="89" t="str">
        <f>'1.1 Cover'!A3</f>
        <v>Price base - 2018/19</v>
      </c>
      <c r="AG2" s="921"/>
      <c r="AI2" s="921"/>
    </row>
    <row r="3" spans="1:43" s="73" customFormat="1" ht="23.25">
      <c r="A3" s="89" t="str">
        <f>'1.1 Cover'!A4</f>
        <v>Regulatory Year: April 2021 - March 2022</v>
      </c>
      <c r="AG3" s="921"/>
      <c r="AI3" s="921"/>
    </row>
    <row r="4" spans="1:43" s="73" customFormat="1" ht="23.25">
      <c r="A4" s="89" t="s">
        <v>2864</v>
      </c>
      <c r="AG4" s="921"/>
      <c r="AI4" s="921"/>
    </row>
    <row r="5" spans="1:43">
      <c r="AB5" s="1346"/>
      <c r="AC5" s="1346"/>
      <c r="AD5" s="1346"/>
      <c r="AE5" s="1346"/>
      <c r="AF5" s="1346"/>
    </row>
    <row r="6" spans="1:43">
      <c r="AB6" s="1347" t="s">
        <v>112</v>
      </c>
      <c r="AC6" s="1348"/>
      <c r="AD6" s="1348"/>
      <c r="AE6" s="1348"/>
      <c r="AF6" s="1349"/>
    </row>
    <row r="7" spans="1:43" s="67" customFormat="1">
      <c r="D7" s="87"/>
      <c r="E7" s="87"/>
      <c r="F7" s="87"/>
      <c r="G7" s="87"/>
      <c r="H7" s="87"/>
      <c r="I7" s="87"/>
      <c r="J7" s="87"/>
      <c r="K7" s="87"/>
      <c r="L7" s="87"/>
      <c r="M7" s="87"/>
      <c r="N7" s="87"/>
      <c r="O7" s="87"/>
      <c r="P7" s="87"/>
      <c r="Q7" s="87"/>
      <c r="R7" s="86"/>
      <c r="S7" s="86"/>
      <c r="T7" s="86"/>
      <c r="U7" s="86"/>
      <c r="V7" s="86"/>
      <c r="W7" s="86"/>
      <c r="X7" s="86"/>
      <c r="Y7" s="86"/>
      <c r="Z7" s="86"/>
      <c r="AA7" s="435"/>
      <c r="AB7" s="84">
        <v>2022</v>
      </c>
      <c r="AC7" s="83">
        <v>2023</v>
      </c>
      <c r="AD7" s="83">
        <v>2024</v>
      </c>
      <c r="AE7" s="83">
        <v>2025</v>
      </c>
      <c r="AF7" s="82">
        <v>2026</v>
      </c>
      <c r="AG7" s="922" t="s">
        <v>2968</v>
      </c>
      <c r="AI7" s="436"/>
    </row>
    <row r="8" spans="1:43">
      <c r="R8" s="67"/>
      <c r="S8" s="67"/>
      <c r="T8" s="67"/>
      <c r="U8" s="67"/>
    </row>
    <row r="9" spans="1:43" s="1" customFormat="1" ht="17.649999999999999">
      <c r="A9" s="2" t="s">
        <v>2885</v>
      </c>
      <c r="B9" s="2"/>
      <c r="AG9" s="923"/>
      <c r="AI9" s="923"/>
    </row>
    <row r="11" spans="1:43">
      <c r="C11" s="435" t="s">
        <v>2862</v>
      </c>
      <c r="D11" s="694" t="s">
        <v>224</v>
      </c>
      <c r="E11" s="694" t="s">
        <v>232</v>
      </c>
      <c r="G11" s="435" t="s">
        <v>2947</v>
      </c>
      <c r="AB11" s="93">
        <f>SUMIF('3.1 TO_Totex'!$O$11:$O$82,$E11,'3.1 TO_Totex'!AE$11:AE$82)</f>
        <v>0</v>
      </c>
      <c r="AC11" s="93">
        <f>SUMIF('3.1 TO_Totex'!$O$11:$O$82,$E11,'3.1 TO_Totex'!AF$11:AF$82)</f>
        <v>0</v>
      </c>
      <c r="AD11" s="93">
        <f>SUMIF('3.1 TO_Totex'!$O$11:$O$82,$E11,'3.1 TO_Totex'!AG$11:AG$82)</f>
        <v>0</v>
      </c>
      <c r="AE11" s="93">
        <f>SUMIF('3.1 TO_Totex'!$O$11:$O$82,$E11,'3.1 TO_Totex'!AH$11:AH$82)</f>
        <v>0</v>
      </c>
      <c r="AF11" s="93">
        <f>SUMIF('3.1 TO_Totex'!$O$11:$O$82,$E11,'3.1 TO_Totex'!AI$11:AI$82)</f>
        <v>0</v>
      </c>
      <c r="AG11" s="924" t="s">
        <v>2969</v>
      </c>
      <c r="AI11" s="436" t="s">
        <v>2922</v>
      </c>
      <c r="AM11" s="436" t="s">
        <v>3047</v>
      </c>
      <c r="AQ11" s="1315"/>
    </row>
    <row r="12" spans="1:43">
      <c r="C12" s="435" t="s">
        <v>2862</v>
      </c>
      <c r="D12" s="694" t="s">
        <v>225</v>
      </c>
      <c r="E12" s="694" t="s">
        <v>233</v>
      </c>
      <c r="G12" s="435" t="s">
        <v>2947</v>
      </c>
      <c r="AB12" s="93">
        <f>SUMIF('3.1 TO_Totex'!$O$11:$O$82,$E12,'3.1 TO_Totex'!AE$11:AE$82)</f>
        <v>0</v>
      </c>
      <c r="AC12" s="93">
        <f>SUMIF('3.1 TO_Totex'!$O$11:$O$82,$E12,'3.1 TO_Totex'!AF$11:AF$82)</f>
        <v>0</v>
      </c>
      <c r="AD12" s="93">
        <f>SUMIF('3.1 TO_Totex'!$O$11:$O$82,$E12,'3.1 TO_Totex'!AG$11:AG$82)</f>
        <v>0</v>
      </c>
      <c r="AE12" s="93">
        <f>SUMIF('3.1 TO_Totex'!$O$11:$O$82,$E12,'3.1 TO_Totex'!AH$11:AH$82)</f>
        <v>0</v>
      </c>
      <c r="AF12" s="93">
        <f>SUMIF('3.1 TO_Totex'!$O$11:$O$82,$E12,'3.1 TO_Totex'!AI$11:AI$82)</f>
        <v>0</v>
      </c>
      <c r="AG12" s="924" t="s">
        <v>2970</v>
      </c>
      <c r="AI12" s="436" t="s">
        <v>2922</v>
      </c>
      <c r="AM12" s="436" t="s">
        <v>3047</v>
      </c>
      <c r="AQ12" s="1315"/>
    </row>
    <row r="13" spans="1:43">
      <c r="C13" s="435" t="s">
        <v>2862</v>
      </c>
      <c r="D13" s="694" t="s">
        <v>226</v>
      </c>
      <c r="E13" s="694" t="s">
        <v>234</v>
      </c>
      <c r="G13" s="435" t="s">
        <v>2947</v>
      </c>
      <c r="AB13" s="93">
        <f>SUMIF('3.1 TO_Totex'!$O$11:$O$82,$E13,'3.1 TO_Totex'!AE$11:AE$82)</f>
        <v>0</v>
      </c>
      <c r="AC13" s="93">
        <f>SUMIF('3.1 TO_Totex'!$O$11:$O$82,$E13,'3.1 TO_Totex'!AF$11:AF$82)</f>
        <v>0</v>
      </c>
      <c r="AD13" s="93">
        <f>SUMIF('3.1 TO_Totex'!$O$11:$O$82,$E13,'3.1 TO_Totex'!AG$11:AG$82)</f>
        <v>0</v>
      </c>
      <c r="AE13" s="93">
        <f>SUMIF('3.1 TO_Totex'!$O$11:$O$82,$E13,'3.1 TO_Totex'!AH$11:AH$82)</f>
        <v>0</v>
      </c>
      <c r="AF13" s="93">
        <f>SUMIF('3.1 TO_Totex'!$O$11:$O$82,$E13,'3.1 TO_Totex'!AI$11:AI$82)</f>
        <v>0</v>
      </c>
      <c r="AG13" s="924" t="s">
        <v>2967</v>
      </c>
      <c r="AI13" s="436" t="s">
        <v>2922</v>
      </c>
      <c r="AM13" s="436" t="s">
        <v>3047</v>
      </c>
      <c r="AQ13" s="1315"/>
    </row>
    <row r="14" spans="1:43">
      <c r="C14" s="435" t="s">
        <v>2862</v>
      </c>
      <c r="D14" s="694" t="s">
        <v>227</v>
      </c>
      <c r="E14" s="694" t="s">
        <v>235</v>
      </c>
      <c r="G14" s="435" t="s">
        <v>2947</v>
      </c>
      <c r="AB14" s="93">
        <f>SUMIF('3.1 TO_Totex'!$O$11:$O$82,$E14,'3.1 TO_Totex'!AE$11:AE$82)</f>
        <v>0</v>
      </c>
      <c r="AC14" s="93">
        <f>SUMIF('3.1 TO_Totex'!$O$11:$O$82,$E14,'3.1 TO_Totex'!AF$11:AF$82)</f>
        <v>0</v>
      </c>
      <c r="AD14" s="93">
        <f>SUMIF('3.1 TO_Totex'!$O$11:$O$82,$E14,'3.1 TO_Totex'!AG$11:AG$82)</f>
        <v>0</v>
      </c>
      <c r="AE14" s="93">
        <f>SUMIF('3.1 TO_Totex'!$O$11:$O$82,$E14,'3.1 TO_Totex'!AH$11:AH$82)</f>
        <v>0</v>
      </c>
      <c r="AF14" s="93">
        <f>SUMIF('3.1 TO_Totex'!$O$11:$O$82,$E14,'3.1 TO_Totex'!AI$11:AI$82)</f>
        <v>0</v>
      </c>
      <c r="AG14" s="924" t="s">
        <v>2971</v>
      </c>
      <c r="AI14" s="436" t="s">
        <v>2922</v>
      </c>
      <c r="AM14" s="436" t="s">
        <v>3047</v>
      </c>
      <c r="AQ14" s="1315"/>
    </row>
    <row r="15" spans="1:43">
      <c r="C15" s="435" t="s">
        <v>2862</v>
      </c>
      <c r="D15" s="694" t="s">
        <v>228</v>
      </c>
      <c r="E15" s="694" t="s">
        <v>236</v>
      </c>
      <c r="G15" s="435" t="s">
        <v>2947</v>
      </c>
      <c r="AB15" s="93">
        <f>SUMIF('3.1 TO_Totex'!$O$11:$O$82,$E15,'3.1 TO_Totex'!AE$11:AE$82)</f>
        <v>0</v>
      </c>
      <c r="AC15" s="93">
        <f>SUMIF('3.1 TO_Totex'!$O$11:$O$82,$E15,'3.1 TO_Totex'!AF$11:AF$82)</f>
        <v>0</v>
      </c>
      <c r="AD15" s="93">
        <f>SUMIF('3.1 TO_Totex'!$O$11:$O$82,$E15,'3.1 TO_Totex'!AG$11:AG$82)</f>
        <v>0</v>
      </c>
      <c r="AE15" s="93">
        <f>SUMIF('3.1 TO_Totex'!$O$11:$O$82,$E15,'3.1 TO_Totex'!AH$11:AH$82)</f>
        <v>0</v>
      </c>
      <c r="AF15" s="93">
        <f>SUMIF('3.1 TO_Totex'!$O$11:$O$82,$E15,'3.1 TO_Totex'!AI$11:AI$82)</f>
        <v>0</v>
      </c>
      <c r="AG15" s="924" t="s">
        <v>2972</v>
      </c>
      <c r="AI15" s="436" t="s">
        <v>2922</v>
      </c>
      <c r="AM15" s="436" t="s">
        <v>3047</v>
      </c>
      <c r="AQ15" s="1315"/>
    </row>
    <row r="16" spans="1:43">
      <c r="C16" s="435" t="s">
        <v>2862</v>
      </c>
      <c r="D16" s="694" t="s">
        <v>229</v>
      </c>
      <c r="E16" s="694" t="s">
        <v>237</v>
      </c>
      <c r="G16" s="435" t="s">
        <v>2947</v>
      </c>
      <c r="AB16" s="93">
        <f>SUMIF('3.1 TO_Totex'!$O$11:$O$82,$E16,'3.1 TO_Totex'!AE$11:AE$82)</f>
        <v>0</v>
      </c>
      <c r="AC16" s="93">
        <f>SUMIF('3.1 TO_Totex'!$O$11:$O$82,$E16,'3.1 TO_Totex'!AF$11:AF$82)</f>
        <v>0</v>
      </c>
      <c r="AD16" s="93">
        <f>SUMIF('3.1 TO_Totex'!$O$11:$O$82,$E16,'3.1 TO_Totex'!AG$11:AG$82)</f>
        <v>0</v>
      </c>
      <c r="AE16" s="93">
        <f>SUMIF('3.1 TO_Totex'!$O$11:$O$82,$E16,'3.1 TO_Totex'!AH$11:AH$82)</f>
        <v>0</v>
      </c>
      <c r="AF16" s="93">
        <f>SUMIF('3.1 TO_Totex'!$O$11:$O$82,$E16,'3.1 TO_Totex'!AI$11:AI$82)</f>
        <v>0</v>
      </c>
      <c r="AG16" s="924" t="s">
        <v>2973</v>
      </c>
      <c r="AI16" s="436" t="s">
        <v>2922</v>
      </c>
      <c r="AM16" s="436" t="s">
        <v>3047</v>
      </c>
      <c r="AQ16" s="1315"/>
    </row>
    <row r="18" spans="1:43">
      <c r="C18" s="435" t="s">
        <v>2863</v>
      </c>
      <c r="D18" s="694" t="s">
        <v>224</v>
      </c>
      <c r="E18" s="694" t="s">
        <v>238</v>
      </c>
      <c r="G18" s="435" t="s">
        <v>2947</v>
      </c>
      <c r="AB18" s="93">
        <f>SUMIF('3.1 TO_Totex'!$O$11:$O$82,$E18,'3.1 TO_Totex'!AE$11:AE$82)</f>
        <v>0</v>
      </c>
      <c r="AC18" s="93">
        <f>SUMIF('3.1 TO_Totex'!$O$11:$O$82,$E18,'3.1 TO_Totex'!AF$11:AF$82)</f>
        <v>0</v>
      </c>
      <c r="AD18" s="93">
        <f>SUMIF('3.1 TO_Totex'!$O$11:$O$82,$E18,'3.1 TO_Totex'!AG$11:AG$82)</f>
        <v>0</v>
      </c>
      <c r="AE18" s="93">
        <f>SUMIF('3.1 TO_Totex'!$O$11:$O$82,$E18,'3.1 TO_Totex'!AH$11:AH$82)</f>
        <v>0</v>
      </c>
      <c r="AF18" s="93">
        <f>SUMIF('3.1 TO_Totex'!$O$11:$O$82,$E18,'3.1 TO_Totex'!AI$11:AI$82)</f>
        <v>0</v>
      </c>
      <c r="AG18" s="924" t="s">
        <v>2974</v>
      </c>
      <c r="AI18" s="436" t="s">
        <v>2922</v>
      </c>
      <c r="AM18" s="436" t="s">
        <v>3047</v>
      </c>
      <c r="AQ18" s="1315"/>
    </row>
    <row r="19" spans="1:43">
      <c r="C19" s="435" t="s">
        <v>2863</v>
      </c>
      <c r="D19" s="694" t="s">
        <v>225</v>
      </c>
      <c r="E19" s="694" t="s">
        <v>239</v>
      </c>
      <c r="G19" s="435" t="s">
        <v>2947</v>
      </c>
      <c r="AB19" s="93">
        <f>SUMIF('3.1 TO_Totex'!$O$11:$O$82,$E19,'3.1 TO_Totex'!AE$11:AE$82)</f>
        <v>0</v>
      </c>
      <c r="AC19" s="93">
        <f>SUMIF('3.1 TO_Totex'!$O$11:$O$82,$E19,'3.1 TO_Totex'!AF$11:AF$82)</f>
        <v>0</v>
      </c>
      <c r="AD19" s="93">
        <f>SUMIF('3.1 TO_Totex'!$O$11:$O$82,$E19,'3.1 TO_Totex'!AG$11:AG$82)</f>
        <v>0</v>
      </c>
      <c r="AE19" s="93">
        <f>SUMIF('3.1 TO_Totex'!$O$11:$O$82,$E19,'3.1 TO_Totex'!AH$11:AH$82)</f>
        <v>0</v>
      </c>
      <c r="AF19" s="93">
        <f>SUMIF('3.1 TO_Totex'!$O$11:$O$82,$E19,'3.1 TO_Totex'!AI$11:AI$82)</f>
        <v>0</v>
      </c>
      <c r="AG19" s="924" t="s">
        <v>2975</v>
      </c>
      <c r="AI19" s="436" t="s">
        <v>2922</v>
      </c>
      <c r="AM19" s="436" t="s">
        <v>3047</v>
      </c>
      <c r="AQ19" s="1315"/>
    </row>
    <row r="20" spans="1:43">
      <c r="C20" s="435" t="s">
        <v>2863</v>
      </c>
      <c r="D20" s="694" t="s">
        <v>226</v>
      </c>
      <c r="E20" s="694" t="s">
        <v>240</v>
      </c>
      <c r="G20" s="435" t="s">
        <v>2947</v>
      </c>
      <c r="AB20" s="93">
        <f>SUMIF('3.1 TO_Totex'!$O$11:$O$82,$E20,'3.1 TO_Totex'!AE$11:AE$82)</f>
        <v>0</v>
      </c>
      <c r="AC20" s="93">
        <f>SUMIF('3.1 TO_Totex'!$O$11:$O$82,$E20,'3.1 TO_Totex'!AF$11:AF$82)</f>
        <v>0</v>
      </c>
      <c r="AD20" s="93">
        <f>SUMIF('3.1 TO_Totex'!$O$11:$O$82,$E20,'3.1 TO_Totex'!AG$11:AG$82)</f>
        <v>0</v>
      </c>
      <c r="AE20" s="93">
        <f>SUMIF('3.1 TO_Totex'!$O$11:$O$82,$E20,'3.1 TO_Totex'!AH$11:AH$82)</f>
        <v>0</v>
      </c>
      <c r="AF20" s="93">
        <f>SUMIF('3.1 TO_Totex'!$O$11:$O$82,$E20,'3.1 TO_Totex'!AI$11:AI$82)</f>
        <v>0</v>
      </c>
      <c r="AG20" s="924" t="s">
        <v>2976</v>
      </c>
      <c r="AI20" s="436" t="s">
        <v>2922</v>
      </c>
      <c r="AM20" s="436" t="s">
        <v>3047</v>
      </c>
      <c r="AQ20" s="1315"/>
    </row>
    <row r="21" spans="1:43">
      <c r="C21" s="435" t="s">
        <v>2863</v>
      </c>
      <c r="D21" s="694" t="s">
        <v>227</v>
      </c>
      <c r="E21" s="694" t="s">
        <v>241</v>
      </c>
      <c r="G21" s="435" t="s">
        <v>2947</v>
      </c>
      <c r="AB21" s="93">
        <f>SUMIF('3.1 TO_Totex'!$O$11:$O$82,$E21,'3.1 TO_Totex'!AE$11:AE$82)</f>
        <v>0</v>
      </c>
      <c r="AC21" s="93">
        <f>SUMIF('3.1 TO_Totex'!$O$11:$O$82,$E21,'3.1 TO_Totex'!AF$11:AF$82)</f>
        <v>0</v>
      </c>
      <c r="AD21" s="93">
        <f>SUMIF('3.1 TO_Totex'!$O$11:$O$82,$E21,'3.1 TO_Totex'!AG$11:AG$82)</f>
        <v>0</v>
      </c>
      <c r="AE21" s="93">
        <f>SUMIF('3.1 TO_Totex'!$O$11:$O$82,$E21,'3.1 TO_Totex'!AH$11:AH$82)</f>
        <v>0</v>
      </c>
      <c r="AF21" s="93">
        <f>SUMIF('3.1 TO_Totex'!$O$11:$O$82,$E21,'3.1 TO_Totex'!AI$11:AI$82)</f>
        <v>0</v>
      </c>
      <c r="AG21" s="924" t="s">
        <v>2977</v>
      </c>
      <c r="AI21" s="436" t="s">
        <v>2922</v>
      </c>
      <c r="AM21" s="436" t="s">
        <v>3047</v>
      </c>
      <c r="AQ21" s="1315"/>
    </row>
    <row r="22" spans="1:43">
      <c r="C22" s="435" t="s">
        <v>2863</v>
      </c>
      <c r="D22" s="694" t="s">
        <v>228</v>
      </c>
      <c r="E22" s="694" t="s">
        <v>242</v>
      </c>
      <c r="G22" s="435" t="s">
        <v>2947</v>
      </c>
      <c r="AB22" s="93">
        <f>SUMIF('3.1 TO_Totex'!$O$11:$O$82,$E22,'3.1 TO_Totex'!AE$11:AE$82)</f>
        <v>0</v>
      </c>
      <c r="AC22" s="93">
        <f>SUMIF('3.1 TO_Totex'!$O$11:$O$82,$E22,'3.1 TO_Totex'!AF$11:AF$82)</f>
        <v>0</v>
      </c>
      <c r="AD22" s="93">
        <f>SUMIF('3.1 TO_Totex'!$O$11:$O$82,$E22,'3.1 TO_Totex'!AG$11:AG$82)</f>
        <v>0</v>
      </c>
      <c r="AE22" s="93">
        <f>SUMIF('3.1 TO_Totex'!$O$11:$O$82,$E22,'3.1 TO_Totex'!AH$11:AH$82)</f>
        <v>0</v>
      </c>
      <c r="AF22" s="93">
        <f>SUMIF('3.1 TO_Totex'!$O$11:$O$82,$E22,'3.1 TO_Totex'!AI$11:AI$82)</f>
        <v>0</v>
      </c>
      <c r="AG22" s="924" t="s">
        <v>2978</v>
      </c>
      <c r="AI22" s="436" t="s">
        <v>2922</v>
      </c>
      <c r="AM22" s="436" t="s">
        <v>3047</v>
      </c>
      <c r="AQ22" s="1315"/>
    </row>
    <row r="23" spans="1:43">
      <c r="C23" s="435" t="s">
        <v>2863</v>
      </c>
      <c r="D23" s="694" t="s">
        <v>229</v>
      </c>
      <c r="E23" s="694" t="s">
        <v>243</v>
      </c>
      <c r="G23" s="435" t="s">
        <v>2947</v>
      </c>
      <c r="AB23" s="93">
        <f>SUMIF('3.1 TO_Totex'!$O$11:$O$82,$E23,'3.1 TO_Totex'!AE$11:AE$82)</f>
        <v>0</v>
      </c>
      <c r="AC23" s="93">
        <f>SUMIF('3.1 TO_Totex'!$O$11:$O$82,$E23,'3.1 TO_Totex'!AF$11:AF$82)</f>
        <v>0</v>
      </c>
      <c r="AD23" s="93">
        <f>SUMIF('3.1 TO_Totex'!$O$11:$O$82,$E23,'3.1 TO_Totex'!AG$11:AG$82)</f>
        <v>0</v>
      </c>
      <c r="AE23" s="93">
        <f>SUMIF('3.1 TO_Totex'!$O$11:$O$82,$E23,'3.1 TO_Totex'!AH$11:AH$82)</f>
        <v>0</v>
      </c>
      <c r="AF23" s="93">
        <f>SUMIF('3.1 TO_Totex'!$O$11:$O$82,$E23,'3.1 TO_Totex'!AI$11:AI$82)</f>
        <v>0</v>
      </c>
      <c r="AG23" s="924" t="s">
        <v>2979</v>
      </c>
      <c r="AI23" s="436" t="s">
        <v>2922</v>
      </c>
      <c r="AM23" s="436" t="s">
        <v>3047</v>
      </c>
      <c r="AQ23" s="1315"/>
    </row>
    <row r="24" spans="1:43">
      <c r="D24" s="694"/>
    </row>
    <row r="25" spans="1:43">
      <c r="C25" s="435" t="s">
        <v>2865</v>
      </c>
      <c r="D25" s="694" t="s">
        <v>1984</v>
      </c>
      <c r="E25" s="694" t="s">
        <v>2886</v>
      </c>
      <c r="G25" s="435" t="s">
        <v>2947</v>
      </c>
      <c r="AB25" s="81"/>
      <c r="AC25" s="81"/>
      <c r="AD25" s="81"/>
      <c r="AE25" s="81"/>
      <c r="AF25" s="81"/>
      <c r="AG25" s="924" t="s">
        <v>2980</v>
      </c>
      <c r="AI25" s="436" t="s">
        <v>2923</v>
      </c>
      <c r="AM25" s="436" t="s">
        <v>3047</v>
      </c>
      <c r="AQ25" s="1315"/>
    </row>
    <row r="26" spans="1:43">
      <c r="C26" s="435" t="s">
        <v>2865</v>
      </c>
      <c r="D26" s="694" t="s">
        <v>1986</v>
      </c>
      <c r="E26" s="694" t="s">
        <v>2887</v>
      </c>
      <c r="G26" s="435" t="s">
        <v>2947</v>
      </c>
      <c r="AB26" s="81"/>
      <c r="AC26" s="81"/>
      <c r="AD26" s="81"/>
      <c r="AE26" s="81"/>
      <c r="AF26" s="81"/>
      <c r="AG26" s="924" t="s">
        <v>2981</v>
      </c>
      <c r="AI26" s="436" t="s">
        <v>2923</v>
      </c>
      <c r="AM26" s="436" t="s">
        <v>3047</v>
      </c>
      <c r="AQ26" s="1315"/>
    </row>
    <row r="27" spans="1:43">
      <c r="C27" s="435" t="s">
        <v>2865</v>
      </c>
      <c r="D27" s="694" t="s">
        <v>1988</v>
      </c>
      <c r="E27" s="694" t="s">
        <v>2888</v>
      </c>
      <c r="G27" s="435" t="s">
        <v>2947</v>
      </c>
      <c r="AB27" s="81"/>
      <c r="AC27" s="81"/>
      <c r="AD27" s="81"/>
      <c r="AE27" s="81"/>
      <c r="AF27" s="81"/>
      <c r="AG27" s="924" t="s">
        <v>2982</v>
      </c>
      <c r="AI27" s="436" t="s">
        <v>2923</v>
      </c>
      <c r="AM27" s="436" t="s">
        <v>3047</v>
      </c>
      <c r="AQ27" s="1315"/>
    </row>
    <row r="28" spans="1:43">
      <c r="C28" s="435" t="s">
        <v>2865</v>
      </c>
      <c r="D28" s="694" t="s">
        <v>1990</v>
      </c>
      <c r="E28" s="694" t="s">
        <v>2889</v>
      </c>
      <c r="G28" s="435" t="s">
        <v>2947</v>
      </c>
      <c r="AB28" s="81"/>
      <c r="AC28" s="81"/>
      <c r="AD28" s="81"/>
      <c r="AE28" s="81"/>
      <c r="AF28" s="81"/>
      <c r="AG28" s="924" t="s">
        <v>2983</v>
      </c>
      <c r="AI28" s="436" t="s">
        <v>2923</v>
      </c>
      <c r="AM28" s="436" t="s">
        <v>3047</v>
      </c>
      <c r="AQ28" s="1315"/>
    </row>
    <row r="30" spans="1:43" s="1" customFormat="1" ht="17.649999999999999">
      <c r="A30" s="2" t="s">
        <v>2884</v>
      </c>
      <c r="B30" s="2"/>
      <c r="AG30" s="923"/>
      <c r="AI30" s="923"/>
    </row>
    <row r="32" spans="1:43">
      <c r="C32" s="435" t="s">
        <v>2866</v>
      </c>
      <c r="D32" s="698" t="s">
        <v>229</v>
      </c>
      <c r="E32" s="692" t="s">
        <v>246</v>
      </c>
      <c r="G32" s="435" t="s">
        <v>2947</v>
      </c>
      <c r="AB32" s="93">
        <f>SUMIF('3.2 SO_Totex'!$O$11:$O$25,$E32,'3.2 SO_Totex'!AE$11:AE$25)</f>
        <v>0</v>
      </c>
      <c r="AC32" s="93">
        <f>SUMIF('3.2 SO_Totex'!$O$11:$O$25,$E32,'3.2 SO_Totex'!AF$11:AF$25)</f>
        <v>0</v>
      </c>
      <c r="AD32" s="93">
        <f>SUMIF('3.2 SO_Totex'!$O$11:$O$25,$E32,'3.2 SO_Totex'!AG$11:AG$25)</f>
        <v>0</v>
      </c>
      <c r="AE32" s="93">
        <f>SUMIF('3.2 SO_Totex'!$O$11:$O$25,$E32,'3.2 SO_Totex'!AH$11:AH$25)</f>
        <v>0</v>
      </c>
      <c r="AF32" s="93">
        <f>SUMIF('3.2 SO_Totex'!$O$11:$O$25,$E32,'3.2 SO_Totex'!AI$11:AI$25)</f>
        <v>0</v>
      </c>
      <c r="AG32" s="919" t="s">
        <v>2984</v>
      </c>
      <c r="AI32" s="436" t="s">
        <v>2924</v>
      </c>
      <c r="AM32" s="436" t="s">
        <v>3047</v>
      </c>
      <c r="AQ32" s="1315"/>
    </row>
    <row r="33" spans="1:43">
      <c r="C33" s="435" t="s">
        <v>2866</v>
      </c>
      <c r="D33" s="698" t="s">
        <v>245</v>
      </c>
      <c r="E33" s="692" t="s">
        <v>247</v>
      </c>
      <c r="G33" s="435" t="s">
        <v>2947</v>
      </c>
      <c r="AB33" s="93">
        <f>SUMIF('3.2 SO_Totex'!$O$11:$O$25,$E33,'3.2 SO_Totex'!AE$11:AE$25)</f>
        <v>0</v>
      </c>
      <c r="AC33" s="93">
        <f>SUMIF('3.2 SO_Totex'!$O$11:$O$25,$E33,'3.2 SO_Totex'!AF$11:AF$25)</f>
        <v>0</v>
      </c>
      <c r="AD33" s="93">
        <f>SUMIF('3.2 SO_Totex'!$O$11:$O$25,$E33,'3.2 SO_Totex'!AG$11:AG$25)</f>
        <v>0</v>
      </c>
      <c r="AE33" s="93">
        <f>SUMIF('3.2 SO_Totex'!$O$11:$O$25,$E33,'3.2 SO_Totex'!AH$11:AH$25)</f>
        <v>0</v>
      </c>
      <c r="AF33" s="93">
        <f>SUMIF('3.2 SO_Totex'!$O$11:$O$25,$E33,'3.2 SO_Totex'!AI$11:AI$25)</f>
        <v>0</v>
      </c>
      <c r="AG33" s="919" t="s">
        <v>2985</v>
      </c>
      <c r="AI33" s="436" t="s">
        <v>2924</v>
      </c>
      <c r="AM33" s="436" t="s">
        <v>3047</v>
      </c>
      <c r="AQ33" s="1315"/>
    </row>
    <row r="35" spans="1:43" s="1" customFormat="1" ht="17.649999999999999">
      <c r="A35" s="2" t="s">
        <v>2872</v>
      </c>
      <c r="B35" s="2"/>
      <c r="AG35" s="923"/>
      <c r="AI35" s="923"/>
    </row>
    <row r="37" spans="1:43">
      <c r="C37" s="435" t="s">
        <v>1425</v>
      </c>
      <c r="D37" s="435" t="s">
        <v>1429</v>
      </c>
      <c r="E37" s="435" t="s">
        <v>2873</v>
      </c>
      <c r="G37" s="435" t="s">
        <v>2947</v>
      </c>
      <c r="AB37" s="81"/>
      <c r="AC37" s="81"/>
      <c r="AD37" s="81"/>
      <c r="AE37" s="81"/>
      <c r="AF37" s="81"/>
      <c r="AG37" s="436" t="s">
        <v>2986</v>
      </c>
      <c r="AI37" s="436" t="s">
        <v>2923</v>
      </c>
      <c r="AM37" s="436" t="s">
        <v>3047</v>
      </c>
      <c r="AQ37" s="1315"/>
    </row>
    <row r="39" spans="1:43">
      <c r="C39" s="435" t="s">
        <v>1430</v>
      </c>
      <c r="D39" s="435" t="s">
        <v>1429</v>
      </c>
      <c r="E39" s="435" t="s">
        <v>2874</v>
      </c>
      <c r="G39" s="435" t="s">
        <v>2947</v>
      </c>
      <c r="AB39" s="81"/>
      <c r="AC39" s="81"/>
      <c r="AD39" s="81"/>
      <c r="AE39" s="81"/>
      <c r="AF39" s="81"/>
      <c r="AG39" s="436" t="s">
        <v>2918</v>
      </c>
      <c r="AI39" s="436" t="s">
        <v>2923</v>
      </c>
      <c r="AM39" s="436" t="s">
        <v>3047</v>
      </c>
      <c r="AQ39" s="1315"/>
    </row>
    <row r="41" spans="1:43">
      <c r="C41" s="435" t="s">
        <v>1434</v>
      </c>
      <c r="D41" s="435" t="s">
        <v>1429</v>
      </c>
      <c r="E41" s="435" t="s">
        <v>2875</v>
      </c>
      <c r="G41" s="435" t="s">
        <v>2947</v>
      </c>
      <c r="AB41" s="81"/>
      <c r="AC41" s="81"/>
      <c r="AD41" s="81"/>
      <c r="AE41" s="81"/>
      <c r="AF41" s="81"/>
      <c r="AG41" s="436" t="s">
        <v>2919</v>
      </c>
      <c r="AI41" s="436" t="s">
        <v>2923</v>
      </c>
      <c r="AM41" s="436" t="s">
        <v>3047</v>
      </c>
      <c r="AQ41" s="1315"/>
    </row>
    <row r="43" spans="1:43">
      <c r="C43" s="435" t="s">
        <v>1438</v>
      </c>
      <c r="D43" s="435" t="s">
        <v>1429</v>
      </c>
      <c r="E43" s="435" t="s">
        <v>2876</v>
      </c>
      <c r="G43" s="435" t="s">
        <v>2947</v>
      </c>
      <c r="AB43" s="81"/>
      <c r="AC43" s="81"/>
      <c r="AD43" s="81"/>
      <c r="AE43" s="81"/>
      <c r="AF43" s="81"/>
      <c r="AG43" s="436" t="s">
        <v>2987</v>
      </c>
      <c r="AI43" s="436" t="s">
        <v>2923</v>
      </c>
      <c r="AM43" s="436" t="s">
        <v>3047</v>
      </c>
      <c r="AQ43" s="1315"/>
    </row>
    <row r="45" spans="1:43">
      <c r="C45" s="435" t="s">
        <v>1440</v>
      </c>
      <c r="D45" s="435" t="s">
        <v>1429</v>
      </c>
      <c r="E45" s="435" t="s">
        <v>2877</v>
      </c>
      <c r="G45" s="435" t="s">
        <v>2947</v>
      </c>
      <c r="AB45" s="81"/>
      <c r="AC45" s="81"/>
      <c r="AD45" s="81"/>
      <c r="AE45" s="81"/>
      <c r="AF45" s="81"/>
      <c r="AG45" s="436" t="s">
        <v>2988</v>
      </c>
      <c r="AI45" s="436" t="s">
        <v>2923</v>
      </c>
      <c r="AM45" s="436" t="s">
        <v>3047</v>
      </c>
      <c r="AQ45" s="1315"/>
    </row>
    <row r="47" spans="1:43">
      <c r="C47" s="435" t="s">
        <v>1443</v>
      </c>
      <c r="D47" s="435" t="s">
        <v>1429</v>
      </c>
      <c r="E47" s="435" t="s">
        <v>2878</v>
      </c>
      <c r="G47" s="435" t="s">
        <v>2947</v>
      </c>
      <c r="AB47" s="81"/>
      <c r="AC47" s="81"/>
      <c r="AD47" s="81"/>
      <c r="AE47" s="81"/>
      <c r="AF47" s="81"/>
      <c r="AG47" s="436" t="s">
        <v>2989</v>
      </c>
      <c r="AI47" s="436" t="s">
        <v>2923</v>
      </c>
      <c r="AM47" s="436" t="s">
        <v>3047</v>
      </c>
      <c r="AQ47" s="1315"/>
    </row>
    <row r="49" spans="1:43">
      <c r="C49" s="435" t="s">
        <v>1446</v>
      </c>
      <c r="D49" s="435" t="s">
        <v>1429</v>
      </c>
      <c r="E49" s="435" t="s">
        <v>2879</v>
      </c>
      <c r="G49" s="435" t="s">
        <v>2947</v>
      </c>
      <c r="AB49" s="81"/>
      <c r="AC49" s="81"/>
      <c r="AD49" s="81"/>
      <c r="AE49" s="81"/>
      <c r="AF49" s="81"/>
      <c r="AG49" s="436" t="s">
        <v>2990</v>
      </c>
      <c r="AI49" s="436" t="s">
        <v>2923</v>
      </c>
      <c r="AM49" s="436" t="s">
        <v>3047</v>
      </c>
      <c r="AQ49" s="1315"/>
    </row>
    <row r="51" spans="1:43">
      <c r="C51" s="435" t="s">
        <v>1448</v>
      </c>
      <c r="D51" s="435" t="s">
        <v>1429</v>
      </c>
      <c r="E51" s="435" t="s">
        <v>2880</v>
      </c>
      <c r="G51" s="435" t="s">
        <v>2947</v>
      </c>
      <c r="AB51" s="81"/>
      <c r="AC51" s="81"/>
      <c r="AD51" s="81"/>
      <c r="AE51" s="81"/>
      <c r="AF51" s="81"/>
      <c r="AG51" s="436" t="s">
        <v>2991</v>
      </c>
      <c r="AI51" s="436" t="s">
        <v>2923</v>
      </c>
      <c r="AM51" s="436" t="s">
        <v>3047</v>
      </c>
      <c r="AQ51" s="1315"/>
    </row>
    <row r="53" spans="1:43">
      <c r="C53" s="435" t="s">
        <v>1450</v>
      </c>
      <c r="D53" s="435" t="s">
        <v>1429</v>
      </c>
      <c r="E53" s="435" t="s">
        <v>2881</v>
      </c>
      <c r="G53" s="435" t="s">
        <v>2947</v>
      </c>
      <c r="AB53" s="81"/>
      <c r="AC53" s="81"/>
      <c r="AD53" s="81"/>
      <c r="AE53" s="81"/>
      <c r="AF53" s="81"/>
      <c r="AG53" s="436" t="s">
        <v>2920</v>
      </c>
      <c r="AI53" s="436" t="s">
        <v>2923</v>
      </c>
      <c r="AM53" s="436" t="s">
        <v>3047</v>
      </c>
      <c r="AQ53" s="1315"/>
    </row>
    <row r="55" spans="1:43">
      <c r="C55" s="435" t="s">
        <v>1453</v>
      </c>
      <c r="D55" s="435" t="s">
        <v>1429</v>
      </c>
      <c r="E55" s="435" t="s">
        <v>2882</v>
      </c>
      <c r="G55" s="435" t="s">
        <v>2947</v>
      </c>
      <c r="AB55" s="81"/>
      <c r="AC55" s="81"/>
      <c r="AD55" s="81"/>
      <c r="AE55" s="81"/>
      <c r="AF55" s="81"/>
      <c r="AG55" s="436" t="s">
        <v>2992</v>
      </c>
      <c r="AI55" s="436" t="s">
        <v>2923</v>
      </c>
      <c r="AM55" s="436" t="s">
        <v>3047</v>
      </c>
      <c r="AQ55" s="1315"/>
    </row>
    <row r="57" spans="1:43">
      <c r="C57" s="435" t="s">
        <v>1455</v>
      </c>
      <c r="D57" s="435" t="s">
        <v>1429</v>
      </c>
      <c r="E57" s="435" t="s">
        <v>2883</v>
      </c>
      <c r="G57" s="435" t="s">
        <v>2947</v>
      </c>
      <c r="AB57" s="81"/>
      <c r="AC57" s="81"/>
      <c r="AD57" s="81"/>
      <c r="AE57" s="81"/>
      <c r="AF57" s="81"/>
      <c r="AG57" s="436" t="s">
        <v>2993</v>
      </c>
      <c r="AI57" s="436" t="s">
        <v>2923</v>
      </c>
      <c r="AM57" s="436" t="s">
        <v>3047</v>
      </c>
      <c r="AQ57" s="1315"/>
    </row>
    <row r="59" spans="1:43" s="1" customFormat="1" ht="17.649999999999999">
      <c r="A59" s="2" t="s">
        <v>2890</v>
      </c>
      <c r="B59" s="2"/>
      <c r="AG59" s="923"/>
      <c r="AI59" s="923"/>
    </row>
    <row r="61" spans="1:43">
      <c r="C61" s="435" t="s">
        <v>1430</v>
      </c>
      <c r="D61" s="435" t="s">
        <v>1429</v>
      </c>
      <c r="E61" s="435" t="s">
        <v>2874</v>
      </c>
      <c r="G61" s="435" t="s">
        <v>2947</v>
      </c>
      <c r="AB61" s="81"/>
      <c r="AC61" s="81"/>
      <c r="AD61" s="81"/>
      <c r="AE61" s="81"/>
      <c r="AF61" s="81"/>
      <c r="AG61" s="436" t="s">
        <v>2916</v>
      </c>
      <c r="AI61" s="436" t="s">
        <v>2923</v>
      </c>
      <c r="AM61" s="436" t="s">
        <v>3047</v>
      </c>
      <c r="AQ61" s="1315"/>
    </row>
    <row r="63" spans="1:43">
      <c r="C63" s="435" t="s">
        <v>1434</v>
      </c>
      <c r="D63" s="435" t="s">
        <v>1429</v>
      </c>
      <c r="E63" s="435" t="s">
        <v>2875</v>
      </c>
      <c r="G63" s="435" t="s">
        <v>2947</v>
      </c>
      <c r="AB63" s="81"/>
      <c r="AC63" s="81"/>
      <c r="AD63" s="81"/>
      <c r="AE63" s="81"/>
      <c r="AF63" s="81"/>
      <c r="AG63" s="436" t="s">
        <v>2917</v>
      </c>
      <c r="AI63" s="436" t="s">
        <v>2923</v>
      </c>
      <c r="AM63" s="436" t="s">
        <v>3047</v>
      </c>
      <c r="AQ63" s="1315"/>
    </row>
    <row r="65" spans="1:43">
      <c r="C65" s="435" t="s">
        <v>1430</v>
      </c>
      <c r="D65" s="435" t="s">
        <v>1429</v>
      </c>
      <c r="E65" s="435" t="s">
        <v>2881</v>
      </c>
      <c r="G65" s="435" t="s">
        <v>2947</v>
      </c>
      <c r="AB65" s="81"/>
      <c r="AC65" s="81"/>
      <c r="AD65" s="81"/>
      <c r="AE65" s="81"/>
      <c r="AF65" s="81"/>
      <c r="AG65" s="436" t="s">
        <v>2921</v>
      </c>
      <c r="AI65" s="436" t="s">
        <v>2923</v>
      </c>
      <c r="AM65" s="436" t="s">
        <v>3047</v>
      </c>
      <c r="AQ65" s="1315"/>
    </row>
    <row r="67" spans="1:43" s="1" customFormat="1" ht="17.649999999999999">
      <c r="A67" s="2" t="s">
        <v>2891</v>
      </c>
      <c r="B67" s="2"/>
      <c r="AG67" s="923"/>
      <c r="AI67" s="923"/>
    </row>
    <row r="69" spans="1:43">
      <c r="C69" s="435" t="s">
        <v>1475</v>
      </c>
      <c r="D69" s="435" t="s">
        <v>1426</v>
      </c>
      <c r="E69" s="435" t="s">
        <v>2892</v>
      </c>
      <c r="F69" s="435" t="s">
        <v>1427</v>
      </c>
      <c r="G69" s="435" t="s">
        <v>2947</v>
      </c>
      <c r="AB69" s="93">
        <f>IF('8.10 Pipeline Log'!$H$28="Yes",'8.10 Pipeline Log'!J$28,0)</f>
        <v>0</v>
      </c>
      <c r="AC69" s="93">
        <f>IF('8.10 Pipeline Log'!$H$28="Yes",'8.10 Pipeline Log'!K$28,0)</f>
        <v>0</v>
      </c>
      <c r="AD69" s="93">
        <f>IF('8.10 Pipeline Log'!$H$28="Yes",'8.10 Pipeline Log'!L$28,0)</f>
        <v>0</v>
      </c>
      <c r="AE69" s="93">
        <f>IF('8.10 Pipeline Log'!$H$28="Yes",'8.10 Pipeline Log'!M$28,0)</f>
        <v>0</v>
      </c>
      <c r="AF69" s="93">
        <f>IF('8.10 Pipeline Log'!$H$28="Yes",'8.10 Pipeline Log'!N$28,0)</f>
        <v>0</v>
      </c>
      <c r="AG69" s="436" t="s">
        <v>2994</v>
      </c>
      <c r="AI69" s="436" t="s">
        <v>2925</v>
      </c>
      <c r="AM69" s="436" t="s">
        <v>3047</v>
      </c>
      <c r="AQ69" s="1315"/>
    </row>
    <row r="70" spans="1:43">
      <c r="C70" s="435" t="s">
        <v>1475</v>
      </c>
      <c r="D70" s="435" t="s">
        <v>1461</v>
      </c>
      <c r="E70" s="435" t="s">
        <v>2893</v>
      </c>
      <c r="F70" s="435" t="s">
        <v>1427</v>
      </c>
      <c r="G70" s="435" t="s">
        <v>2947</v>
      </c>
      <c r="AB70" s="81"/>
      <c r="AC70" s="81"/>
      <c r="AD70" s="81"/>
      <c r="AE70" s="81"/>
      <c r="AF70" s="81"/>
      <c r="AG70" s="436" t="s">
        <v>2995</v>
      </c>
      <c r="AI70" s="436" t="s">
        <v>2923</v>
      </c>
      <c r="AM70" s="436" t="s">
        <v>3047</v>
      </c>
      <c r="AQ70" s="1315"/>
    </row>
    <row r="72" spans="1:43">
      <c r="C72" s="435" t="s">
        <v>1459</v>
      </c>
      <c r="D72" s="435" t="s">
        <v>1426</v>
      </c>
      <c r="E72" s="435" t="s">
        <v>2894</v>
      </c>
      <c r="F72" s="435" t="s">
        <v>1432</v>
      </c>
      <c r="G72" s="435" t="s">
        <v>2947</v>
      </c>
      <c r="AB72" s="93">
        <f>IF('8.10 Pipeline Log'!$H$55="Yes",'8.10 Pipeline Log'!J$55,0)+IF('8.10 Pipeline Log'!$H$58="Yes",'8.10 Pipeline Log'!J$58,0)</f>
        <v>0</v>
      </c>
      <c r="AC72" s="93">
        <f>IF('8.10 Pipeline Log'!$H$55="Yes",'8.10 Pipeline Log'!K$55,0)+IF('8.10 Pipeline Log'!$H$58="Yes",'8.10 Pipeline Log'!K$58,0)</f>
        <v>0</v>
      </c>
      <c r="AD72" s="93">
        <f>IF('8.10 Pipeline Log'!$H$55="Yes",'8.10 Pipeline Log'!L$55,0)+IF('8.10 Pipeline Log'!$H$58="Yes",'8.10 Pipeline Log'!L$58,0)</f>
        <v>0</v>
      </c>
      <c r="AE72" s="93">
        <f>IF('8.10 Pipeline Log'!$H$55="Yes",'8.10 Pipeline Log'!M$55,0)+IF('8.10 Pipeline Log'!$H$58="Yes",'8.10 Pipeline Log'!M$58,0)</f>
        <v>0</v>
      </c>
      <c r="AF72" s="93">
        <f>IF('8.10 Pipeline Log'!$H$55="Yes",'8.10 Pipeline Log'!N$55,0)+IF('8.10 Pipeline Log'!$H$58="Yes",'8.10 Pipeline Log'!N$58,0)</f>
        <v>0</v>
      </c>
      <c r="AG72" s="436" t="s">
        <v>2996</v>
      </c>
      <c r="AI72" s="436" t="s">
        <v>2925</v>
      </c>
      <c r="AM72" s="436" t="s">
        <v>3047</v>
      </c>
      <c r="AQ72" s="1315"/>
    </row>
    <row r="73" spans="1:43">
      <c r="C73" s="435" t="s">
        <v>1459</v>
      </c>
      <c r="D73" s="435" t="s">
        <v>1461</v>
      </c>
      <c r="E73" s="435" t="s">
        <v>2895</v>
      </c>
      <c r="F73" s="435" t="s">
        <v>1432</v>
      </c>
      <c r="G73" s="435" t="s">
        <v>2947</v>
      </c>
      <c r="AB73" s="81"/>
      <c r="AC73" s="81"/>
      <c r="AD73" s="81"/>
      <c r="AE73" s="81"/>
      <c r="AF73" s="81"/>
      <c r="AG73" s="436" t="s">
        <v>2997</v>
      </c>
      <c r="AI73" s="436" t="s">
        <v>2923</v>
      </c>
      <c r="AM73" s="436" t="s">
        <v>3047</v>
      </c>
      <c r="AQ73" s="1315"/>
    </row>
    <row r="75" spans="1:43">
      <c r="C75" s="435" t="s">
        <v>1463</v>
      </c>
      <c r="D75" s="435" t="s">
        <v>1426</v>
      </c>
      <c r="E75" s="435" t="s">
        <v>2896</v>
      </c>
      <c r="F75" s="435" t="s">
        <v>1436</v>
      </c>
      <c r="G75" s="435" t="s">
        <v>2947</v>
      </c>
      <c r="AB75" s="93">
        <f>IF('8.10 Pipeline Log'!$H$56="Yes",'8.10 Pipeline Log'!J$56,0)+IF('8.10 Pipeline Log'!$H$59="Yes",'8.10 Pipeline Log'!J$59,0)</f>
        <v>0</v>
      </c>
      <c r="AC75" s="93">
        <f>IF('8.10 Pipeline Log'!$H$56="Yes",'8.10 Pipeline Log'!K$56,0)+IF('8.10 Pipeline Log'!$H$59="Yes",'8.10 Pipeline Log'!K$59,0)</f>
        <v>0</v>
      </c>
      <c r="AD75" s="93">
        <f>IF('8.10 Pipeline Log'!$H$56="Yes",'8.10 Pipeline Log'!L$56,0)+IF('8.10 Pipeline Log'!$H$59="Yes",'8.10 Pipeline Log'!L$59,0)</f>
        <v>0</v>
      </c>
      <c r="AE75" s="93">
        <f>IF('8.10 Pipeline Log'!$H$56="Yes",'8.10 Pipeline Log'!M$56,0)+IF('8.10 Pipeline Log'!$H$59="Yes",'8.10 Pipeline Log'!M$59,0)</f>
        <v>0</v>
      </c>
      <c r="AF75" s="93">
        <f>IF('8.10 Pipeline Log'!$H$56="Yes",'8.10 Pipeline Log'!N$56,0)+IF('8.10 Pipeline Log'!$H$59="Yes",'8.10 Pipeline Log'!N$59,0)</f>
        <v>0</v>
      </c>
      <c r="AG75" s="436" t="s">
        <v>2998</v>
      </c>
      <c r="AI75" s="436" t="s">
        <v>2925</v>
      </c>
      <c r="AM75" s="436" t="s">
        <v>3047</v>
      </c>
      <c r="AQ75" s="1315"/>
    </row>
    <row r="76" spans="1:43">
      <c r="C76" s="435" t="s">
        <v>1463</v>
      </c>
      <c r="D76" s="435" t="s">
        <v>1461</v>
      </c>
      <c r="E76" s="435" t="s">
        <v>2897</v>
      </c>
      <c r="F76" s="435" t="s">
        <v>1436</v>
      </c>
      <c r="G76" s="435" t="s">
        <v>2947</v>
      </c>
      <c r="AB76" s="81"/>
      <c r="AC76" s="81"/>
      <c r="AD76" s="81"/>
      <c r="AE76" s="81"/>
      <c r="AF76" s="81"/>
      <c r="AG76" s="436" t="s">
        <v>2999</v>
      </c>
      <c r="AI76" s="436" t="s">
        <v>2923</v>
      </c>
      <c r="AM76" s="436" t="s">
        <v>3047</v>
      </c>
      <c r="AQ76" s="1315"/>
    </row>
    <row r="78" spans="1:43">
      <c r="C78" s="435" t="s">
        <v>1466</v>
      </c>
      <c r="D78" s="435" t="s">
        <v>1426</v>
      </c>
      <c r="E78" s="435" t="s">
        <v>2898</v>
      </c>
      <c r="F78" s="435" t="s">
        <v>1439</v>
      </c>
      <c r="G78" s="435" t="s">
        <v>2947</v>
      </c>
      <c r="AB78" s="93">
        <f>IF('8.10 Pipeline Log'!$H$60="Yes",'8.10 Pipeline Log'!J$60,0)</f>
        <v>0</v>
      </c>
      <c r="AC78" s="93">
        <f>IF('8.10 Pipeline Log'!$H$60="Yes",'8.10 Pipeline Log'!K$60,0)</f>
        <v>0</v>
      </c>
      <c r="AD78" s="93">
        <f>IF('8.10 Pipeline Log'!$H$60="Yes",'8.10 Pipeline Log'!L$60,0)</f>
        <v>0</v>
      </c>
      <c r="AE78" s="93">
        <f>IF('8.10 Pipeline Log'!$H$60="Yes",'8.10 Pipeline Log'!M$60,0)</f>
        <v>0</v>
      </c>
      <c r="AF78" s="93">
        <f>IF('8.10 Pipeline Log'!$H$60="Yes",'8.10 Pipeline Log'!N$60,0)</f>
        <v>0</v>
      </c>
      <c r="AG78" s="436" t="s">
        <v>3000</v>
      </c>
      <c r="AI78" s="436" t="s">
        <v>2925</v>
      </c>
      <c r="AM78" s="436" t="s">
        <v>3047</v>
      </c>
      <c r="AQ78" s="1315"/>
    </row>
    <row r="79" spans="1:43">
      <c r="C79" s="435" t="s">
        <v>1466</v>
      </c>
      <c r="D79" s="435" t="s">
        <v>1461</v>
      </c>
      <c r="E79" s="435" t="s">
        <v>2899</v>
      </c>
      <c r="F79" s="435" t="s">
        <v>1439</v>
      </c>
      <c r="G79" s="435" t="s">
        <v>2947</v>
      </c>
      <c r="AB79" s="81"/>
      <c r="AC79" s="81"/>
      <c r="AD79" s="81"/>
      <c r="AE79" s="81"/>
      <c r="AF79" s="81"/>
      <c r="AG79" s="436" t="s">
        <v>3001</v>
      </c>
      <c r="AI79" s="436" t="s">
        <v>2923</v>
      </c>
      <c r="AM79" s="436" t="s">
        <v>3047</v>
      </c>
      <c r="AQ79" s="1315"/>
    </row>
    <row r="81" spans="3:43">
      <c r="C81" s="435" t="s">
        <v>1468</v>
      </c>
      <c r="D81" s="435" t="s">
        <v>1426</v>
      </c>
      <c r="E81" s="435" t="s">
        <v>2900</v>
      </c>
      <c r="F81" s="435" t="s">
        <v>1920</v>
      </c>
      <c r="G81" s="435" t="s">
        <v>2947</v>
      </c>
      <c r="AB81" s="93">
        <f>IF('8.10 Pipeline Log'!$H$63="Yes",'8.10 Pipeline Log'!J$63,0)+IF('8.10 Pipeline Log'!$H$64="Yes",'8.10 Pipeline Log'!J$64,0)+IF('8.10 Pipeline Log'!$H$65="Yes",'8.10 Pipeline Log'!J$65,0)+IF('8.10 Pipeline Log'!$H$66="Yes",'8.10 Pipeline Log'!J$66,0)+IF('8.10 Pipeline Log'!$H$67="Yes",'8.10 Pipeline Log'!J$67,0)</f>
        <v>0</v>
      </c>
      <c r="AC81" s="93">
        <f>IF('8.10 Pipeline Log'!$H$63="Yes",'8.10 Pipeline Log'!K$63,0)+IF('8.10 Pipeline Log'!$H$64="Yes",'8.10 Pipeline Log'!K$64,0)+IF('8.10 Pipeline Log'!$H$65="Yes",'8.10 Pipeline Log'!K$65,0)+IF('8.10 Pipeline Log'!$H$66="Yes",'8.10 Pipeline Log'!K$66,0)+IF('8.10 Pipeline Log'!$H$67="Yes",'8.10 Pipeline Log'!K$67,0)</f>
        <v>0</v>
      </c>
      <c r="AD81" s="93">
        <f>IF('8.10 Pipeline Log'!$H$63="Yes",'8.10 Pipeline Log'!L$63,0)+IF('8.10 Pipeline Log'!$H$64="Yes",'8.10 Pipeline Log'!L$64,0)+IF('8.10 Pipeline Log'!$H$65="Yes",'8.10 Pipeline Log'!L$65,0)+IF('8.10 Pipeline Log'!$H$66="Yes",'8.10 Pipeline Log'!L$66,0)+IF('8.10 Pipeline Log'!$H$67="Yes",'8.10 Pipeline Log'!L$67,0)</f>
        <v>0</v>
      </c>
      <c r="AE81" s="93">
        <f>IF('8.10 Pipeline Log'!$H$63="Yes",'8.10 Pipeline Log'!M$63,0)+IF('8.10 Pipeline Log'!$H$64="Yes",'8.10 Pipeline Log'!M$64,0)+IF('8.10 Pipeline Log'!$H$65="Yes",'8.10 Pipeline Log'!M$65,0)+IF('8.10 Pipeline Log'!$H$66="Yes",'8.10 Pipeline Log'!M$66,0)+IF('8.10 Pipeline Log'!$H$67="Yes",'8.10 Pipeline Log'!M$67,0)</f>
        <v>0</v>
      </c>
      <c r="AF81" s="93">
        <f>IF('8.10 Pipeline Log'!$H$63="Yes",'8.10 Pipeline Log'!N$63,0)+IF('8.10 Pipeline Log'!$H$64="Yes",'8.10 Pipeline Log'!N$64,0)+IF('8.10 Pipeline Log'!$H$65="Yes",'8.10 Pipeline Log'!N$65,0)+IF('8.10 Pipeline Log'!$H$66="Yes",'8.10 Pipeline Log'!N$66,0)+IF('8.10 Pipeline Log'!$H$67="Yes",'8.10 Pipeline Log'!N$67,0)</f>
        <v>0</v>
      </c>
      <c r="AG81" s="436" t="s">
        <v>3002</v>
      </c>
      <c r="AI81" s="436" t="s">
        <v>2925</v>
      </c>
      <c r="AM81" s="436" t="s">
        <v>3047</v>
      </c>
      <c r="AQ81" s="1315"/>
    </row>
    <row r="82" spans="3:43">
      <c r="C82" s="435" t="s">
        <v>1468</v>
      </c>
      <c r="D82" s="435" t="s">
        <v>1461</v>
      </c>
      <c r="E82" s="435" t="s">
        <v>2901</v>
      </c>
      <c r="F82" s="435" t="s">
        <v>1920</v>
      </c>
      <c r="G82" s="435" t="s">
        <v>2947</v>
      </c>
      <c r="AB82" s="81"/>
      <c r="AC82" s="81"/>
      <c r="AD82" s="81"/>
      <c r="AE82" s="81"/>
      <c r="AF82" s="81"/>
      <c r="AG82" s="436" t="s">
        <v>3003</v>
      </c>
      <c r="AI82" s="436" t="s">
        <v>2923</v>
      </c>
      <c r="AM82" s="436" t="s">
        <v>3047</v>
      </c>
      <c r="AQ82" s="1315"/>
    </row>
    <row r="84" spans="3:43">
      <c r="C84" s="435" t="s">
        <v>2075</v>
      </c>
      <c r="D84" s="435" t="s">
        <v>1426</v>
      </c>
      <c r="E84" s="435" t="s">
        <v>2902</v>
      </c>
      <c r="F84" s="435" t="s">
        <v>1489</v>
      </c>
      <c r="G84" s="435" t="s">
        <v>2947</v>
      </c>
      <c r="AB84" s="93">
        <f>IF('8.10 Pipeline Log'!$H$54="Yes",'8.10 Pipeline Log'!J$54,0)+IF('8.10 Pipeline Log'!$H$57="Yes",'8.10 Pipeline Log'!J$57,0)</f>
        <v>0</v>
      </c>
      <c r="AC84" s="93">
        <f>IF('8.10 Pipeline Log'!$H$54="Yes",'8.10 Pipeline Log'!K$54,0)+IF('8.10 Pipeline Log'!$H$57="Yes",'8.10 Pipeline Log'!K$57,0)</f>
        <v>0</v>
      </c>
      <c r="AD84" s="93">
        <f>IF('8.10 Pipeline Log'!$H$54="Yes",'8.10 Pipeline Log'!L$54,0)+IF('8.10 Pipeline Log'!$H$57="Yes",'8.10 Pipeline Log'!L$57,0)</f>
        <v>0</v>
      </c>
      <c r="AE84" s="93">
        <f>IF('8.10 Pipeline Log'!$H$54="Yes",'8.10 Pipeline Log'!M$54,0)+IF('8.10 Pipeline Log'!$H$57="Yes",'8.10 Pipeline Log'!M$57,0)</f>
        <v>0</v>
      </c>
      <c r="AF84" s="93">
        <f>IF('8.10 Pipeline Log'!$H$54="Yes",'8.10 Pipeline Log'!N$54,0)+IF('8.10 Pipeline Log'!$H$57="Yes",'8.10 Pipeline Log'!N$57,0)</f>
        <v>0</v>
      </c>
      <c r="AG84" s="436" t="s">
        <v>3004</v>
      </c>
      <c r="AI84" s="436" t="s">
        <v>2925</v>
      </c>
      <c r="AM84" s="436" t="s">
        <v>3047</v>
      </c>
      <c r="AQ84" s="1315"/>
    </row>
    <row r="86" spans="3:43">
      <c r="C86" s="435" t="s">
        <v>1916</v>
      </c>
      <c r="D86" s="435" t="s">
        <v>1426</v>
      </c>
      <c r="E86" s="435" t="s">
        <v>2903</v>
      </c>
      <c r="F86" s="435" t="s">
        <v>1917</v>
      </c>
      <c r="G86" s="435" t="s">
        <v>2947</v>
      </c>
      <c r="AB86" s="93">
        <f>IF('8.10 Pipeline Log'!$H$33="Yes",'8.10 Pipeline Log'!J$33,0)+IF('8.10 Pipeline Log'!$H$34="Yes",'8.10 Pipeline Log'!J$34,0)+IF('8.10 Pipeline Log'!$H$35="Yes",'8.10 Pipeline Log'!J$35,0)+IF('8.10 Pipeline Log'!$H$36="Yes",'8.10 Pipeline Log'!J$36,0)+IF('8.10 Pipeline Log'!$H$37="Yes",'8.10 Pipeline Log'!J$37,0)</f>
        <v>0</v>
      </c>
      <c r="AC86" s="93">
        <f>IF('8.10 Pipeline Log'!$H$33="Yes",'8.10 Pipeline Log'!K$33,0)+IF('8.10 Pipeline Log'!$H$34="Yes",'8.10 Pipeline Log'!K$34,0)+IF('8.10 Pipeline Log'!$H$35="Yes",'8.10 Pipeline Log'!K$35,0)+IF('8.10 Pipeline Log'!$H$36="Yes",'8.10 Pipeline Log'!K$36,0)+IF('8.10 Pipeline Log'!$H$37="Yes",'8.10 Pipeline Log'!K$37,0)</f>
        <v>0</v>
      </c>
      <c r="AD86" s="93">
        <f>IF('8.10 Pipeline Log'!$H$33="Yes",'8.10 Pipeline Log'!L$33,0)+IF('8.10 Pipeline Log'!$H$34="Yes",'8.10 Pipeline Log'!L$34,0)+IF('8.10 Pipeline Log'!$H$35="Yes",'8.10 Pipeline Log'!L$35,0)+IF('8.10 Pipeline Log'!$H$36="Yes",'8.10 Pipeline Log'!L$36,0)+IF('8.10 Pipeline Log'!$H$37="Yes",'8.10 Pipeline Log'!L$37,0)</f>
        <v>0</v>
      </c>
      <c r="AE86" s="93">
        <f>IF('8.10 Pipeline Log'!$H$33="Yes",'8.10 Pipeline Log'!M$33,0)+IF('8.10 Pipeline Log'!$H$34="Yes",'8.10 Pipeline Log'!M$34,0)+IF('8.10 Pipeline Log'!$H$35="Yes",'8.10 Pipeline Log'!M$35,0)+IF('8.10 Pipeline Log'!$H$36="Yes",'8.10 Pipeline Log'!M$36,0)+IF('8.10 Pipeline Log'!$H$37="Yes",'8.10 Pipeline Log'!M$37,0)</f>
        <v>0</v>
      </c>
      <c r="AF86" s="93">
        <f>IF('8.10 Pipeline Log'!$H$33="Yes",'8.10 Pipeline Log'!N$33,0)+IF('8.10 Pipeline Log'!$H$34="Yes",'8.10 Pipeline Log'!N$34,0)+IF('8.10 Pipeline Log'!$H$35="Yes",'8.10 Pipeline Log'!N$35,0)+IF('8.10 Pipeline Log'!$H$36="Yes",'8.10 Pipeline Log'!N$36,0)+IF('8.10 Pipeline Log'!$H$37="Yes",'8.10 Pipeline Log'!N$37,0)</f>
        <v>0</v>
      </c>
      <c r="AG86" s="436" t="s">
        <v>3005</v>
      </c>
      <c r="AI86" s="436" t="s">
        <v>2925</v>
      </c>
      <c r="AM86" s="436" t="s">
        <v>3047</v>
      </c>
      <c r="AQ86" s="1315"/>
    </row>
    <row r="88" spans="3:43">
      <c r="C88" s="435" t="s">
        <v>1929</v>
      </c>
      <c r="D88" s="435" t="s">
        <v>1426</v>
      </c>
      <c r="E88" s="435" t="s">
        <v>2904</v>
      </c>
      <c r="F88" s="435" t="s">
        <v>1930</v>
      </c>
      <c r="G88" s="435" t="s">
        <v>2947</v>
      </c>
      <c r="AB88" s="93">
        <f>IF('8.10 Pipeline Log'!$H$70="Yes",'8.10 Pipeline Log'!J$70,0)+IF('8.10 Pipeline Log'!$H$71="Yes",'8.10 Pipeline Log'!J$71,0)+IF('8.10 Pipeline Log'!$H$72="Yes",'8.10 Pipeline Log'!J$72,0)+IF('8.10 Pipeline Log'!$H$73="Yes",'8.10 Pipeline Log'!J$73,0)+IF('8.10 Pipeline Log'!$H$74="Yes",'8.10 Pipeline Log'!J$74,0)</f>
        <v>0</v>
      </c>
      <c r="AC88" s="93">
        <f>IF('8.10 Pipeline Log'!$H$70="Yes",'8.10 Pipeline Log'!K$70,0)+IF('8.10 Pipeline Log'!$H$71="Yes",'8.10 Pipeline Log'!K$71,0)+IF('8.10 Pipeline Log'!$H$72="Yes",'8.10 Pipeline Log'!K$72,0)+IF('8.10 Pipeline Log'!$H$73="Yes",'8.10 Pipeline Log'!K$73,0)+IF('8.10 Pipeline Log'!$H$74="Yes",'8.10 Pipeline Log'!K$74,0)</f>
        <v>0</v>
      </c>
      <c r="AD88" s="93">
        <f>IF('8.10 Pipeline Log'!$H$70="Yes",'8.10 Pipeline Log'!L$70,0)+IF('8.10 Pipeline Log'!$H$71="Yes",'8.10 Pipeline Log'!L$71,0)+IF('8.10 Pipeline Log'!$H$72="Yes",'8.10 Pipeline Log'!L$72,0)+IF('8.10 Pipeline Log'!$H$73="Yes",'8.10 Pipeline Log'!L$73,0)+IF('8.10 Pipeline Log'!$H$74="Yes",'8.10 Pipeline Log'!L$74,0)</f>
        <v>0</v>
      </c>
      <c r="AE88" s="93">
        <f>IF('8.10 Pipeline Log'!$H$70="Yes",'8.10 Pipeline Log'!M$70,0)+IF('8.10 Pipeline Log'!$H$71="Yes",'8.10 Pipeline Log'!M$71,0)+IF('8.10 Pipeline Log'!$H$72="Yes",'8.10 Pipeline Log'!M$72,0)+IF('8.10 Pipeline Log'!$H$73="Yes",'8.10 Pipeline Log'!M$73,0)+IF('8.10 Pipeline Log'!$H$74="Yes",'8.10 Pipeline Log'!M$74,0)</f>
        <v>0</v>
      </c>
      <c r="AF88" s="93">
        <f>IF('8.10 Pipeline Log'!$H$70="Yes",'8.10 Pipeline Log'!N$70,0)+IF('8.10 Pipeline Log'!$H$71="Yes",'8.10 Pipeline Log'!N$71,0)+IF('8.10 Pipeline Log'!$H$72="Yes",'8.10 Pipeline Log'!N$72,0)+IF('8.10 Pipeline Log'!$H$73="Yes",'8.10 Pipeline Log'!N$73,0)+IF('8.10 Pipeline Log'!$H$74="Yes",'8.10 Pipeline Log'!N$74,0)</f>
        <v>0</v>
      </c>
      <c r="AG88" s="436" t="s">
        <v>3006</v>
      </c>
      <c r="AI88" s="436" t="s">
        <v>2925</v>
      </c>
      <c r="AM88" s="436" t="s">
        <v>3047</v>
      </c>
      <c r="AQ88" s="1315"/>
    </row>
    <row r="90" spans="3:43">
      <c r="C90" s="435" t="s">
        <v>1469</v>
      </c>
      <c r="D90" s="435" t="s">
        <v>1426</v>
      </c>
      <c r="E90" s="435" t="s">
        <v>2905</v>
      </c>
      <c r="F90" s="435" t="s">
        <v>1444</v>
      </c>
      <c r="G90" s="435" t="s">
        <v>2947</v>
      </c>
      <c r="AB90" s="93">
        <f>IF('8.10 Pipeline Log'!$H$20="Yes",'8.10 Pipeline Log'!J$20,0)</f>
        <v>0</v>
      </c>
      <c r="AC90" s="93">
        <f>IF('8.10 Pipeline Log'!$H$20="Yes",'8.10 Pipeline Log'!K$20,0)</f>
        <v>0</v>
      </c>
      <c r="AD90" s="93">
        <f>IF('8.10 Pipeline Log'!$H$20="Yes",'8.10 Pipeline Log'!L$20,0)</f>
        <v>0</v>
      </c>
      <c r="AE90" s="93">
        <f>IF('8.10 Pipeline Log'!$H$20="Yes",'8.10 Pipeline Log'!M$20,0)</f>
        <v>0</v>
      </c>
      <c r="AF90" s="93">
        <f>IF('8.10 Pipeline Log'!$H$20="Yes",'8.10 Pipeline Log'!N$20,0)</f>
        <v>0</v>
      </c>
      <c r="AG90" s="436" t="s">
        <v>3007</v>
      </c>
      <c r="AI90" s="436" t="s">
        <v>2925</v>
      </c>
      <c r="AM90" s="436" t="s">
        <v>3047</v>
      </c>
      <c r="AQ90" s="1315"/>
    </row>
    <row r="91" spans="3:43">
      <c r="C91" s="435" t="s">
        <v>1469</v>
      </c>
      <c r="D91" s="435" t="s">
        <v>1461</v>
      </c>
      <c r="E91" s="435" t="s">
        <v>2906</v>
      </c>
      <c r="F91" s="435" t="s">
        <v>1444</v>
      </c>
      <c r="G91" s="435" t="s">
        <v>2947</v>
      </c>
      <c r="AB91" s="81"/>
      <c r="AC91" s="81"/>
      <c r="AD91" s="81"/>
      <c r="AE91" s="81"/>
      <c r="AF91" s="81"/>
      <c r="AG91" s="436" t="s">
        <v>3008</v>
      </c>
      <c r="AI91" s="436" t="s">
        <v>2923</v>
      </c>
      <c r="AM91" s="436" t="s">
        <v>3047</v>
      </c>
      <c r="AQ91" s="1315"/>
    </row>
    <row r="93" spans="3:43">
      <c r="C93" s="435" t="s">
        <v>1471</v>
      </c>
      <c r="D93" s="435" t="s">
        <v>1426</v>
      </c>
      <c r="E93" s="435" t="s">
        <v>2907</v>
      </c>
      <c r="F93" s="435" t="s">
        <v>1447</v>
      </c>
      <c r="G93" s="435" t="s">
        <v>2947</v>
      </c>
      <c r="AB93" s="93">
        <f>IF('8.10 Pipeline Log'!$H$21="Yes",'8.10 Pipeline Log'!J$21,0)+IF('8.10 Pipeline Log'!$H$22="Yes",'8.10 Pipeline Log'!J$22,0)+IF('8.10 Pipeline Log'!$H$23="Yes",'8.10 Pipeline Log'!J$23,0)+IF('8.10 Pipeline Log'!$H$24="Yes",'8.10 Pipeline Log'!J$24,0)</f>
        <v>0</v>
      </c>
      <c r="AC93" s="93">
        <f>IF('8.10 Pipeline Log'!$H$21="Yes",'8.10 Pipeline Log'!K$21,0)+IF('8.10 Pipeline Log'!$H$22="Yes",'8.10 Pipeline Log'!K$22,0)+IF('8.10 Pipeline Log'!$H$23="Yes",'8.10 Pipeline Log'!K$23,0)+IF('8.10 Pipeline Log'!$H$24="Yes",'8.10 Pipeline Log'!K$24,0)</f>
        <v>0</v>
      </c>
      <c r="AD93" s="93">
        <f>IF('8.10 Pipeline Log'!$H$21="Yes",'8.10 Pipeline Log'!L$21,0)+IF('8.10 Pipeline Log'!$H$22="Yes",'8.10 Pipeline Log'!L$22,0)+IF('8.10 Pipeline Log'!$H$23="Yes",'8.10 Pipeline Log'!L$23,0)+IF('8.10 Pipeline Log'!$H$24="Yes",'8.10 Pipeline Log'!L$24,0)</f>
        <v>0</v>
      </c>
      <c r="AE93" s="93">
        <f>IF('8.10 Pipeline Log'!$H$21="Yes",'8.10 Pipeline Log'!M$21,0)+IF('8.10 Pipeline Log'!$H$22="Yes",'8.10 Pipeline Log'!M$22,0)+IF('8.10 Pipeline Log'!$H$23="Yes",'8.10 Pipeline Log'!M$23,0)+IF('8.10 Pipeline Log'!$H$24="Yes",'8.10 Pipeline Log'!M$24,0)</f>
        <v>0</v>
      </c>
      <c r="AF93" s="93">
        <f>IF('8.10 Pipeline Log'!$H$21="Yes",'8.10 Pipeline Log'!N$21,0)+IF('8.10 Pipeline Log'!$H$22="Yes",'8.10 Pipeline Log'!N$22,0)+IF('8.10 Pipeline Log'!$H$23="Yes",'8.10 Pipeline Log'!N$23,0)+IF('8.10 Pipeline Log'!$H$24="Yes",'8.10 Pipeline Log'!N$24,0)</f>
        <v>0</v>
      </c>
      <c r="AG93" s="436" t="s">
        <v>3009</v>
      </c>
      <c r="AI93" s="436" t="s">
        <v>2925</v>
      </c>
      <c r="AM93" s="436" t="s">
        <v>3047</v>
      </c>
      <c r="AQ93" s="1315"/>
    </row>
    <row r="94" spans="3:43">
      <c r="C94" s="435" t="s">
        <v>1471</v>
      </c>
      <c r="D94" s="435" t="s">
        <v>1461</v>
      </c>
      <c r="E94" s="435" t="s">
        <v>2908</v>
      </c>
      <c r="F94" s="435" t="s">
        <v>1447</v>
      </c>
      <c r="G94" s="435" t="s">
        <v>2947</v>
      </c>
      <c r="AB94" s="81"/>
      <c r="AC94" s="81"/>
      <c r="AD94" s="81"/>
      <c r="AE94" s="81"/>
      <c r="AF94" s="81"/>
      <c r="AG94" s="436" t="s">
        <v>3010</v>
      </c>
      <c r="AI94" s="436" t="s">
        <v>2923</v>
      </c>
      <c r="AM94" s="436" t="s">
        <v>3047</v>
      </c>
      <c r="AQ94" s="1315"/>
    </row>
    <row r="96" spans="3:43">
      <c r="C96" s="435" t="s">
        <v>1473</v>
      </c>
      <c r="D96" s="435" t="s">
        <v>1426</v>
      </c>
      <c r="E96" s="435" t="s">
        <v>2909</v>
      </c>
      <c r="F96" s="435" t="s">
        <v>1449</v>
      </c>
      <c r="G96" s="435" t="s">
        <v>2947</v>
      </c>
      <c r="AB96" s="93">
        <f>IF('8.10 Pipeline Log'!$H$27="Yes",'8.10 Pipeline Log'!J$27,0)</f>
        <v>0</v>
      </c>
      <c r="AC96" s="93">
        <f>IF('8.10 Pipeline Log'!$H$27="Yes",'8.10 Pipeline Log'!K$27,0)</f>
        <v>0</v>
      </c>
      <c r="AD96" s="93">
        <f>IF('8.10 Pipeline Log'!$H$27="Yes",'8.10 Pipeline Log'!L$27,0)</f>
        <v>0</v>
      </c>
      <c r="AE96" s="93">
        <f>IF('8.10 Pipeline Log'!$H$27="Yes",'8.10 Pipeline Log'!M$27,0)</f>
        <v>0</v>
      </c>
      <c r="AF96" s="93">
        <f>IF('8.10 Pipeline Log'!$H$27="Yes",'8.10 Pipeline Log'!N$27,0)</f>
        <v>0</v>
      </c>
      <c r="AG96" s="436" t="s">
        <v>3011</v>
      </c>
      <c r="AI96" s="436" t="s">
        <v>2925</v>
      </c>
      <c r="AM96" s="436" t="s">
        <v>3047</v>
      </c>
      <c r="AQ96" s="1315"/>
    </row>
    <row r="97" spans="1:43">
      <c r="C97" s="435" t="s">
        <v>1473</v>
      </c>
      <c r="D97" s="435" t="s">
        <v>1461</v>
      </c>
      <c r="E97" s="435" t="s">
        <v>2910</v>
      </c>
      <c r="F97" s="435" t="s">
        <v>1449</v>
      </c>
      <c r="G97" s="435" t="s">
        <v>2947</v>
      </c>
      <c r="AB97" s="81"/>
      <c r="AC97" s="81"/>
      <c r="AD97" s="81"/>
      <c r="AE97" s="81"/>
      <c r="AF97" s="81"/>
      <c r="AG97" s="436" t="s">
        <v>3012</v>
      </c>
      <c r="AI97" s="436" t="s">
        <v>2923</v>
      </c>
      <c r="AM97" s="436" t="s">
        <v>3047</v>
      </c>
      <c r="AQ97" s="1315"/>
    </row>
    <row r="99" spans="1:43">
      <c r="C99" s="435" t="s">
        <v>1474</v>
      </c>
      <c r="D99" s="435" t="s">
        <v>1426</v>
      </c>
      <c r="E99" s="435" t="s">
        <v>2911</v>
      </c>
      <c r="F99" s="435" t="s">
        <v>1451</v>
      </c>
      <c r="G99" s="435" t="s">
        <v>2947</v>
      </c>
      <c r="AB99" s="93">
        <f>IF('8.10 Pipeline Log'!$H$40="Yes",'8.10 Pipeline Log'!J$40,0)+IF('8.10 Pipeline Log'!$H$41="Yes",'8.10 Pipeline Log'!J$41,0)+IF('8.10 Pipeline Log'!$H$42="Yes",'8.10 Pipeline Log'!J$42,0)+IF('8.10 Pipeline Log'!$H$43="Yes",'8.10 Pipeline Log'!J$43,0)+IF('8.10 Pipeline Log'!$H$44="Yes",'8.10 Pipeline Log'!J$44,0)</f>
        <v>0</v>
      </c>
      <c r="AC99" s="93">
        <f>IF('8.10 Pipeline Log'!$H$40="Yes",'8.10 Pipeline Log'!K$40,0)+IF('8.10 Pipeline Log'!$H$41="Yes",'8.10 Pipeline Log'!K$41,0)+IF('8.10 Pipeline Log'!$H$42="Yes",'8.10 Pipeline Log'!K$42,0)+IF('8.10 Pipeline Log'!$H$43="Yes",'8.10 Pipeline Log'!K$43,0)+IF('8.10 Pipeline Log'!$H$44="Yes",'8.10 Pipeline Log'!K$44,0)</f>
        <v>0</v>
      </c>
      <c r="AD99" s="93">
        <f>IF('8.10 Pipeline Log'!$H$40="Yes",'8.10 Pipeline Log'!L$40,0)+IF('8.10 Pipeline Log'!$H$41="Yes",'8.10 Pipeline Log'!L$41,0)+IF('8.10 Pipeline Log'!$H$42="Yes",'8.10 Pipeline Log'!L$42,0)+IF('8.10 Pipeline Log'!$H$43="Yes",'8.10 Pipeline Log'!L$43,0)+IF('8.10 Pipeline Log'!$H$44="Yes",'8.10 Pipeline Log'!L$44,0)</f>
        <v>0</v>
      </c>
      <c r="AE99" s="93">
        <f>IF('8.10 Pipeline Log'!$H$40="Yes",'8.10 Pipeline Log'!M$40,0)+IF('8.10 Pipeline Log'!$H$41="Yes",'8.10 Pipeline Log'!M$41,0)+IF('8.10 Pipeline Log'!$H$42="Yes",'8.10 Pipeline Log'!M$42,0)+IF('8.10 Pipeline Log'!$H$43="Yes",'8.10 Pipeline Log'!M$43,0)+IF('8.10 Pipeline Log'!$H$44="Yes",'8.10 Pipeline Log'!M$44,0)</f>
        <v>0</v>
      </c>
      <c r="AF99" s="93">
        <f>IF('8.10 Pipeline Log'!$H$40="Yes",'8.10 Pipeline Log'!N$40,0)+IF('8.10 Pipeline Log'!$H$41="Yes",'8.10 Pipeline Log'!N$41,0)+IF('8.10 Pipeline Log'!$H$42="Yes",'8.10 Pipeline Log'!N$42,0)+IF('8.10 Pipeline Log'!$H$43="Yes",'8.10 Pipeline Log'!N$43,0)+IF('8.10 Pipeline Log'!$H$44="Yes",'8.10 Pipeline Log'!N$44,0)</f>
        <v>0</v>
      </c>
      <c r="AG99" s="436" t="s">
        <v>3013</v>
      </c>
      <c r="AI99" s="436" t="s">
        <v>2925</v>
      </c>
      <c r="AM99" s="436" t="s">
        <v>3047</v>
      </c>
      <c r="AQ99" s="1315"/>
    </row>
    <row r="100" spans="1:43">
      <c r="C100" s="435" t="s">
        <v>1474</v>
      </c>
      <c r="D100" s="435" t="s">
        <v>1461</v>
      </c>
      <c r="E100" s="435" t="s">
        <v>2912</v>
      </c>
      <c r="F100" s="435" t="s">
        <v>1451</v>
      </c>
      <c r="G100" s="435" t="s">
        <v>2947</v>
      </c>
      <c r="AB100" s="81"/>
      <c r="AC100" s="81"/>
      <c r="AD100" s="81"/>
      <c r="AE100" s="81"/>
      <c r="AF100" s="81"/>
      <c r="AG100" s="436" t="s">
        <v>3014</v>
      </c>
      <c r="AI100" s="436" t="s">
        <v>2923</v>
      </c>
      <c r="AM100" s="436" t="s">
        <v>3047</v>
      </c>
      <c r="AQ100" s="1315"/>
    </row>
    <row r="102" spans="1:43">
      <c r="C102" s="435" t="s">
        <v>1922</v>
      </c>
      <c r="D102" s="435" t="s">
        <v>1426</v>
      </c>
      <c r="E102" s="435" t="s">
        <v>1850</v>
      </c>
      <c r="F102" s="435" t="s">
        <v>1923</v>
      </c>
      <c r="G102" s="435" t="s">
        <v>2947</v>
      </c>
      <c r="AB102" s="93">
        <f>IF('8.10 Pipeline Log'!$H$30="Yes",'8.10 Pipeline Log'!J$30,0)</f>
        <v>0</v>
      </c>
      <c r="AC102" s="93">
        <f>IF('8.10 Pipeline Log'!$H$30="Yes",'8.10 Pipeline Log'!K$30,0)</f>
        <v>0</v>
      </c>
      <c r="AD102" s="93">
        <f>IF('8.10 Pipeline Log'!$H$30="Yes",'8.10 Pipeline Log'!L$30,0)</f>
        <v>0</v>
      </c>
      <c r="AE102" s="93">
        <f>IF('8.10 Pipeline Log'!$H$30="Yes",'8.10 Pipeline Log'!M$30,0)</f>
        <v>0</v>
      </c>
      <c r="AF102" s="93">
        <f>IF('8.10 Pipeline Log'!$H$30="Yes",'8.10 Pipeline Log'!N$30,0)</f>
        <v>0</v>
      </c>
      <c r="AG102" s="436" t="s">
        <v>3015</v>
      </c>
      <c r="AI102" s="436" t="s">
        <v>2925</v>
      </c>
      <c r="AM102" s="436" t="s">
        <v>3047</v>
      </c>
      <c r="AQ102" s="1315"/>
    </row>
    <row r="103" spans="1:43">
      <c r="AM103" s="436"/>
    </row>
    <row r="104" spans="1:43">
      <c r="C104" s="435" t="s">
        <v>1476</v>
      </c>
      <c r="D104" s="435" t="s">
        <v>1426</v>
      </c>
      <c r="E104" s="435" t="s">
        <v>2913</v>
      </c>
      <c r="F104" s="435" t="s">
        <v>1454</v>
      </c>
      <c r="G104" s="435" t="s">
        <v>2947</v>
      </c>
      <c r="AB104" s="93">
        <f>IF('8.10 Pipeline Log'!$H$29="Yes",'8.10 Pipeline Log'!J$29,0)</f>
        <v>0</v>
      </c>
      <c r="AC104" s="93">
        <f>IF('8.10 Pipeline Log'!$H$29="Yes",'8.10 Pipeline Log'!K$29,0)</f>
        <v>0</v>
      </c>
      <c r="AD104" s="93">
        <f>IF('8.10 Pipeline Log'!$H$29="Yes",'8.10 Pipeline Log'!L$29,0)</f>
        <v>0</v>
      </c>
      <c r="AE104" s="93">
        <f>IF('8.10 Pipeline Log'!$H$29="Yes",'8.10 Pipeline Log'!M$29,0)</f>
        <v>0</v>
      </c>
      <c r="AF104" s="93">
        <f>IF('8.10 Pipeline Log'!$H$29="Yes",'8.10 Pipeline Log'!N$29,0)</f>
        <v>0</v>
      </c>
      <c r="AG104" s="436" t="s">
        <v>3016</v>
      </c>
      <c r="AI104" s="436" t="s">
        <v>2925</v>
      </c>
      <c r="AM104" s="436" t="s">
        <v>3047</v>
      </c>
      <c r="AQ104" s="1315"/>
    </row>
    <row r="105" spans="1:43">
      <c r="C105" s="435" t="s">
        <v>1476</v>
      </c>
      <c r="D105" s="435" t="s">
        <v>1461</v>
      </c>
      <c r="E105" s="435" t="s">
        <v>2914</v>
      </c>
      <c r="F105" s="435" t="s">
        <v>1454</v>
      </c>
      <c r="G105" s="435" t="s">
        <v>2947</v>
      </c>
      <c r="AB105" s="81"/>
      <c r="AC105" s="81"/>
      <c r="AD105" s="81"/>
      <c r="AE105" s="81"/>
      <c r="AF105" s="81"/>
      <c r="AG105" s="436" t="s">
        <v>3017</v>
      </c>
      <c r="AI105" s="436" t="s">
        <v>2923</v>
      </c>
      <c r="AM105" s="436" t="s">
        <v>3047</v>
      </c>
      <c r="AQ105" s="1315"/>
    </row>
    <row r="107" spans="1:43">
      <c r="C107" s="435" t="s">
        <v>1926</v>
      </c>
      <c r="D107" s="435" t="s">
        <v>1426</v>
      </c>
      <c r="E107" s="435" t="s">
        <v>2915</v>
      </c>
      <c r="F107" s="435" t="s">
        <v>1927</v>
      </c>
      <c r="G107" s="435" t="s">
        <v>2947</v>
      </c>
      <c r="AB107" s="93">
        <f>IF('8.10 Pipeline Log'!$H$47="Yes",'8.10 Pipeline Log'!J$47,0)+IF('8.10 Pipeline Log'!$H$48="Yes",'8.10 Pipeline Log'!J$48,0)+IF('8.10 Pipeline Log'!$H$49="Yes",'8.10 Pipeline Log'!J$49,0)+IF('8.10 Pipeline Log'!$H$50="Yes",'8.10 Pipeline Log'!J$50,0)+IF('8.10 Pipeline Log'!$H$51="Yes",SUM('8.10 Pipeline Log'!$J$51:$N$51),0)</f>
        <v>0</v>
      </c>
      <c r="AC107" s="93">
        <f>IF('8.10 Pipeline Log'!$H$47="Yes",'8.10 Pipeline Log'!K$47,0)+IF('8.10 Pipeline Log'!$H$48="Yes",'8.10 Pipeline Log'!K$48,0)+IF('8.10 Pipeline Log'!$H$49="Yes",'8.10 Pipeline Log'!K$49,0)+IF('8.10 Pipeline Log'!$H$50="Yes",'8.10 Pipeline Log'!K$50,0)+IF('8.10 Pipeline Log'!$H$51="Yes",SUM('8.10 Pipeline Log'!$J$51:$N$51),0)</f>
        <v>0</v>
      </c>
      <c r="AD107" s="93">
        <f>IF('8.10 Pipeline Log'!$H$47="Yes",'8.10 Pipeline Log'!L$47,0)+IF('8.10 Pipeline Log'!$H$48="Yes",'8.10 Pipeline Log'!L$48,0)+IF('8.10 Pipeline Log'!$H$49="Yes",'8.10 Pipeline Log'!L$49,0)+IF('8.10 Pipeline Log'!$H$50="Yes",'8.10 Pipeline Log'!L$50,0)+IF('8.10 Pipeline Log'!$H$51="Yes",SUM('8.10 Pipeline Log'!$J$51:$N$51),0)</f>
        <v>0</v>
      </c>
      <c r="AE107" s="93">
        <f>IF('8.10 Pipeline Log'!$H$47="Yes",'8.10 Pipeline Log'!M$47,0)+IF('8.10 Pipeline Log'!$H$48="Yes",'8.10 Pipeline Log'!M$48,0)+IF('8.10 Pipeline Log'!$H$49="Yes",'8.10 Pipeline Log'!M$49,0)+IF('8.10 Pipeline Log'!$H$50="Yes",'8.10 Pipeline Log'!M$50,0)+IF('8.10 Pipeline Log'!$H$51="Yes",SUM('8.10 Pipeline Log'!$J$51:$N$51),0)</f>
        <v>0</v>
      </c>
      <c r="AF107" s="93">
        <f>IF('8.10 Pipeline Log'!$H$47="Yes",'8.10 Pipeline Log'!N$47,0)+IF('8.10 Pipeline Log'!$H$48="Yes",'8.10 Pipeline Log'!N$48,0)+IF('8.10 Pipeline Log'!$H$49="Yes",'8.10 Pipeline Log'!N$49,0)+IF('8.10 Pipeline Log'!$H$50="Yes",'8.10 Pipeline Log'!N$50,0)+IF('8.10 Pipeline Log'!$H$51="Yes",SUM('8.10 Pipeline Log'!$J$51:$N$51),0)</f>
        <v>0</v>
      </c>
      <c r="AG107" s="436" t="s">
        <v>3018</v>
      </c>
      <c r="AI107" s="436" t="s">
        <v>2925</v>
      </c>
      <c r="AM107" s="436" t="s">
        <v>3047</v>
      </c>
      <c r="AQ107" s="1315"/>
    </row>
    <row r="109" spans="1:43" s="1" customFormat="1" ht="17.649999999999999">
      <c r="A109" s="2" t="s">
        <v>2926</v>
      </c>
      <c r="B109" s="2"/>
      <c r="AG109" s="923"/>
      <c r="AI109" s="923"/>
    </row>
    <row r="111" spans="1:43">
      <c r="C111" s="435" t="s">
        <v>1459</v>
      </c>
      <c r="D111" s="435" t="s">
        <v>1426</v>
      </c>
      <c r="E111" s="435" t="s">
        <v>2894</v>
      </c>
      <c r="F111" s="435" t="s">
        <v>1432</v>
      </c>
      <c r="G111" s="435" t="s">
        <v>2947</v>
      </c>
      <c r="AB111" s="93">
        <f>IF('8.10 Pipeline Log'!$H$79="Yes",'8.10 Pipeline Log'!J$79,0)+IF('8.10 Pipeline Log'!$H$82="Yes",'8.10 Pipeline Log'!J$82,0)</f>
        <v>0</v>
      </c>
      <c r="AC111" s="93">
        <f>IF('8.10 Pipeline Log'!$H$79="Yes",'8.10 Pipeline Log'!K$79,0)+IF('8.10 Pipeline Log'!$H$82="Yes",'8.10 Pipeline Log'!K$82,0)</f>
        <v>0</v>
      </c>
      <c r="AD111" s="93">
        <f>IF('8.10 Pipeline Log'!$H$79="Yes",'8.10 Pipeline Log'!L$79,0)+IF('8.10 Pipeline Log'!$H$82="Yes",'8.10 Pipeline Log'!L$82,0)</f>
        <v>0</v>
      </c>
      <c r="AE111" s="93">
        <f>IF('8.10 Pipeline Log'!$H$79="Yes",'8.10 Pipeline Log'!M$79,0)+IF('8.10 Pipeline Log'!$H$82="Yes",'8.10 Pipeline Log'!M$82,0)</f>
        <v>0</v>
      </c>
      <c r="AF111" s="93">
        <f>IF('8.10 Pipeline Log'!$H$79="Yes",'8.10 Pipeline Log'!N$79,0)+IF('8.10 Pipeline Log'!$H$82="Yes",'8.10 Pipeline Log'!N$82,0)</f>
        <v>0</v>
      </c>
      <c r="AG111" s="436" t="s">
        <v>3019</v>
      </c>
      <c r="AI111" s="436" t="s">
        <v>2925</v>
      </c>
      <c r="AM111" s="436" t="s">
        <v>3047</v>
      </c>
      <c r="AQ111" s="1315"/>
    </row>
    <row r="112" spans="1:43">
      <c r="C112" s="435" t="s">
        <v>1459</v>
      </c>
      <c r="D112" s="435" t="s">
        <v>1429</v>
      </c>
      <c r="E112" s="435" t="s">
        <v>2895</v>
      </c>
      <c r="F112" s="435" t="s">
        <v>1432</v>
      </c>
      <c r="G112" s="435" t="s">
        <v>2947</v>
      </c>
      <c r="AB112" s="81"/>
      <c r="AC112" s="81"/>
      <c r="AD112" s="81"/>
      <c r="AE112" s="81"/>
      <c r="AF112" s="81"/>
      <c r="AG112" s="436" t="s">
        <v>3020</v>
      </c>
      <c r="AI112" s="436" t="s">
        <v>2923</v>
      </c>
      <c r="AM112" s="436" t="s">
        <v>3047</v>
      </c>
      <c r="AQ112" s="1315"/>
    </row>
    <row r="114" spans="1:43">
      <c r="C114" s="435" t="s">
        <v>1463</v>
      </c>
      <c r="D114" s="435" t="s">
        <v>1426</v>
      </c>
      <c r="E114" s="435" t="s">
        <v>2896</v>
      </c>
      <c r="F114" s="435" t="s">
        <v>1436</v>
      </c>
      <c r="G114" s="435" t="s">
        <v>2947</v>
      </c>
      <c r="AB114" s="93">
        <f>IF('8.10 Pipeline Log'!$H$80="Yes",'8.10 Pipeline Log'!J$80,0)+IF('8.10 Pipeline Log'!$H$83="Yes",'8.10 Pipeline Log'!J$83,0)</f>
        <v>0</v>
      </c>
      <c r="AC114" s="93">
        <f>IF('8.10 Pipeline Log'!$H$80="Yes",'8.10 Pipeline Log'!K$80,0)+IF('8.10 Pipeline Log'!$H$83="Yes",'8.10 Pipeline Log'!K$83,0)</f>
        <v>0</v>
      </c>
      <c r="AD114" s="93">
        <f>IF('8.10 Pipeline Log'!$H$80="Yes",'8.10 Pipeline Log'!L$80,0)+IF('8.10 Pipeline Log'!$H$83="Yes",'8.10 Pipeline Log'!L$83,0)</f>
        <v>0</v>
      </c>
      <c r="AE114" s="93">
        <f>IF('8.10 Pipeline Log'!$H$80="Yes",'8.10 Pipeline Log'!M$80,0)+IF('8.10 Pipeline Log'!$H$83="Yes",'8.10 Pipeline Log'!M$83,0)</f>
        <v>0</v>
      </c>
      <c r="AF114" s="93">
        <f>IF('8.10 Pipeline Log'!$H$80="Yes",'8.10 Pipeline Log'!N$80,0)+IF('8.10 Pipeline Log'!$H$83="Yes",'8.10 Pipeline Log'!N$83,0)</f>
        <v>0</v>
      </c>
      <c r="AG114" s="436" t="s">
        <v>3021</v>
      </c>
      <c r="AI114" s="436" t="s">
        <v>2925</v>
      </c>
      <c r="AM114" s="436" t="s">
        <v>3047</v>
      </c>
      <c r="AQ114" s="1315"/>
    </row>
    <row r="115" spans="1:43">
      <c r="C115" s="435" t="s">
        <v>1463</v>
      </c>
      <c r="D115" s="435" t="s">
        <v>1429</v>
      </c>
      <c r="E115" s="435" t="s">
        <v>2897</v>
      </c>
      <c r="F115" s="435" t="s">
        <v>1436</v>
      </c>
      <c r="G115" s="435" t="s">
        <v>2947</v>
      </c>
      <c r="AB115" s="81"/>
      <c r="AC115" s="81"/>
      <c r="AD115" s="81"/>
      <c r="AE115" s="81"/>
      <c r="AF115" s="81"/>
      <c r="AG115" s="436" t="s">
        <v>3022</v>
      </c>
      <c r="AI115" s="436" t="s">
        <v>2923</v>
      </c>
      <c r="AM115" s="436" t="s">
        <v>3047</v>
      </c>
      <c r="AQ115" s="1315"/>
    </row>
    <row r="117" spans="1:43">
      <c r="C117" s="435" t="s">
        <v>1468</v>
      </c>
      <c r="D117" s="435" t="s">
        <v>1426</v>
      </c>
      <c r="E117" s="435" t="s">
        <v>2900</v>
      </c>
      <c r="F117" s="435" t="s">
        <v>1441</v>
      </c>
      <c r="G117" s="435" t="s">
        <v>2947</v>
      </c>
      <c r="AB117" s="93">
        <f>IF('8.10 Pipeline Log'!$H$91="Yes",'8.10 Pipeline Log'!J$91,0)+IF('8.10 Pipeline Log'!$H$92="Yes",'8.10 Pipeline Log'!J$92,0)+IF('8.10 Pipeline Log'!$H$93="Yes",'8.10 Pipeline Log'!J$93,0)+IF('8.10 Pipeline Log'!$H$94="Yes",'8.10 Pipeline Log'!J$94,0)+IF('8.10 Pipeline Log'!$H$95="Yes",'8.10 Pipeline Log'!J$95,0)</f>
        <v>0</v>
      </c>
      <c r="AC117" s="93">
        <f>IF('8.10 Pipeline Log'!$H$91="Yes",'8.10 Pipeline Log'!K$91,0)+IF('8.10 Pipeline Log'!$H$92="Yes",'8.10 Pipeline Log'!K$92,0)+IF('8.10 Pipeline Log'!$H$93="Yes",'8.10 Pipeline Log'!K$93,0)+IF('8.10 Pipeline Log'!$H$94="Yes",'8.10 Pipeline Log'!K$94,0)+IF('8.10 Pipeline Log'!$H$95="Yes",'8.10 Pipeline Log'!K$95,0)</f>
        <v>0</v>
      </c>
      <c r="AD117" s="93">
        <f>IF('8.10 Pipeline Log'!$H$91="Yes",'8.10 Pipeline Log'!L$91,0)+IF('8.10 Pipeline Log'!$H$92="Yes",'8.10 Pipeline Log'!L$92,0)+IF('8.10 Pipeline Log'!$H$93="Yes",'8.10 Pipeline Log'!L$93,0)+IF('8.10 Pipeline Log'!$H$94="Yes",'8.10 Pipeline Log'!L$94,0)+IF('8.10 Pipeline Log'!$H$95="Yes",'8.10 Pipeline Log'!L$95,0)</f>
        <v>0</v>
      </c>
      <c r="AE117" s="93">
        <f>IF('8.10 Pipeline Log'!$H$91="Yes",'8.10 Pipeline Log'!M$91,0)+IF('8.10 Pipeline Log'!$H$92="Yes",'8.10 Pipeline Log'!M$92,0)+IF('8.10 Pipeline Log'!$H$93="Yes",'8.10 Pipeline Log'!M$93,0)+IF('8.10 Pipeline Log'!$H$94="Yes",'8.10 Pipeline Log'!M$94,0)+IF('8.10 Pipeline Log'!$H$95="Yes",'8.10 Pipeline Log'!M$95,0)</f>
        <v>0</v>
      </c>
      <c r="AF117" s="93">
        <f>IF('8.10 Pipeline Log'!$H$91="Yes",'8.10 Pipeline Log'!N$91,0)+IF('8.10 Pipeline Log'!$H$92="Yes",'8.10 Pipeline Log'!N$92,0)+IF('8.10 Pipeline Log'!$H$93="Yes",'8.10 Pipeline Log'!N$93,0)+IF('8.10 Pipeline Log'!$H$94="Yes",'8.10 Pipeline Log'!N$94,0)+IF('8.10 Pipeline Log'!$H$95="Yes",'8.10 Pipeline Log'!N$95,0)</f>
        <v>0</v>
      </c>
      <c r="AG117" s="436" t="s">
        <v>3023</v>
      </c>
      <c r="AI117" s="436" t="s">
        <v>2925</v>
      </c>
      <c r="AM117" s="436" t="s">
        <v>3047</v>
      </c>
      <c r="AQ117" s="1315"/>
    </row>
    <row r="118" spans="1:43">
      <c r="C118" s="435" t="s">
        <v>1468</v>
      </c>
      <c r="D118" s="435" t="s">
        <v>1429</v>
      </c>
      <c r="E118" s="435" t="s">
        <v>2901</v>
      </c>
      <c r="F118" s="435" t="s">
        <v>1441</v>
      </c>
      <c r="G118" s="435" t="s">
        <v>2947</v>
      </c>
      <c r="AB118" s="81"/>
      <c r="AC118" s="81"/>
      <c r="AD118" s="81"/>
      <c r="AE118" s="81"/>
      <c r="AF118" s="81"/>
      <c r="AG118" s="436" t="s">
        <v>3024</v>
      </c>
      <c r="AI118" s="436" t="s">
        <v>2923</v>
      </c>
      <c r="AM118" s="436" t="s">
        <v>3047</v>
      </c>
      <c r="AQ118" s="1315"/>
    </row>
    <row r="120" spans="1:43">
      <c r="C120" s="435" t="s">
        <v>1997</v>
      </c>
      <c r="D120" s="435" t="s">
        <v>1426</v>
      </c>
      <c r="E120" s="435" t="s">
        <v>2902</v>
      </c>
      <c r="F120" s="435" t="s">
        <v>1489</v>
      </c>
      <c r="G120" s="435" t="s">
        <v>2947</v>
      </c>
      <c r="AB120" s="93">
        <f>IF('8.10 Pipeline Log'!$H$78="Yes",'8.10 Pipeline Log'!J$78,0)+IF('8.10 Pipeline Log'!$H$81="Yes",'8.10 Pipeline Log'!J$81,0)</f>
        <v>0</v>
      </c>
      <c r="AC120" s="93">
        <f>IF('8.10 Pipeline Log'!$H$78="Yes",'8.10 Pipeline Log'!K$78,0)+IF('8.10 Pipeline Log'!$H$81="Yes",'8.10 Pipeline Log'!K$81,0)</f>
        <v>0</v>
      </c>
      <c r="AD120" s="93">
        <f>IF('8.10 Pipeline Log'!$H$78="Yes",'8.10 Pipeline Log'!L$78,0)+IF('8.10 Pipeline Log'!$H$81="Yes",'8.10 Pipeline Log'!L$81,0)</f>
        <v>0</v>
      </c>
      <c r="AE120" s="93">
        <f>IF('8.10 Pipeline Log'!$H$78="Yes",'8.10 Pipeline Log'!M$78,0)+IF('8.10 Pipeline Log'!$H$81="Yes",'8.10 Pipeline Log'!M$81,0)</f>
        <v>0</v>
      </c>
      <c r="AF120" s="93">
        <f>IF('8.10 Pipeline Log'!$H$78="Yes",'8.10 Pipeline Log'!N$78,0)+IF('8.10 Pipeline Log'!$H$81="Yes",'8.10 Pipeline Log'!N$81,0)</f>
        <v>0</v>
      </c>
      <c r="AG120" s="436" t="s">
        <v>3025</v>
      </c>
      <c r="AI120" s="436" t="s">
        <v>2925</v>
      </c>
      <c r="AM120" s="436" t="s">
        <v>3047</v>
      </c>
      <c r="AQ120" s="1315"/>
    </row>
    <row r="121" spans="1:43">
      <c r="AQ121" s="1315"/>
    </row>
    <row r="122" spans="1:43">
      <c r="C122" s="435" t="s">
        <v>1474</v>
      </c>
      <c r="D122" s="435" t="s">
        <v>1426</v>
      </c>
      <c r="E122" s="435" t="s">
        <v>2911</v>
      </c>
      <c r="F122" s="435" t="s">
        <v>1451</v>
      </c>
      <c r="G122" s="435" t="s">
        <v>2947</v>
      </c>
      <c r="AB122" s="93">
        <f>IF('8.10 Pipeline Log'!$H$91="Yes",'8.10 Pipeline Log'!J$91,0)+IF('8.10 Pipeline Log'!$H$92="Yes",'8.10 Pipeline Log'!J$92)+IF('8.10 Pipeline Log'!$H$93="Yes",'8.10 Pipeline Log'!J$93,0)+IF('8.10 Pipeline Log'!$H$94="Yes",'8.10 Pipeline Log'!J$94)+IF('8.10 Pipeline Log'!$H$95="Yes",'8.10 Pipeline Log'!J$95,0)</f>
        <v>0</v>
      </c>
      <c r="AC122" s="93">
        <f>IF('8.10 Pipeline Log'!$H$91="Yes",'8.10 Pipeline Log'!K$91,0)+IF('8.10 Pipeline Log'!$H$92="Yes",'8.10 Pipeline Log'!K$92)+IF('8.10 Pipeline Log'!$H$93="Yes",'8.10 Pipeline Log'!K$93,0)+IF('8.10 Pipeline Log'!$H$94="Yes",'8.10 Pipeline Log'!K$94)+IF('8.10 Pipeline Log'!$H$95="Yes",'8.10 Pipeline Log'!K$95,0)</f>
        <v>0</v>
      </c>
      <c r="AD122" s="93">
        <f>IF('8.10 Pipeline Log'!$H$91="Yes",'8.10 Pipeline Log'!L$91,0)+IF('8.10 Pipeline Log'!$H$92="Yes",'8.10 Pipeline Log'!L$92)+IF('8.10 Pipeline Log'!$H$93="Yes",'8.10 Pipeline Log'!L$93,0)+IF('8.10 Pipeline Log'!$H$94="Yes",'8.10 Pipeline Log'!L$94)+IF('8.10 Pipeline Log'!$H$95="Yes",'8.10 Pipeline Log'!L$95,0)</f>
        <v>0</v>
      </c>
      <c r="AE122" s="93">
        <f>IF('8.10 Pipeline Log'!$H$91="Yes",'8.10 Pipeline Log'!M$91,0)+IF('8.10 Pipeline Log'!$H$92="Yes",'8.10 Pipeline Log'!M$92)+IF('8.10 Pipeline Log'!$H$93="Yes",'8.10 Pipeline Log'!M$93,0)+IF('8.10 Pipeline Log'!$H$94="Yes",'8.10 Pipeline Log'!M$94)+IF('8.10 Pipeline Log'!$H$95="Yes",'8.10 Pipeline Log'!M$95,0)</f>
        <v>0</v>
      </c>
      <c r="AF122" s="93">
        <f>IF('8.10 Pipeline Log'!$H$91="Yes",'8.10 Pipeline Log'!N$91,0)+IF('8.10 Pipeline Log'!$H$92="Yes",'8.10 Pipeline Log'!N$92)+IF('8.10 Pipeline Log'!$H$93="Yes",'8.10 Pipeline Log'!N$93,0)+IF('8.10 Pipeline Log'!$H$94="Yes",'8.10 Pipeline Log'!N$94)+IF('8.10 Pipeline Log'!$H$95="Yes",'8.10 Pipeline Log'!N$95,0)</f>
        <v>0</v>
      </c>
      <c r="AG122" s="436" t="s">
        <v>3027</v>
      </c>
      <c r="AI122" s="436" t="s">
        <v>2925</v>
      </c>
      <c r="AM122" s="436" t="s">
        <v>3047</v>
      </c>
      <c r="AQ122" s="1315"/>
    </row>
    <row r="123" spans="1:43">
      <c r="C123" s="435" t="s">
        <v>1474</v>
      </c>
      <c r="D123" s="435" t="s">
        <v>1429</v>
      </c>
      <c r="E123" s="435" t="s">
        <v>2912</v>
      </c>
      <c r="F123" s="435" t="s">
        <v>1451</v>
      </c>
      <c r="G123" s="435" t="s">
        <v>2947</v>
      </c>
      <c r="AB123" s="81"/>
      <c r="AC123" s="81"/>
      <c r="AD123" s="81"/>
      <c r="AE123" s="81"/>
      <c r="AF123" s="81"/>
      <c r="AG123" s="436" t="s">
        <v>3026</v>
      </c>
      <c r="AI123" s="436" t="s">
        <v>2923</v>
      </c>
      <c r="AM123" s="436" t="s">
        <v>3047</v>
      </c>
      <c r="AQ123" s="1315"/>
    </row>
    <row r="125" spans="1:43" s="1" customFormat="1" ht="17.649999999999999">
      <c r="A125" s="2" t="s">
        <v>2927</v>
      </c>
      <c r="B125" s="2"/>
      <c r="AG125" s="923"/>
      <c r="AI125" s="923"/>
    </row>
    <row r="127" spans="1:43">
      <c r="C127" s="435" t="s">
        <v>2939</v>
      </c>
      <c r="D127" s="435" t="s">
        <v>1492</v>
      </c>
      <c r="E127" s="435" t="s">
        <v>2931</v>
      </c>
      <c r="F127" s="435" t="s">
        <v>1493</v>
      </c>
      <c r="G127" s="435" t="s">
        <v>2948</v>
      </c>
      <c r="AB127" s="93">
        <f>'5.1 TO_Indirects'!AE65*('1.5 Universal Data'!$D$34/'1.5 Universal Data'!$D$31)</f>
        <v>0</v>
      </c>
      <c r="AC127" s="93">
        <f>'5.1 TO_Indirects'!AF65*('1.5 Universal Data'!$D$35/'1.5 Universal Data'!$D$31)</f>
        <v>0</v>
      </c>
      <c r="AD127" s="93">
        <f>'5.1 TO_Indirects'!AG65*('1.5 Universal Data'!$D$36/'1.5 Universal Data'!$D$31)</f>
        <v>0</v>
      </c>
      <c r="AE127" s="93">
        <f>'5.1 TO_Indirects'!AH65*('1.5 Universal Data'!$D$37/'1.5 Universal Data'!$D$31)</f>
        <v>0</v>
      </c>
      <c r="AF127" s="93">
        <f>'5.1 TO_Indirects'!AI65*('1.5 Universal Data'!$D$38/'1.5 Universal Data'!$D$31)</f>
        <v>0</v>
      </c>
      <c r="AG127" s="436" t="s">
        <v>3029</v>
      </c>
      <c r="AI127" s="1330" t="s">
        <v>3160</v>
      </c>
      <c r="AM127" s="436" t="s">
        <v>3047</v>
      </c>
      <c r="AQ127" s="1315"/>
    </row>
    <row r="128" spans="1:43">
      <c r="C128" s="435" t="s">
        <v>2939</v>
      </c>
      <c r="D128" s="435" t="s">
        <v>1494</v>
      </c>
      <c r="E128" s="435" t="s">
        <v>2932</v>
      </c>
      <c r="F128" s="435" t="s">
        <v>1493</v>
      </c>
      <c r="G128" s="435" t="s">
        <v>2948</v>
      </c>
      <c r="AB128" s="93">
        <f>'5.1 TO_Indirects'!AE64*('1.5 Universal Data'!$D$34/'1.5 Universal Data'!$D$31)</f>
        <v>0</v>
      </c>
      <c r="AC128" s="93">
        <f>'5.1 TO_Indirects'!AF64*('1.5 Universal Data'!$D$35/'1.5 Universal Data'!$D$31)</f>
        <v>0</v>
      </c>
      <c r="AD128" s="93">
        <f>'5.1 TO_Indirects'!AG64*('1.5 Universal Data'!$D$36/'1.5 Universal Data'!$D$31)</f>
        <v>0</v>
      </c>
      <c r="AE128" s="93">
        <f>'5.1 TO_Indirects'!AH64*('1.5 Universal Data'!$D$37/'1.5 Universal Data'!$D$31)</f>
        <v>0</v>
      </c>
      <c r="AF128" s="93">
        <f>'5.1 TO_Indirects'!AI64*('1.5 Universal Data'!$D$38/'1.5 Universal Data'!$D$31)</f>
        <v>0</v>
      </c>
      <c r="AG128" s="436" t="s">
        <v>3030</v>
      </c>
      <c r="AI128" s="1330" t="s">
        <v>3160</v>
      </c>
      <c r="AM128" s="436" t="s">
        <v>3047</v>
      </c>
      <c r="AQ128" s="1315"/>
    </row>
    <row r="129" spans="1:43">
      <c r="C129" s="435" t="s">
        <v>2939</v>
      </c>
      <c r="D129" s="435" t="s">
        <v>1495</v>
      </c>
      <c r="E129" s="435" t="s">
        <v>2933</v>
      </c>
      <c r="F129" s="435" t="s">
        <v>1493</v>
      </c>
      <c r="G129" s="435" t="s">
        <v>2948</v>
      </c>
      <c r="AB129" s="93">
        <f>'5.1 TO_Indirects'!AE57*('1.5 Universal Data'!$D$34/'1.5 Universal Data'!$D$31)</f>
        <v>0</v>
      </c>
      <c r="AC129" s="93">
        <f>'5.1 TO_Indirects'!AF57*('1.5 Universal Data'!$D$35/'1.5 Universal Data'!$D$31)</f>
        <v>0</v>
      </c>
      <c r="AD129" s="93">
        <f>'5.1 TO_Indirects'!AG57*('1.5 Universal Data'!$D$36/'1.5 Universal Data'!$D$31)</f>
        <v>0</v>
      </c>
      <c r="AE129" s="93">
        <f>'5.1 TO_Indirects'!AH57*('1.5 Universal Data'!$D$37/'1.5 Universal Data'!$D$31)</f>
        <v>0</v>
      </c>
      <c r="AF129" s="93">
        <f>'5.1 TO_Indirects'!AI57*('1.5 Universal Data'!$D$38/'1.5 Universal Data'!$D$31)</f>
        <v>0</v>
      </c>
      <c r="AG129" s="436" t="s">
        <v>3031</v>
      </c>
      <c r="AI129" s="1330" t="s">
        <v>3160</v>
      </c>
      <c r="AM129" s="436" t="s">
        <v>3047</v>
      </c>
      <c r="AQ129" s="1315"/>
    </row>
    <row r="130" spans="1:43">
      <c r="C130" s="435" t="s">
        <v>2939</v>
      </c>
      <c r="D130" s="435" t="s">
        <v>1497</v>
      </c>
      <c r="E130" s="435" t="s">
        <v>2934</v>
      </c>
      <c r="F130" s="435" t="s">
        <v>1493</v>
      </c>
      <c r="G130" s="435" t="s">
        <v>2948</v>
      </c>
      <c r="AB130" s="93">
        <f>'5.1 TO_Indirects'!AE67*('1.5 Universal Data'!$D$34/'1.5 Universal Data'!$D$31)</f>
        <v>0</v>
      </c>
      <c r="AC130" s="93">
        <f>'5.1 TO_Indirects'!AF67*('1.5 Universal Data'!$D$35/'1.5 Universal Data'!$D$31)</f>
        <v>0</v>
      </c>
      <c r="AD130" s="93">
        <f>'5.1 TO_Indirects'!AG67*('1.5 Universal Data'!$D$36/'1.5 Universal Data'!$D$31)</f>
        <v>0</v>
      </c>
      <c r="AE130" s="93">
        <f>'5.1 TO_Indirects'!AH67*('1.5 Universal Data'!$D$37/'1.5 Universal Data'!$D$31)</f>
        <v>0</v>
      </c>
      <c r="AF130" s="93">
        <f>'5.1 TO_Indirects'!AI67*('1.5 Universal Data'!$D$38/'1.5 Universal Data'!$D$31)</f>
        <v>0</v>
      </c>
      <c r="AG130" s="436" t="s">
        <v>3032</v>
      </c>
      <c r="AI130" s="1330" t="s">
        <v>3160</v>
      </c>
      <c r="AM130" s="436" t="s">
        <v>3047</v>
      </c>
      <c r="AQ130" s="1315"/>
    </row>
    <row r="131" spans="1:43">
      <c r="C131" s="435" t="s">
        <v>2939</v>
      </c>
      <c r="D131" s="435" t="s">
        <v>1498</v>
      </c>
      <c r="E131" s="435" t="s">
        <v>2935</v>
      </c>
      <c r="F131" s="435" t="s">
        <v>1493</v>
      </c>
      <c r="G131" s="435" t="s">
        <v>2948</v>
      </c>
      <c r="AB131" s="93">
        <f>'5.1 TO_Indirects'!AE70*('1.5 Universal Data'!$D$34/'1.5 Universal Data'!$D$31)</f>
        <v>0</v>
      </c>
      <c r="AC131" s="93">
        <f>'5.1 TO_Indirects'!AF70*('1.5 Universal Data'!$D$35/'1.5 Universal Data'!$D$31)</f>
        <v>0</v>
      </c>
      <c r="AD131" s="93">
        <f>'5.1 TO_Indirects'!AG70*('1.5 Universal Data'!$D$36/'1.5 Universal Data'!$D$31)</f>
        <v>0</v>
      </c>
      <c r="AE131" s="93">
        <f>'5.1 TO_Indirects'!AH70*('1.5 Universal Data'!$D$37/'1.5 Universal Data'!$D$31)</f>
        <v>0</v>
      </c>
      <c r="AF131" s="93">
        <f>'5.1 TO_Indirects'!AI70*('1.5 Universal Data'!$D$38/'1.5 Universal Data'!$D$31)</f>
        <v>0</v>
      </c>
      <c r="AG131" s="436" t="s">
        <v>3033</v>
      </c>
      <c r="AI131" s="1330" t="s">
        <v>3160</v>
      </c>
      <c r="AM131" s="436" t="s">
        <v>3047</v>
      </c>
      <c r="AQ131" s="1315"/>
    </row>
    <row r="132" spans="1:43" ht="15">
      <c r="C132" s="435" t="s">
        <v>2939</v>
      </c>
      <c r="D132" s="435" t="s">
        <v>1954</v>
      </c>
      <c r="E132" s="435" t="s">
        <v>2109</v>
      </c>
      <c r="F132" s="435" t="s">
        <v>1500</v>
      </c>
      <c r="G132" s="435" t="s">
        <v>2948</v>
      </c>
      <c r="AB132" s="93">
        <f>'5.1 TO_Indirects'!AE69*('1.5 Universal Data'!$D$34/'1.5 Universal Data'!$D$31)</f>
        <v>0</v>
      </c>
      <c r="AC132" s="93">
        <f>'5.1 TO_Indirects'!AF69*('1.5 Universal Data'!$D$35/'1.5 Universal Data'!$D$31)</f>
        <v>0</v>
      </c>
      <c r="AD132" s="93">
        <f>'5.1 TO_Indirects'!AG69*('1.5 Universal Data'!$D$36/'1.5 Universal Data'!$D$31)</f>
        <v>0</v>
      </c>
      <c r="AE132" s="93">
        <f>'5.1 TO_Indirects'!AH69*('1.5 Universal Data'!$D$37/'1.5 Universal Data'!$D$31)</f>
        <v>0</v>
      </c>
      <c r="AF132" s="93">
        <f>'5.1 TO_Indirects'!AI69*('1.5 Universal Data'!$D$38/'1.5 Universal Data'!$D$31)</f>
        <v>0</v>
      </c>
      <c r="AG132" s="436" t="s">
        <v>3057</v>
      </c>
      <c r="AI132" s="1330" t="s">
        <v>3160</v>
      </c>
      <c r="AM132" s="436" t="s">
        <v>3047</v>
      </c>
      <c r="AQ132" s="1315"/>
    </row>
    <row r="133" spans="1:43">
      <c r="AI133" s="1330"/>
    </row>
    <row r="134" spans="1:43">
      <c r="C134" s="435" t="s">
        <v>1496</v>
      </c>
      <c r="D134" s="435" t="s">
        <v>1503</v>
      </c>
      <c r="AB134" s="81"/>
      <c r="AC134" s="81"/>
      <c r="AD134" s="81"/>
      <c r="AE134" s="81"/>
      <c r="AF134" s="81"/>
      <c r="AG134" s="436" t="s">
        <v>3037</v>
      </c>
      <c r="AI134" s="1330" t="s">
        <v>2923</v>
      </c>
      <c r="AM134" s="436" t="s">
        <v>3047</v>
      </c>
      <c r="AQ134" s="1315"/>
    </row>
    <row r="135" spans="1:43">
      <c r="C135" s="435" t="s">
        <v>1496</v>
      </c>
      <c r="D135" s="435" t="s">
        <v>1504</v>
      </c>
      <c r="AB135" s="93">
        <f>'5.1 TO_Indirects'!AE61*('1.5 Universal Data'!$D$34/'1.5 Universal Data'!$D$31)</f>
        <v>0</v>
      </c>
      <c r="AC135" s="93">
        <f>'5.1 TO_Indirects'!AF61*('1.5 Universal Data'!$D$35/'1.5 Universal Data'!$D$31)</f>
        <v>0</v>
      </c>
      <c r="AD135" s="93">
        <f>'5.1 TO_Indirects'!AG61*('1.5 Universal Data'!$D$36/'1.5 Universal Data'!$D$31)</f>
        <v>0</v>
      </c>
      <c r="AE135" s="93">
        <f>'5.1 TO_Indirects'!AH61*('1.5 Universal Data'!$D$37/'1.5 Universal Data'!$D$31)</f>
        <v>0</v>
      </c>
      <c r="AF135" s="93">
        <f>'5.1 TO_Indirects'!AI61*('1.5 Universal Data'!$D$38/'1.5 Universal Data'!$D$31)</f>
        <v>0</v>
      </c>
      <c r="AG135" s="436" t="s">
        <v>3038</v>
      </c>
      <c r="AI135" s="1330" t="s">
        <v>3160</v>
      </c>
      <c r="AM135" s="436" t="s">
        <v>3047</v>
      </c>
      <c r="AQ135" s="1315"/>
    </row>
    <row r="136" spans="1:43">
      <c r="C136" s="435" t="s">
        <v>1496</v>
      </c>
      <c r="D136" s="435" t="s">
        <v>1505</v>
      </c>
      <c r="AB136" s="81"/>
      <c r="AC136" s="81"/>
      <c r="AD136" s="81"/>
      <c r="AE136" s="81"/>
      <c r="AF136" s="81"/>
      <c r="AG136" s="436" t="s">
        <v>3039</v>
      </c>
      <c r="AI136" s="1330" t="s">
        <v>2923</v>
      </c>
      <c r="AM136" s="436" t="s">
        <v>3047</v>
      </c>
      <c r="AQ136" s="1315"/>
    </row>
    <row r="137" spans="1:43">
      <c r="C137" s="435" t="s">
        <v>1496</v>
      </c>
      <c r="D137" s="435" t="s">
        <v>1508</v>
      </c>
      <c r="E137" s="435" t="s">
        <v>2936</v>
      </c>
      <c r="F137" s="435" t="s">
        <v>1493</v>
      </c>
      <c r="G137" s="435" t="s">
        <v>2948</v>
      </c>
      <c r="AB137" s="81"/>
      <c r="AC137" s="81"/>
      <c r="AD137" s="81"/>
      <c r="AE137" s="81"/>
      <c r="AF137" s="81"/>
      <c r="AG137" s="436" t="s">
        <v>3034</v>
      </c>
      <c r="AI137" s="436" t="s">
        <v>2923</v>
      </c>
      <c r="AM137" s="436" t="s">
        <v>3047</v>
      </c>
      <c r="AQ137" s="1315"/>
    </row>
    <row r="139" spans="1:43">
      <c r="C139" s="435" t="s">
        <v>1512</v>
      </c>
      <c r="D139" s="435" t="s">
        <v>1513</v>
      </c>
      <c r="E139" s="435" t="s">
        <v>2937</v>
      </c>
      <c r="F139" s="435" t="s">
        <v>1500</v>
      </c>
      <c r="G139" s="435" t="s">
        <v>2948</v>
      </c>
      <c r="AB139" s="81"/>
      <c r="AC139" s="81"/>
      <c r="AD139" s="81"/>
      <c r="AE139" s="81"/>
      <c r="AF139" s="81"/>
      <c r="AG139" s="436" t="s">
        <v>3035</v>
      </c>
      <c r="AI139" s="436" t="s">
        <v>2923</v>
      </c>
      <c r="AM139" s="436" t="s">
        <v>3047</v>
      </c>
      <c r="AQ139" s="1315"/>
    </row>
    <row r="141" spans="1:43">
      <c r="C141" s="435" t="s">
        <v>1523</v>
      </c>
      <c r="D141" s="435" t="s">
        <v>1461</v>
      </c>
      <c r="E141" s="435" t="s">
        <v>2938</v>
      </c>
      <c r="F141" s="435" t="s">
        <v>1493</v>
      </c>
      <c r="G141" s="435" t="s">
        <v>2947</v>
      </c>
      <c r="AB141" s="81"/>
      <c r="AC141" s="81"/>
      <c r="AD141" s="81"/>
      <c r="AE141" s="81"/>
      <c r="AF141" s="81"/>
      <c r="AG141" s="436" t="s">
        <v>3036</v>
      </c>
      <c r="AI141" s="436" t="s">
        <v>2923</v>
      </c>
      <c r="AM141" s="436" t="s">
        <v>3047</v>
      </c>
      <c r="AQ141" s="1315"/>
    </row>
    <row r="143" spans="1:43" s="1" customFormat="1" ht="17.649999999999999">
      <c r="A143" s="2" t="s">
        <v>2940</v>
      </c>
      <c r="B143" s="2"/>
      <c r="AG143" s="923"/>
      <c r="AI143" s="923"/>
    </row>
    <row r="145" spans="1:43">
      <c r="C145" s="435" t="s">
        <v>1526</v>
      </c>
      <c r="D145" s="435" t="s">
        <v>1527</v>
      </c>
      <c r="E145" s="435" t="s">
        <v>2928</v>
      </c>
      <c r="F145" s="435" t="s">
        <v>1528</v>
      </c>
      <c r="G145" s="435" t="s">
        <v>2948</v>
      </c>
      <c r="AB145" s="93">
        <f>'5.2 SO_Indirects'!AE62*('1.5 Universal Data'!$D$34/'1.5 Universal Data'!$D$31)</f>
        <v>0</v>
      </c>
      <c r="AC145" s="93">
        <f>'5.2 SO_Indirects'!AF62*('1.5 Universal Data'!$D$35/'1.5 Universal Data'!$D$31)</f>
        <v>0</v>
      </c>
      <c r="AD145" s="93">
        <f>'5.2 SO_Indirects'!AG62*('1.5 Universal Data'!$D$36/'1.5 Universal Data'!$D$31)</f>
        <v>0</v>
      </c>
      <c r="AE145" s="93">
        <f>'5.2 SO_Indirects'!AH62*('1.5 Universal Data'!$D$37/'1.5 Universal Data'!$D$31)</f>
        <v>0</v>
      </c>
      <c r="AF145" s="93">
        <f>'5.2 SO_Indirects'!AI62*('1.5 Universal Data'!$D$38/'1.5 Universal Data'!$D$31)</f>
        <v>0</v>
      </c>
      <c r="AG145" s="436" t="s">
        <v>3041</v>
      </c>
      <c r="AI145" s="1330" t="s">
        <v>3160</v>
      </c>
      <c r="AM145" s="436" t="s">
        <v>3047</v>
      </c>
      <c r="AQ145" s="1315"/>
    </row>
    <row r="146" spans="1:43">
      <c r="C146" s="435" t="s">
        <v>1526</v>
      </c>
      <c r="D146" s="435" t="s">
        <v>1529</v>
      </c>
      <c r="E146" s="435" t="s">
        <v>2929</v>
      </c>
      <c r="F146" s="435" t="s">
        <v>1528</v>
      </c>
      <c r="G146" s="435" t="s">
        <v>2948</v>
      </c>
      <c r="AB146" s="93">
        <f>'5.2 SO_Indirects'!AE57*('1.5 Universal Data'!$D$34/'1.5 Universal Data'!$D$31)</f>
        <v>0</v>
      </c>
      <c r="AC146" s="93">
        <f>'5.2 SO_Indirects'!AF57*('1.5 Universal Data'!$D$35/'1.5 Universal Data'!$D$31)</f>
        <v>0</v>
      </c>
      <c r="AD146" s="93">
        <f>'5.2 SO_Indirects'!AG57*('1.5 Universal Data'!$D$36/'1.5 Universal Data'!$D$31)</f>
        <v>0</v>
      </c>
      <c r="AE146" s="93">
        <f>'5.2 SO_Indirects'!AH57*('1.5 Universal Data'!$D$37/'1.5 Universal Data'!$D$31)</f>
        <v>0</v>
      </c>
      <c r="AF146" s="93">
        <f>'5.2 SO_Indirects'!AI57*('1.5 Universal Data'!$D$38/'1.5 Universal Data'!$D$31)</f>
        <v>0</v>
      </c>
      <c r="AG146" s="436" t="s">
        <v>3042</v>
      </c>
      <c r="AI146" s="1330" t="s">
        <v>3160</v>
      </c>
      <c r="AM146" s="436" t="s">
        <v>3047</v>
      </c>
      <c r="AQ146" s="1315"/>
    </row>
    <row r="147" spans="1:43">
      <c r="AI147" s="1330"/>
    </row>
    <row r="148" spans="1:43">
      <c r="C148" s="435" t="s">
        <v>1530</v>
      </c>
      <c r="D148" s="435" t="s">
        <v>1503</v>
      </c>
      <c r="G148" s="435" t="s">
        <v>2948</v>
      </c>
      <c r="AB148" s="81"/>
      <c r="AC148" s="81"/>
      <c r="AD148" s="81"/>
      <c r="AE148" s="81"/>
      <c r="AF148" s="81"/>
      <c r="AG148" s="436" t="s">
        <v>3043</v>
      </c>
      <c r="AI148" s="1330" t="s">
        <v>2923</v>
      </c>
      <c r="AM148" s="436" t="s">
        <v>3047</v>
      </c>
      <c r="AQ148" s="1315"/>
    </row>
    <row r="149" spans="1:43">
      <c r="C149" s="435" t="s">
        <v>1530</v>
      </c>
      <c r="D149" s="435" t="s">
        <v>1504</v>
      </c>
      <c r="G149" s="435" t="s">
        <v>2948</v>
      </c>
      <c r="AB149" s="93">
        <f>'5.2 SO_Indirects'!AE61*('1.5 Universal Data'!$D$34/'1.5 Universal Data'!$D$31)</f>
        <v>0</v>
      </c>
      <c r="AC149" s="93">
        <f>'5.2 SO_Indirects'!AF61*('1.5 Universal Data'!$D$35/'1.5 Universal Data'!$D$31)</f>
        <v>0</v>
      </c>
      <c r="AD149" s="93">
        <f>'5.2 SO_Indirects'!AG61*('1.5 Universal Data'!$D$36/'1.5 Universal Data'!$D$31)</f>
        <v>0</v>
      </c>
      <c r="AE149" s="93">
        <f>'5.2 SO_Indirects'!AH61*('1.5 Universal Data'!$D$37/'1.5 Universal Data'!$D$31)</f>
        <v>0</v>
      </c>
      <c r="AF149" s="93">
        <f>'5.2 SO_Indirects'!AI61*('1.5 Universal Data'!$D$38/'1.5 Universal Data'!$D$31)</f>
        <v>0</v>
      </c>
      <c r="AG149" s="436" t="s">
        <v>3044</v>
      </c>
      <c r="AI149" s="1330" t="s">
        <v>3160</v>
      </c>
      <c r="AM149" s="436" t="s">
        <v>3047</v>
      </c>
      <c r="AQ149" s="1315"/>
    </row>
    <row r="150" spans="1:43">
      <c r="C150" s="435" t="s">
        <v>1530</v>
      </c>
      <c r="D150" s="435" t="s">
        <v>1505</v>
      </c>
      <c r="G150" s="435" t="s">
        <v>2948</v>
      </c>
      <c r="AB150" s="81"/>
      <c r="AC150" s="81"/>
      <c r="AD150" s="81"/>
      <c r="AE150" s="81"/>
      <c r="AF150" s="81"/>
      <c r="AG150" s="436" t="s">
        <v>3045</v>
      </c>
      <c r="AI150" s="1330" t="s">
        <v>2923</v>
      </c>
      <c r="AM150" s="436" t="s">
        <v>3047</v>
      </c>
      <c r="AQ150" s="1315"/>
    </row>
    <row r="151" spans="1:43">
      <c r="C151" s="435" t="s">
        <v>1530</v>
      </c>
      <c r="D151" s="435" t="s">
        <v>1508</v>
      </c>
      <c r="E151" s="435" t="s">
        <v>2930</v>
      </c>
      <c r="F151" s="435" t="s">
        <v>1528</v>
      </c>
      <c r="G151" s="435" t="s">
        <v>2948</v>
      </c>
      <c r="AB151" s="81"/>
      <c r="AC151" s="81"/>
      <c r="AD151" s="81"/>
      <c r="AE151" s="81"/>
      <c r="AF151" s="81"/>
      <c r="AG151" s="436" t="s">
        <v>3046</v>
      </c>
      <c r="AI151" s="436" t="s">
        <v>2923</v>
      </c>
      <c r="AM151" s="436" t="s">
        <v>3047</v>
      </c>
      <c r="AQ151" s="1315"/>
    </row>
    <row r="153" spans="1:43" s="1" customFormat="1" ht="17.649999999999999">
      <c r="A153" s="2" t="s">
        <v>2941</v>
      </c>
      <c r="B153" s="2"/>
      <c r="AG153" s="923"/>
      <c r="AI153" s="923"/>
    </row>
    <row r="155" spans="1:43" ht="15.4">
      <c r="C155" s="925" t="s">
        <v>1536</v>
      </c>
      <c r="D155" s="925" t="s">
        <v>1554</v>
      </c>
      <c r="E155" s="926" t="s">
        <v>2140</v>
      </c>
      <c r="AB155" s="93">
        <f>'8.1_Satisfacton_Survey'!AE13</f>
        <v>0</v>
      </c>
      <c r="AC155" s="93">
        <f>'8.1_Satisfacton_Survey'!AF13</f>
        <v>0</v>
      </c>
      <c r="AD155" s="93">
        <f>'8.1_Satisfacton_Survey'!AG13</f>
        <v>0</v>
      </c>
      <c r="AE155" s="93">
        <f>'8.1_Satisfacton_Survey'!AH13</f>
        <v>0</v>
      </c>
      <c r="AF155" s="93">
        <f>'8.1_Satisfacton_Survey'!AI13</f>
        <v>0</v>
      </c>
      <c r="AG155" s="436" t="s">
        <v>3028</v>
      </c>
      <c r="AI155" s="436" t="s">
        <v>3173</v>
      </c>
      <c r="AM155" s="436" t="s">
        <v>3047</v>
      </c>
    </row>
    <row r="156" spans="1:43">
      <c r="C156" s="925"/>
      <c r="D156" s="925"/>
      <c r="E156" s="926"/>
    </row>
    <row r="157" spans="1:43">
      <c r="C157" s="925" t="s">
        <v>1538</v>
      </c>
      <c r="D157" s="925" t="s">
        <v>2174</v>
      </c>
      <c r="E157" s="925"/>
      <c r="F157" s="925"/>
      <c r="G157" s="925" t="s">
        <v>2173</v>
      </c>
      <c r="AB157" s="81">
        <f>'8.3 Environmental Scorecard'!H31</f>
        <v>0</v>
      </c>
      <c r="AC157" s="81">
        <f>'8.3 Environmental Scorecard'!O31</f>
        <v>0</v>
      </c>
      <c r="AD157" s="81">
        <f>'8.3 Environmental Scorecard'!V31</f>
        <v>0</v>
      </c>
      <c r="AE157" s="81">
        <f>'8.3 Environmental Scorecard'!AC31</f>
        <v>0</v>
      </c>
      <c r="AF157" s="81">
        <f>'8.3 Environmental Scorecard'!AJ31</f>
        <v>0</v>
      </c>
      <c r="AG157" s="436" t="s">
        <v>3040</v>
      </c>
      <c r="AI157" s="436" t="s">
        <v>3174</v>
      </c>
      <c r="AM157" s="436" t="s">
        <v>3047</v>
      </c>
    </row>
    <row r="158" spans="1:43">
      <c r="C158" s="925" t="s">
        <v>1538</v>
      </c>
      <c r="D158" s="925" t="s">
        <v>2188</v>
      </c>
      <c r="E158" s="925"/>
      <c r="F158" s="925"/>
      <c r="G158" s="925" t="s">
        <v>2173</v>
      </c>
      <c r="AB158" s="81">
        <f>'8.3 Environmental Scorecard'!H44</f>
        <v>0</v>
      </c>
      <c r="AC158" s="81">
        <f>'8.3 Environmental Scorecard'!O44</f>
        <v>0</v>
      </c>
      <c r="AD158" s="81">
        <f>'8.3 Environmental Scorecard'!V44</f>
        <v>0</v>
      </c>
      <c r="AE158" s="81">
        <f>'8.3 Environmental Scorecard'!AC44</f>
        <v>0</v>
      </c>
      <c r="AF158" s="81">
        <f>'8.3 Environmental Scorecard'!AJ44</f>
        <v>0</v>
      </c>
      <c r="AG158" s="436" t="s">
        <v>3049</v>
      </c>
      <c r="AI158" s="436" t="s">
        <v>3174</v>
      </c>
      <c r="AM158" s="436" t="s">
        <v>3047</v>
      </c>
    </row>
    <row r="159" spans="1:43">
      <c r="C159" s="925" t="s">
        <v>1538</v>
      </c>
      <c r="D159" s="925" t="s">
        <v>2200</v>
      </c>
      <c r="E159" s="925"/>
      <c r="F159" s="925"/>
      <c r="G159" s="925" t="s">
        <v>1646</v>
      </c>
      <c r="H159" s="1137"/>
      <c r="AB159" s="81">
        <f>'8.3 Environmental Scorecard'!E80</f>
        <v>0</v>
      </c>
      <c r="AC159" s="81">
        <f>'8.3 Environmental Scorecard'!L80</f>
        <v>0</v>
      </c>
      <c r="AD159" s="81">
        <f>'8.3 Environmental Scorecard'!S80</f>
        <v>0</v>
      </c>
      <c r="AE159" s="81">
        <f>'8.3 Environmental Scorecard'!Z80</f>
        <v>0</v>
      </c>
      <c r="AF159" s="81">
        <f>'8.3 Environmental Scorecard'!AG80</f>
        <v>0</v>
      </c>
      <c r="AG159" s="436" t="s">
        <v>3050</v>
      </c>
      <c r="AI159" s="436" t="s">
        <v>3174</v>
      </c>
      <c r="AM159" s="436" t="s">
        <v>3047</v>
      </c>
    </row>
    <row r="160" spans="1:43">
      <c r="C160" s="925" t="s">
        <v>1538</v>
      </c>
      <c r="D160" s="925" t="s">
        <v>2201</v>
      </c>
      <c r="E160" s="925"/>
      <c r="F160" s="925"/>
      <c r="G160" s="925" t="s">
        <v>1646</v>
      </c>
      <c r="H160" s="1137"/>
      <c r="AB160" s="81">
        <f>'8.3 Environmental Scorecard'!G78+'8.3 Environmental Scorecard'!G115</f>
        <v>0</v>
      </c>
      <c r="AC160" s="81">
        <f>'8.3 Environmental Scorecard'!N78+'8.3 Environmental Scorecard'!N115</f>
        <v>0</v>
      </c>
      <c r="AD160" s="81">
        <f>'8.3 Environmental Scorecard'!U78+'8.3 Environmental Scorecard'!U115</f>
        <v>0</v>
      </c>
      <c r="AE160" s="81">
        <f>'8.3 Environmental Scorecard'!AB78+'8.3 Environmental Scorecard'!AB115</f>
        <v>0</v>
      </c>
      <c r="AF160" s="81">
        <f>'8.3 Environmental Scorecard'!AI78+'8.3 Environmental Scorecard'!AI115</f>
        <v>0</v>
      </c>
      <c r="AG160" s="436" t="s">
        <v>3051</v>
      </c>
      <c r="AI160" s="436" t="s">
        <v>3174</v>
      </c>
      <c r="AM160" s="436" t="s">
        <v>3047</v>
      </c>
    </row>
    <row r="161" spans="1:39">
      <c r="C161" s="925" t="s">
        <v>1538</v>
      </c>
      <c r="D161" s="925" t="s">
        <v>2215</v>
      </c>
      <c r="E161" s="925"/>
      <c r="F161" s="925"/>
      <c r="G161" s="925" t="s">
        <v>1646</v>
      </c>
      <c r="AB161" s="81">
        <f>'8.3 Environmental Scorecard'!E115</f>
        <v>0</v>
      </c>
      <c r="AC161" s="81">
        <f>'8.3 Environmental Scorecard'!L115</f>
        <v>0</v>
      </c>
      <c r="AD161" s="81">
        <f>'8.3 Environmental Scorecard'!S115</f>
        <v>0</v>
      </c>
      <c r="AE161" s="81">
        <f>'8.3 Environmental Scorecard'!Z115</f>
        <v>0</v>
      </c>
      <c r="AF161" s="81">
        <f>'8.3 Environmental Scorecard'!AG115</f>
        <v>0</v>
      </c>
      <c r="AG161" s="436" t="s">
        <v>3052</v>
      </c>
      <c r="AI161" s="436" t="s">
        <v>3174</v>
      </c>
      <c r="AM161" s="436" t="s">
        <v>3047</v>
      </c>
    </row>
    <row r="162" spans="1:39">
      <c r="C162" s="925" t="s">
        <v>1538</v>
      </c>
      <c r="D162" s="925" t="s">
        <v>2228</v>
      </c>
      <c r="E162" s="925"/>
      <c r="F162" s="925"/>
      <c r="G162" s="925" t="s">
        <v>3048</v>
      </c>
      <c r="AB162" s="81">
        <f>'8.3 Environmental Scorecard'!E130</f>
        <v>0</v>
      </c>
      <c r="AC162" s="81">
        <f>'8.3 Environmental Scorecard'!L130</f>
        <v>0</v>
      </c>
      <c r="AD162" s="81">
        <f>'8.3 Environmental Scorecard'!S130</f>
        <v>0</v>
      </c>
      <c r="AE162" s="81">
        <f>'8.3 Environmental Scorecard'!Z130</f>
        <v>0</v>
      </c>
      <c r="AF162" s="81">
        <f>'8.3 Environmental Scorecard'!AG130</f>
        <v>0</v>
      </c>
      <c r="AG162" s="436" t="s">
        <v>3053</v>
      </c>
      <c r="AI162" s="436" t="s">
        <v>3174</v>
      </c>
      <c r="AM162" s="436" t="s">
        <v>3047</v>
      </c>
    </row>
    <row r="163" spans="1:39">
      <c r="C163" s="925" t="s">
        <v>1538</v>
      </c>
      <c r="D163" s="925" t="s">
        <v>2245</v>
      </c>
      <c r="E163" s="925"/>
      <c r="F163" s="925"/>
      <c r="G163" s="925" t="s">
        <v>1404</v>
      </c>
      <c r="AB163" s="81">
        <f>'8.3 Environmental Scorecard'!E204</f>
        <v>0</v>
      </c>
      <c r="AC163" s="81">
        <f>'8.3 Environmental Scorecard'!R204</f>
        <v>0</v>
      </c>
      <c r="AD163" s="81">
        <f>'8.3 Environmental Scorecard'!AE204</f>
        <v>0</v>
      </c>
      <c r="AE163" s="81">
        <f>'8.3 Environmental Scorecard'!AR204</f>
        <v>0</v>
      </c>
      <c r="AF163" s="81">
        <f>'8.3 Environmental Scorecard'!BE204</f>
        <v>0</v>
      </c>
      <c r="AG163" s="436" t="s">
        <v>3054</v>
      </c>
      <c r="AI163" s="436" t="s">
        <v>3174</v>
      </c>
      <c r="AM163" s="436" t="s">
        <v>3047</v>
      </c>
    </row>
    <row r="164" spans="1:39">
      <c r="C164" s="925" t="s">
        <v>1538</v>
      </c>
      <c r="D164" s="925" t="s">
        <v>2247</v>
      </c>
      <c r="E164" s="925"/>
      <c r="F164" s="925"/>
      <c r="G164" s="925" t="s">
        <v>1404</v>
      </c>
      <c r="AB164" s="81">
        <f>'8.3 Environmental Scorecard'!E205</f>
        <v>0</v>
      </c>
      <c r="AC164" s="81">
        <f>'8.3 Environmental Scorecard'!R205</f>
        <v>0</v>
      </c>
      <c r="AD164" s="81">
        <f>'8.3 Environmental Scorecard'!AE205</f>
        <v>0</v>
      </c>
      <c r="AE164" s="81">
        <f>'8.3 Environmental Scorecard'!AR205</f>
        <v>0</v>
      </c>
      <c r="AF164" s="81">
        <f>'8.3 Environmental Scorecard'!BE205</f>
        <v>0</v>
      </c>
      <c r="AG164" s="436" t="s">
        <v>3055</v>
      </c>
      <c r="AI164" s="436" t="s">
        <v>3174</v>
      </c>
      <c r="AM164" s="436" t="s">
        <v>3047</v>
      </c>
    </row>
    <row r="165" spans="1:39">
      <c r="C165" s="925" t="s">
        <v>1538</v>
      </c>
      <c r="D165" s="925" t="s">
        <v>2268</v>
      </c>
      <c r="E165" s="925"/>
      <c r="F165" s="925"/>
      <c r="G165" s="925" t="s">
        <v>2947</v>
      </c>
      <c r="AB165" s="81">
        <v>32920000</v>
      </c>
      <c r="AC165" s="81"/>
      <c r="AD165" s="81"/>
      <c r="AE165" s="81"/>
      <c r="AF165" s="81"/>
      <c r="AG165" s="436" t="s">
        <v>3056</v>
      </c>
      <c r="AI165" s="436" t="s">
        <v>3175</v>
      </c>
      <c r="AM165" s="436" t="s">
        <v>3047</v>
      </c>
    </row>
    <row r="167" spans="1:39" s="1" customFormat="1" ht="17.649999999999999">
      <c r="A167" s="2" t="s">
        <v>2949</v>
      </c>
      <c r="B167" s="2"/>
      <c r="AG167" s="923"/>
      <c r="AI167" s="923"/>
    </row>
    <row r="169" spans="1:39" ht="15.4">
      <c r="C169" s="435" t="s">
        <v>1966</v>
      </c>
      <c r="E169" s="928" t="s">
        <v>1968</v>
      </c>
      <c r="F169" s="695" t="s">
        <v>1967</v>
      </c>
      <c r="G169" s="435" t="s">
        <v>2947</v>
      </c>
      <c r="AB169" s="81"/>
      <c r="AC169" s="81"/>
      <c r="AD169" s="81"/>
      <c r="AE169" s="81"/>
      <c r="AF169" s="81"/>
      <c r="AI169" s="436" t="s">
        <v>3161</v>
      </c>
      <c r="AM169" s="436" t="s">
        <v>3047</v>
      </c>
    </row>
    <row r="170" spans="1:39">
      <c r="D170" s="58"/>
      <c r="E170" s="58"/>
      <c r="AM170" s="436" t="s">
        <v>3047</v>
      </c>
    </row>
    <row r="171" spans="1:39" ht="15.4">
      <c r="C171" s="57" t="s">
        <v>2296</v>
      </c>
      <c r="D171" s="927" t="s">
        <v>2297</v>
      </c>
      <c r="E171" s="929" t="s">
        <v>2298</v>
      </c>
      <c r="F171" s="693" t="s">
        <v>1961</v>
      </c>
      <c r="G171" s="435" t="s">
        <v>2947</v>
      </c>
      <c r="AB171" s="93">
        <f>'8.6 NIA'!AI34</f>
        <v>0</v>
      </c>
      <c r="AC171" s="93">
        <f>'8.6 NIA'!AJ34</f>
        <v>0</v>
      </c>
      <c r="AD171" s="93">
        <f>'8.6 NIA'!AK34</f>
        <v>0</v>
      </c>
      <c r="AE171" s="93">
        <f>'8.6 NIA'!AL34</f>
        <v>0</v>
      </c>
      <c r="AF171" s="93">
        <f>'8.6 NIA'!AM34</f>
        <v>0</v>
      </c>
      <c r="AI171" s="436" t="s">
        <v>3158</v>
      </c>
      <c r="AM171" s="436" t="s">
        <v>3047</v>
      </c>
    </row>
    <row r="172" spans="1:39" ht="15.4">
      <c r="C172" s="57" t="s">
        <v>2296</v>
      </c>
      <c r="D172" s="927" t="s">
        <v>2302</v>
      </c>
      <c r="E172" s="929" t="s">
        <v>2303</v>
      </c>
      <c r="F172" s="693" t="s">
        <v>1961</v>
      </c>
      <c r="G172" s="435" t="s">
        <v>2947</v>
      </c>
      <c r="AB172" s="93" t="str">
        <f>'8.6 NIA'!AI52</f>
        <v>O</v>
      </c>
      <c r="AI172" s="436" t="s">
        <v>3158</v>
      </c>
      <c r="AM172" s="436" t="s">
        <v>3047</v>
      </c>
    </row>
    <row r="173" spans="1:39">
      <c r="D173" s="58"/>
      <c r="E173" s="58"/>
      <c r="AM173" s="436" t="s">
        <v>3047</v>
      </c>
    </row>
    <row r="174" spans="1:39">
      <c r="C174" s="435" t="s">
        <v>2306</v>
      </c>
      <c r="D174" s="435" t="s">
        <v>2307</v>
      </c>
      <c r="E174" s="58" t="s">
        <v>2942</v>
      </c>
      <c r="F174" s="435" t="s">
        <v>1964</v>
      </c>
      <c r="G174" s="435" t="s">
        <v>2948</v>
      </c>
      <c r="AB174" s="93">
        <f>'8.8 CNIA'!AI21</f>
        <v>0</v>
      </c>
      <c r="AC174" s="436" t="s">
        <v>2942</v>
      </c>
      <c r="AI174" s="436" t="s">
        <v>3164</v>
      </c>
      <c r="AM174" s="436" t="s">
        <v>3047</v>
      </c>
    </row>
    <row r="175" spans="1:39">
      <c r="C175" s="435" t="s">
        <v>2306</v>
      </c>
      <c r="D175" s="435" t="s">
        <v>1783</v>
      </c>
      <c r="E175" s="58" t="s">
        <v>2311</v>
      </c>
      <c r="F175" s="435" t="s">
        <v>1964</v>
      </c>
      <c r="G175" s="435" t="s">
        <v>2948</v>
      </c>
      <c r="AB175" s="93">
        <f>'8.8 CNIA'!AI29</f>
        <v>0</v>
      </c>
      <c r="AC175" s="436" t="s">
        <v>2311</v>
      </c>
      <c r="AI175" s="436" t="s">
        <v>3164</v>
      </c>
      <c r="AM175" s="436" t="s">
        <v>3047</v>
      </c>
    </row>
    <row r="176" spans="1:39">
      <c r="C176" s="435" t="s">
        <v>2306</v>
      </c>
      <c r="D176" s="435" t="s">
        <v>2313</v>
      </c>
      <c r="E176" s="58" t="s">
        <v>2943</v>
      </c>
      <c r="F176" s="435" t="s">
        <v>1964</v>
      </c>
      <c r="G176" s="435" t="s">
        <v>2948</v>
      </c>
      <c r="AB176" s="93">
        <f>'8.8 CNIA'!AI33</f>
        <v>0</v>
      </c>
      <c r="AC176" s="436" t="s">
        <v>2943</v>
      </c>
      <c r="AI176" s="436" t="s">
        <v>3164</v>
      </c>
      <c r="AM176" s="436" t="s">
        <v>3047</v>
      </c>
    </row>
    <row r="177" spans="1:39">
      <c r="C177" s="435" t="s">
        <v>2306</v>
      </c>
      <c r="E177" s="58" t="s">
        <v>2944</v>
      </c>
      <c r="F177" s="435" t="s">
        <v>1964</v>
      </c>
      <c r="G177" s="435" t="s">
        <v>2948</v>
      </c>
      <c r="AB177" s="93">
        <f>'8.8 CNIA'!AI34</f>
        <v>0</v>
      </c>
      <c r="AC177" s="436" t="s">
        <v>2944</v>
      </c>
      <c r="AI177" s="436" t="s">
        <v>3164</v>
      </c>
      <c r="AM177" s="436" t="s">
        <v>3047</v>
      </c>
    </row>
    <row r="178" spans="1:39">
      <c r="C178" s="435" t="s">
        <v>2306</v>
      </c>
      <c r="E178" s="58" t="s">
        <v>2945</v>
      </c>
      <c r="F178" s="435" t="s">
        <v>1964</v>
      </c>
      <c r="G178" s="435" t="s">
        <v>2948</v>
      </c>
      <c r="AB178" s="93">
        <f>'8.8 CNIA'!AI35</f>
        <v>0</v>
      </c>
      <c r="AC178" s="436" t="s">
        <v>2945</v>
      </c>
      <c r="AI178" s="436" t="s">
        <v>3164</v>
      </c>
      <c r="AM178" s="436" t="s">
        <v>3047</v>
      </c>
    </row>
    <row r="179" spans="1:39">
      <c r="C179" s="435" t="s">
        <v>2306</v>
      </c>
      <c r="E179" s="58" t="s">
        <v>2946</v>
      </c>
      <c r="F179" s="435" t="s">
        <v>1964</v>
      </c>
      <c r="G179" s="435" t="s">
        <v>2948</v>
      </c>
      <c r="AB179" s="93">
        <f>'8.8 CNIA'!AI36</f>
        <v>0</v>
      </c>
      <c r="AC179" s="436" t="s">
        <v>2946</v>
      </c>
      <c r="AI179" s="436" t="s">
        <v>3164</v>
      </c>
      <c r="AM179" s="436" t="s">
        <v>3047</v>
      </c>
    </row>
    <row r="181" spans="1:39" s="1" customFormat="1" ht="17.649999999999999">
      <c r="A181" s="2" t="s">
        <v>2950</v>
      </c>
      <c r="B181" s="2"/>
      <c r="AG181" s="923"/>
      <c r="AI181" s="923"/>
    </row>
    <row r="183" spans="1:39" s="1289" customFormat="1">
      <c r="B183" s="1291"/>
      <c r="AG183" s="1290"/>
      <c r="AI183" s="1290"/>
    </row>
    <row r="185" spans="1:39" ht="15.4">
      <c r="C185" s="1284" t="s">
        <v>2332</v>
      </c>
      <c r="D185" s="1284" t="s">
        <v>1560</v>
      </c>
      <c r="E185" s="950" t="s">
        <v>2008</v>
      </c>
      <c r="F185" s="1017" t="s">
        <v>1558</v>
      </c>
      <c r="AB185" s="93">
        <f>'8.4 Gas_contraints'!F35</f>
        <v>0</v>
      </c>
      <c r="AC185" s="81"/>
      <c r="AD185" s="81"/>
      <c r="AE185" s="81"/>
      <c r="AF185" s="81"/>
      <c r="AI185" s="436" t="s">
        <v>3157</v>
      </c>
      <c r="AM185" s="436" t="s">
        <v>3047</v>
      </c>
    </row>
    <row r="186" spans="1:39" ht="15.4">
      <c r="C186" s="1284" t="s">
        <v>2332</v>
      </c>
      <c r="D186" s="1284" t="s">
        <v>1575</v>
      </c>
      <c r="E186" s="1335" t="s">
        <v>2334</v>
      </c>
      <c r="F186" s="1017" t="s">
        <v>1558</v>
      </c>
      <c r="AI186" s="96" t="s">
        <v>3171</v>
      </c>
      <c r="AM186" s="436" t="s">
        <v>3047</v>
      </c>
    </row>
    <row r="187" spans="1:39" ht="15.4">
      <c r="C187" s="1284" t="s">
        <v>2332</v>
      </c>
      <c r="D187" s="1284" t="s">
        <v>1576</v>
      </c>
      <c r="E187" s="1335" t="s">
        <v>2335</v>
      </c>
      <c r="F187" s="1017" t="s">
        <v>1558</v>
      </c>
      <c r="AI187" s="96" t="s">
        <v>3171</v>
      </c>
      <c r="AM187" s="436" t="s">
        <v>3047</v>
      </c>
    </row>
    <row r="188" spans="1:39" ht="15.4">
      <c r="C188" s="1284" t="s">
        <v>2332</v>
      </c>
      <c r="D188" s="1284" t="s">
        <v>1578</v>
      </c>
      <c r="E188" s="1337" t="s">
        <v>2337</v>
      </c>
      <c r="F188" s="1017" t="s">
        <v>1558</v>
      </c>
      <c r="AB188" s="93">
        <f>'8.4 Gas_contraints'!G8</f>
        <v>0</v>
      </c>
      <c r="AC188" s="81"/>
      <c r="AD188" s="81"/>
      <c r="AE188" s="81"/>
      <c r="AF188" s="81"/>
      <c r="AI188" s="436" t="s">
        <v>3157</v>
      </c>
      <c r="AM188" s="436" t="s">
        <v>3047</v>
      </c>
    </row>
    <row r="189" spans="1:39" ht="15.4">
      <c r="C189" s="1284" t="s">
        <v>2332</v>
      </c>
      <c r="D189" s="1284" t="s">
        <v>1559</v>
      </c>
      <c r="E189" s="950" t="s">
        <v>2006</v>
      </c>
      <c r="F189" s="1017" t="s">
        <v>1558</v>
      </c>
      <c r="AB189" s="93">
        <f>'8.4 Gas_contraints'!G10</f>
        <v>0</v>
      </c>
      <c r="AC189" s="81"/>
      <c r="AD189" s="81"/>
      <c r="AE189" s="81"/>
      <c r="AF189" s="81"/>
      <c r="AI189" s="436" t="s">
        <v>3157</v>
      </c>
      <c r="AM189" s="436" t="s">
        <v>3047</v>
      </c>
    </row>
    <row r="190" spans="1:39" ht="15.4">
      <c r="C190" s="1284" t="s">
        <v>2332</v>
      </c>
      <c r="D190" s="1284" t="s">
        <v>1579</v>
      </c>
      <c r="E190" s="950" t="s">
        <v>2338</v>
      </c>
      <c r="F190" s="1017" t="s">
        <v>1558</v>
      </c>
      <c r="AB190" s="93">
        <f>'8.4 Gas_contraints'!G14</f>
        <v>0</v>
      </c>
      <c r="AC190" s="81"/>
      <c r="AD190" s="81"/>
      <c r="AE190" s="81"/>
      <c r="AF190" s="81"/>
      <c r="AI190" s="436" t="s">
        <v>3157</v>
      </c>
      <c r="AM190" s="436" t="s">
        <v>3047</v>
      </c>
    </row>
    <row r="191" spans="1:39" ht="15.4">
      <c r="C191" s="1284" t="s">
        <v>2332</v>
      </c>
      <c r="D191" s="1284" t="s">
        <v>1580</v>
      </c>
      <c r="E191" s="1335" t="s">
        <v>2339</v>
      </c>
      <c r="F191" s="1017" t="s">
        <v>1558</v>
      </c>
      <c r="AI191" s="96" t="s">
        <v>3171</v>
      </c>
      <c r="AM191" s="436" t="s">
        <v>3047</v>
      </c>
    </row>
    <row r="192" spans="1:39" ht="14.65">
      <c r="C192" s="1284" t="s">
        <v>2332</v>
      </c>
      <c r="D192" s="1284" t="s">
        <v>1582</v>
      </c>
      <c r="E192" s="950" t="s">
        <v>2341</v>
      </c>
      <c r="F192" s="1017" t="s">
        <v>1558</v>
      </c>
      <c r="AB192" s="93">
        <f>'8.4 Gas_contraints'!G15</f>
        <v>0</v>
      </c>
      <c r="AC192" s="81"/>
      <c r="AD192" s="81"/>
      <c r="AE192" s="81"/>
      <c r="AF192" s="81"/>
      <c r="AI192" s="436" t="s">
        <v>3157</v>
      </c>
      <c r="AM192" s="436" t="s">
        <v>3047</v>
      </c>
    </row>
    <row r="193" spans="2:39" ht="15.4">
      <c r="C193" s="1284" t="s">
        <v>2332</v>
      </c>
      <c r="D193" s="1284" t="s">
        <v>1583</v>
      </c>
      <c r="E193" s="1335" t="s">
        <v>2342</v>
      </c>
      <c r="F193" s="1017" t="s">
        <v>1558</v>
      </c>
      <c r="AI193" s="96" t="s">
        <v>3171</v>
      </c>
      <c r="AM193" s="436" t="s">
        <v>3047</v>
      </c>
    </row>
    <row r="194" spans="2:39" ht="15.4">
      <c r="C194" s="1284" t="s">
        <v>2332</v>
      </c>
      <c r="D194" s="1284" t="s">
        <v>1584</v>
      </c>
      <c r="E194" s="950" t="s">
        <v>2343</v>
      </c>
      <c r="F194" s="1017" t="s">
        <v>1558</v>
      </c>
      <c r="AB194" s="93">
        <f>'8.4 Gas_contraints'!G17</f>
        <v>0</v>
      </c>
      <c r="AC194" s="81"/>
      <c r="AD194" s="81"/>
      <c r="AE194" s="81"/>
      <c r="AF194" s="81"/>
      <c r="AI194" s="436" t="s">
        <v>3157</v>
      </c>
      <c r="AM194" s="436" t="s">
        <v>3047</v>
      </c>
    </row>
    <row r="196" spans="2:39" ht="15.4">
      <c r="C196" s="1287" t="s">
        <v>2951</v>
      </c>
      <c r="D196" s="1287" t="s">
        <v>1586</v>
      </c>
      <c r="E196" s="1336" t="s">
        <v>2347</v>
      </c>
      <c r="F196" s="1017" t="s">
        <v>1558</v>
      </c>
      <c r="G196" s="1212" t="s">
        <v>1587</v>
      </c>
      <c r="AI196" s="96" t="s">
        <v>3171</v>
      </c>
      <c r="AM196" s="436" t="s">
        <v>3047</v>
      </c>
    </row>
    <row r="197" spans="2:39" ht="15.4">
      <c r="C197" s="1287" t="s">
        <v>2951</v>
      </c>
      <c r="D197" s="1287" t="s">
        <v>1588</v>
      </c>
      <c r="E197" s="1336" t="s">
        <v>2349</v>
      </c>
      <c r="F197" s="1017" t="s">
        <v>1558</v>
      </c>
      <c r="G197" s="1212" t="s">
        <v>1587</v>
      </c>
      <c r="AI197" s="96" t="s">
        <v>3171</v>
      </c>
      <c r="AM197" s="436" t="s">
        <v>3047</v>
      </c>
    </row>
    <row r="198" spans="2:39">
      <c r="C198" s="1288"/>
      <c r="D198" s="1288"/>
      <c r="E198" s="1286"/>
    </row>
    <row r="199" spans="2:39" ht="15.4">
      <c r="C199" s="1287" t="s">
        <v>2952</v>
      </c>
      <c r="D199" s="1287" t="s">
        <v>1590</v>
      </c>
      <c r="E199" s="1336" t="s">
        <v>2353</v>
      </c>
      <c r="F199" s="1017" t="s">
        <v>1558</v>
      </c>
      <c r="G199" s="1212" t="s">
        <v>1587</v>
      </c>
      <c r="AI199" s="96" t="s">
        <v>3171</v>
      </c>
      <c r="AM199" s="436" t="s">
        <v>3047</v>
      </c>
    </row>
    <row r="200" spans="2:39" ht="15.4">
      <c r="C200" s="1287" t="s">
        <v>2952</v>
      </c>
      <c r="D200" s="1287" t="s">
        <v>1591</v>
      </c>
      <c r="E200" s="1336" t="s">
        <v>2354</v>
      </c>
      <c r="F200" s="1017" t="s">
        <v>1558</v>
      </c>
      <c r="G200" s="1212" t="s">
        <v>1587</v>
      </c>
      <c r="AI200" s="96" t="s">
        <v>3171</v>
      </c>
      <c r="AM200" s="436" t="s">
        <v>3047</v>
      </c>
    </row>
    <row r="201" spans="2:39">
      <c r="C201" s="1288"/>
      <c r="D201" s="1288"/>
      <c r="E201" s="1286"/>
    </row>
    <row r="202" spans="2:39" ht="15.4">
      <c r="C202" s="1287" t="s">
        <v>2953</v>
      </c>
      <c r="D202" s="1287" t="s">
        <v>1593</v>
      </c>
      <c r="E202" s="1285" t="s">
        <v>2357</v>
      </c>
      <c r="F202" s="1017" t="s">
        <v>1558</v>
      </c>
      <c r="G202" s="1212" t="s">
        <v>2</v>
      </c>
      <c r="AB202" s="93">
        <f>'8.4 Gas_contraints'!F26</f>
        <v>0</v>
      </c>
      <c r="AC202" s="81"/>
      <c r="AD202" s="81"/>
      <c r="AE202" s="81"/>
      <c r="AF202" s="81"/>
      <c r="AI202" s="436" t="s">
        <v>3157</v>
      </c>
      <c r="AM202" s="436" t="s">
        <v>3047</v>
      </c>
    </row>
    <row r="203" spans="2:39" ht="15.4">
      <c r="C203" s="1287" t="s">
        <v>2953</v>
      </c>
      <c r="D203" s="1287" t="s">
        <v>1594</v>
      </c>
      <c r="E203" s="1285" t="s">
        <v>2358</v>
      </c>
      <c r="F203" s="1017" t="s">
        <v>1558</v>
      </c>
      <c r="G203" s="1212" t="s">
        <v>2</v>
      </c>
      <c r="AB203" s="93">
        <f>'8.4 Gas_contraints'!F29</f>
        <v>0</v>
      </c>
      <c r="AC203" s="81"/>
      <c r="AD203" s="81"/>
      <c r="AE203" s="81"/>
      <c r="AF203" s="81"/>
      <c r="AI203" s="436" t="s">
        <v>3157</v>
      </c>
      <c r="AM203" s="436" t="s">
        <v>3047</v>
      </c>
    </row>
    <row r="204" spans="2:39">
      <c r="C204" s="1288"/>
      <c r="D204" s="1288"/>
      <c r="E204" s="1286"/>
    </row>
    <row r="205" spans="2:39" ht="15.4">
      <c r="C205" s="1287" t="s">
        <v>2954</v>
      </c>
      <c r="D205" s="1287" t="s">
        <v>1596</v>
      </c>
      <c r="E205" s="1285" t="s">
        <v>2361</v>
      </c>
      <c r="F205" s="1017" t="s">
        <v>1558</v>
      </c>
      <c r="G205" s="1212" t="s">
        <v>2</v>
      </c>
      <c r="AB205" s="93">
        <f>'8.4 Gas_contraints'!F36</f>
        <v>0</v>
      </c>
      <c r="AC205" s="81"/>
      <c r="AD205" s="81"/>
      <c r="AE205" s="81"/>
      <c r="AF205" s="81"/>
      <c r="AI205" s="436" t="s">
        <v>3157</v>
      </c>
      <c r="AM205" s="436" t="s">
        <v>3047</v>
      </c>
    </row>
    <row r="206" spans="2:39" ht="15.4">
      <c r="C206" s="1287" t="s">
        <v>2954</v>
      </c>
      <c r="D206" s="1287" t="s">
        <v>1597</v>
      </c>
      <c r="E206" s="1285" t="s">
        <v>2362</v>
      </c>
      <c r="F206" s="1017" t="s">
        <v>1558</v>
      </c>
      <c r="G206" s="1212" t="s">
        <v>2</v>
      </c>
      <c r="AB206" s="93">
        <f>'8.4 Gas_contraints'!F37</f>
        <v>0</v>
      </c>
      <c r="AC206" s="81"/>
      <c r="AD206" s="81"/>
      <c r="AE206" s="81"/>
      <c r="AF206" s="81"/>
      <c r="AI206" s="436" t="s">
        <v>3157</v>
      </c>
      <c r="AM206" s="436" t="s">
        <v>3047</v>
      </c>
    </row>
    <row r="207" spans="2:39">
      <c r="C207" s="1288"/>
      <c r="D207" s="1288"/>
      <c r="E207" s="1286"/>
    </row>
    <row r="208" spans="2:39" s="1289" customFormat="1">
      <c r="B208" s="1291"/>
      <c r="AG208" s="1290"/>
      <c r="AI208" s="1290"/>
    </row>
    <row r="210" spans="2:39" ht="15.4">
      <c r="C210" s="435" t="s">
        <v>2955</v>
      </c>
      <c r="D210" s="1284" t="s">
        <v>1604</v>
      </c>
      <c r="E210" s="950" t="s">
        <v>2371</v>
      </c>
      <c r="F210" s="1017" t="s">
        <v>1603</v>
      </c>
      <c r="G210" s="952" t="s">
        <v>1428</v>
      </c>
      <c r="AB210" s="93">
        <f>'9.1_Operating_margins'!C23</f>
        <v>0</v>
      </c>
      <c r="AC210" s="81"/>
      <c r="AD210" s="81"/>
      <c r="AE210" s="81"/>
      <c r="AF210" s="81"/>
      <c r="AI210" s="436" t="s">
        <v>3156</v>
      </c>
      <c r="AM210" s="436" t="s">
        <v>3047</v>
      </c>
    </row>
    <row r="212" spans="2:39" s="1289" customFormat="1">
      <c r="B212" s="1291"/>
      <c r="AG212" s="1290"/>
      <c r="AI212" s="1290"/>
    </row>
    <row r="214" spans="2:39">
      <c r="C214" s="435" t="s">
        <v>1612</v>
      </c>
      <c r="D214" s="1284" t="s">
        <v>1613</v>
      </c>
      <c r="E214" s="950" t="s">
        <v>1614</v>
      </c>
      <c r="F214" s="1017" t="s">
        <v>1603</v>
      </c>
      <c r="G214" s="1007" t="s">
        <v>2</v>
      </c>
      <c r="AB214" s="81"/>
      <c r="AC214" s="81"/>
      <c r="AD214" s="81"/>
      <c r="AE214" s="81"/>
      <c r="AF214" s="81"/>
      <c r="AI214" s="1330" t="s">
        <v>3165</v>
      </c>
      <c r="AM214" s="436" t="s">
        <v>3047</v>
      </c>
    </row>
    <row r="215" spans="2:39">
      <c r="C215" s="435" t="s">
        <v>1612</v>
      </c>
      <c r="D215" s="1284" t="s">
        <v>1615</v>
      </c>
      <c r="E215" s="950" t="s">
        <v>1616</v>
      </c>
      <c r="F215" s="1017" t="s">
        <v>1603</v>
      </c>
      <c r="G215" s="1007" t="s">
        <v>2</v>
      </c>
      <c r="AB215" s="81"/>
      <c r="AC215" s="81"/>
      <c r="AD215" s="81"/>
      <c r="AE215" s="81"/>
      <c r="AF215" s="81"/>
      <c r="AI215" s="1330" t="s">
        <v>3165</v>
      </c>
      <c r="AM215" s="436" t="s">
        <v>3047</v>
      </c>
    </row>
    <row r="217" spans="2:39" s="1289" customFormat="1">
      <c r="B217" s="1291"/>
      <c r="AG217" s="1290"/>
      <c r="AI217" s="1290"/>
    </row>
    <row r="219" spans="2:39" ht="15" customHeight="1">
      <c r="C219" s="435" t="s">
        <v>1621</v>
      </c>
      <c r="D219" s="435" t="s">
        <v>1622</v>
      </c>
      <c r="E219" s="950"/>
      <c r="F219" s="1017" t="s">
        <v>1603</v>
      </c>
      <c r="G219" s="1007" t="s">
        <v>2</v>
      </c>
      <c r="AB219" s="93" t="e">
        <f>'9.6_Res_Bal_Data'!I379</f>
        <v>#DIV/0!</v>
      </c>
      <c r="AC219" s="81"/>
      <c r="AD219" s="81"/>
      <c r="AE219" s="81"/>
      <c r="AF219" s="81"/>
      <c r="AI219" s="1330" t="s">
        <v>2871</v>
      </c>
      <c r="AM219" s="436" t="s">
        <v>3047</v>
      </c>
    </row>
    <row r="220" spans="2:39" ht="15" customHeight="1">
      <c r="C220" s="435" t="s">
        <v>1621</v>
      </c>
      <c r="D220" s="435" t="s">
        <v>1624</v>
      </c>
      <c r="E220" s="950"/>
      <c r="F220" s="1017" t="s">
        <v>1603</v>
      </c>
      <c r="G220" s="1007" t="s">
        <v>2</v>
      </c>
      <c r="AB220" s="93" t="e">
        <f>'9.6_Res_Bal_Data'!N379</f>
        <v>#N/A</v>
      </c>
      <c r="AC220" s="81"/>
      <c r="AD220" s="81"/>
      <c r="AE220" s="81"/>
      <c r="AF220" s="81"/>
      <c r="AI220" s="1330" t="s">
        <v>2871</v>
      </c>
      <c r="AM220" s="436" t="s">
        <v>3047</v>
      </c>
    </row>
    <row r="222" spans="2:39" s="1289" customFormat="1">
      <c r="B222" s="1291"/>
      <c r="AG222" s="1290"/>
      <c r="AI222" s="1290"/>
    </row>
    <row r="224" spans="2:39" ht="15.4">
      <c r="C224" s="435" t="s">
        <v>2956</v>
      </c>
      <c r="D224" s="1284" t="s">
        <v>1208</v>
      </c>
      <c r="E224" s="950" t="s">
        <v>2382</v>
      </c>
      <c r="F224" s="1017" t="s">
        <v>1603</v>
      </c>
      <c r="G224" s="1007" t="s">
        <v>1628</v>
      </c>
      <c r="AB224" s="93">
        <f>SUM('9.7_DF_Overview'!J12:J377)</f>
        <v>0</v>
      </c>
      <c r="AC224" s="81"/>
      <c r="AD224" s="81"/>
      <c r="AE224" s="81"/>
      <c r="AF224" s="81"/>
      <c r="AI224" s="436" t="s">
        <v>3166</v>
      </c>
      <c r="AM224" s="436" t="s">
        <v>3047</v>
      </c>
    </row>
    <row r="225" spans="2:39" ht="15.4">
      <c r="C225" s="435" t="s">
        <v>2956</v>
      </c>
      <c r="D225" s="1284" t="s">
        <v>1632</v>
      </c>
      <c r="E225" s="950" t="s">
        <v>2383</v>
      </c>
      <c r="F225" s="1017" t="s">
        <v>1603</v>
      </c>
      <c r="G225" s="1007" t="s">
        <v>1628</v>
      </c>
      <c r="AB225" s="93" t="e" cm="1" vm="1">
        <f t="array" aca="1" ref="AB225" ca="1">'9.7_DF_Overview'!I12:I377</f>
        <v>#VALUE!</v>
      </c>
      <c r="AC225" s="81"/>
      <c r="AD225" s="81"/>
      <c r="AE225" s="81"/>
      <c r="AF225" s="81"/>
      <c r="AI225" s="436" t="s">
        <v>3166</v>
      </c>
      <c r="AM225" s="436" t="s">
        <v>3047</v>
      </c>
    </row>
    <row r="226" spans="2:39">
      <c r="C226" s="435" t="s">
        <v>2956</v>
      </c>
      <c r="D226" s="1284"/>
      <c r="E226" s="950"/>
      <c r="F226" s="1017" t="s">
        <v>1603</v>
      </c>
      <c r="G226" s="1007"/>
      <c r="AB226" s="81"/>
      <c r="AC226" s="81"/>
      <c r="AD226" s="81"/>
      <c r="AE226" s="81"/>
      <c r="AF226" s="81"/>
      <c r="AI226" s="436" t="s">
        <v>3167</v>
      </c>
      <c r="AM226" s="436" t="s">
        <v>3047</v>
      </c>
    </row>
    <row r="228" spans="2:39" s="1289" customFormat="1">
      <c r="B228" s="1291"/>
      <c r="AG228" s="1290"/>
      <c r="AI228" s="1290"/>
    </row>
    <row r="230" spans="2:39">
      <c r="C230" s="435" t="s">
        <v>2957</v>
      </c>
      <c r="D230" s="435" t="s">
        <v>1636</v>
      </c>
      <c r="E230" s="435" t="s">
        <v>2958</v>
      </c>
      <c r="F230" s="435" t="s">
        <v>1603</v>
      </c>
      <c r="G230" s="435" t="s">
        <v>1628</v>
      </c>
      <c r="AA230" s="93">
        <f>'9.8_DF_Adjustment'!D375</f>
        <v>0</v>
      </c>
      <c r="AI230" s="1330" t="s">
        <v>3168</v>
      </c>
      <c r="AM230" s="436" t="s">
        <v>3047</v>
      </c>
    </row>
    <row r="231" spans="2:39">
      <c r="AI231" s="1330"/>
    </row>
    <row r="232" spans="2:39" ht="15" customHeight="1">
      <c r="C232" s="435" t="s">
        <v>1637</v>
      </c>
      <c r="D232" s="1250" t="s">
        <v>2387</v>
      </c>
      <c r="E232" s="950"/>
      <c r="F232" s="1017" t="s">
        <v>1603</v>
      </c>
      <c r="G232" s="1007" t="s">
        <v>1627</v>
      </c>
      <c r="AA232" s="93">
        <f>SUM('9.8_DF_Adjustment'!C11:C375)</f>
        <v>0</v>
      </c>
      <c r="AB232" s="81"/>
      <c r="AC232" s="81"/>
      <c r="AD232" s="81"/>
      <c r="AE232" s="81"/>
      <c r="AF232" s="81"/>
      <c r="AI232" s="1330" t="s">
        <v>3168</v>
      </c>
      <c r="AM232" s="436" t="s">
        <v>3047</v>
      </c>
    </row>
    <row r="234" spans="2:39" s="1289" customFormat="1">
      <c r="B234" s="1291"/>
      <c r="AG234" s="1290"/>
      <c r="AI234" s="1290"/>
    </row>
    <row r="236" spans="2:39">
      <c r="C236" s="57" t="s">
        <v>2959</v>
      </c>
      <c r="D236" s="1292" t="s">
        <v>1645</v>
      </c>
      <c r="E236" s="435" t="s">
        <v>2960</v>
      </c>
      <c r="F236" s="435" t="s">
        <v>1603</v>
      </c>
      <c r="G236" s="435" t="s">
        <v>1646</v>
      </c>
      <c r="AB236" s="93">
        <f>'9.10_GHG_Incentive revenue'!K23</f>
        <v>0</v>
      </c>
      <c r="AC236" s="81"/>
      <c r="AD236" s="81"/>
      <c r="AE236" s="81"/>
      <c r="AF236" s="81"/>
      <c r="AI236" s="436" t="s">
        <v>3155</v>
      </c>
      <c r="AM236" s="436" t="s">
        <v>3047</v>
      </c>
    </row>
    <row r="237" spans="2:39">
      <c r="D237" s="58"/>
    </row>
    <row r="238" spans="2:39" ht="18">
      <c r="C238" s="435" t="s">
        <v>1656</v>
      </c>
      <c r="D238" s="58" t="s">
        <v>2396</v>
      </c>
      <c r="E238" s="950"/>
      <c r="F238" s="1017" t="s">
        <v>1603</v>
      </c>
      <c r="G238" s="1007"/>
      <c r="AB238" s="93" cm="1">
        <f t="array" ref="AB238:AC238">'9.10_GHG_Incentive revenue'!F23:G23</f>
        <v>0</v>
      </c>
      <c r="AC238" s="81">
        <v>0</v>
      </c>
      <c r="AD238" s="81"/>
      <c r="AE238" s="81"/>
      <c r="AF238" s="81"/>
      <c r="AI238" s="436" t="s">
        <v>3155</v>
      </c>
      <c r="AM238" s="436" t="s">
        <v>3047</v>
      </c>
    </row>
    <row r="239" spans="2:39" ht="18">
      <c r="C239" s="435" t="s">
        <v>1656</v>
      </c>
      <c r="D239" s="58" t="s">
        <v>1657</v>
      </c>
      <c r="E239" s="950" t="s">
        <v>2397</v>
      </c>
      <c r="F239" s="1017" t="s">
        <v>1603</v>
      </c>
      <c r="G239" s="1007" t="s">
        <v>1654</v>
      </c>
      <c r="AB239" s="81"/>
      <c r="AC239" s="81"/>
      <c r="AD239" s="81"/>
      <c r="AE239" s="81"/>
      <c r="AF239" s="81"/>
      <c r="AI239" s="1330" t="s">
        <v>3169</v>
      </c>
      <c r="AM239" s="436" t="s">
        <v>3047</v>
      </c>
    </row>
    <row r="240" spans="2:39" ht="18">
      <c r="C240" s="435" t="s">
        <v>1656</v>
      </c>
      <c r="D240" s="58" t="s">
        <v>1659</v>
      </c>
      <c r="E240" s="950" t="s">
        <v>2398</v>
      </c>
      <c r="F240" s="1017" t="s">
        <v>1603</v>
      </c>
      <c r="G240" s="1007"/>
      <c r="AB240" s="81"/>
      <c r="AC240" s="81"/>
      <c r="AD240" s="81"/>
      <c r="AE240" s="81"/>
      <c r="AF240" s="81"/>
      <c r="AI240" s="1330" t="s">
        <v>3169</v>
      </c>
      <c r="AM240" s="436" t="s">
        <v>3047</v>
      </c>
    </row>
    <row r="242" spans="2:39" s="1289" customFormat="1">
      <c r="B242" s="1291"/>
      <c r="AG242" s="1290"/>
      <c r="AI242" s="1290"/>
    </row>
    <row r="244" spans="2:39" ht="14.65">
      <c r="C244" s="57" t="s">
        <v>2403</v>
      </c>
      <c r="D244" s="57" t="s">
        <v>2404</v>
      </c>
      <c r="E244" s="57"/>
      <c r="F244" s="1007"/>
      <c r="G244" s="1007" t="s">
        <v>2405</v>
      </c>
      <c r="AB244" s="81"/>
      <c r="AC244" s="81"/>
      <c r="AD244" s="81"/>
      <c r="AE244" s="81"/>
      <c r="AF244" s="81"/>
      <c r="AI244" s="1330" t="s">
        <v>3170</v>
      </c>
      <c r="AM244" s="436" t="s">
        <v>3047</v>
      </c>
    </row>
    <row r="245" spans="2:39" ht="15.4">
      <c r="C245" s="57" t="s">
        <v>2403</v>
      </c>
      <c r="D245" s="57" t="s">
        <v>1668</v>
      </c>
      <c r="E245" s="57" t="s">
        <v>2408</v>
      </c>
      <c r="F245" s="1007"/>
      <c r="G245" s="1007" t="s">
        <v>1666</v>
      </c>
      <c r="AB245" s="93">
        <f>'9.12_Maintenance_IR'!I11</f>
        <v>0</v>
      </c>
      <c r="AC245" s="81"/>
      <c r="AD245" s="81"/>
      <c r="AE245" s="81"/>
      <c r="AF245" s="81"/>
      <c r="AI245" s="436" t="s">
        <v>3153</v>
      </c>
      <c r="AM245" s="436" t="s">
        <v>3047</v>
      </c>
    </row>
    <row r="246" spans="2:39">
      <c r="C246" s="57"/>
      <c r="D246" s="57"/>
      <c r="E246" s="57"/>
    </row>
    <row r="247" spans="2:39">
      <c r="C247" s="57"/>
      <c r="D247" s="57"/>
      <c r="E247" s="57"/>
    </row>
    <row r="248" spans="2:39" ht="15.4">
      <c r="C248" s="57" t="s">
        <v>2410</v>
      </c>
      <c r="D248" s="57" t="s">
        <v>2411</v>
      </c>
      <c r="E248" s="57" t="s">
        <v>2412</v>
      </c>
      <c r="F248" s="1007"/>
      <c r="G248" s="1007" t="s">
        <v>1666</v>
      </c>
      <c r="AB248" s="93">
        <f>'9.12_Maintenance_IR'!S11</f>
        <v>0</v>
      </c>
      <c r="AC248" s="81"/>
      <c r="AD248" s="81"/>
      <c r="AE248" s="81"/>
      <c r="AF248" s="81"/>
      <c r="AI248" s="436" t="s">
        <v>3153</v>
      </c>
      <c r="AM248" s="436" t="s">
        <v>3047</v>
      </c>
    </row>
    <row r="249" spans="2:39" ht="15.4">
      <c r="C249" s="57"/>
      <c r="D249" s="57" t="s">
        <v>1674</v>
      </c>
      <c r="E249" s="57" t="s">
        <v>2414</v>
      </c>
      <c r="F249" s="1007"/>
      <c r="G249" s="1007" t="s">
        <v>1666</v>
      </c>
      <c r="AB249" s="93">
        <f>'9.12_Maintenance_IR'!U11</f>
        <v>0</v>
      </c>
      <c r="AC249" s="81"/>
      <c r="AD249" s="81"/>
      <c r="AE249" s="81"/>
      <c r="AF249" s="81"/>
      <c r="AI249" s="436" t="s">
        <v>3153</v>
      </c>
      <c r="AM249" s="436" t="s">
        <v>3047</v>
      </c>
    </row>
    <row r="250" spans="2:39">
      <c r="C250" s="57"/>
      <c r="D250" s="57"/>
      <c r="E250" s="57"/>
    </row>
    <row r="251" spans="2:39" ht="15.4">
      <c r="C251" s="57" t="s">
        <v>2416</v>
      </c>
      <c r="D251" s="57" t="s">
        <v>1678</v>
      </c>
      <c r="E251" s="57" t="s">
        <v>2418</v>
      </c>
      <c r="F251" s="1007"/>
      <c r="G251" s="1007" t="s">
        <v>1666</v>
      </c>
      <c r="AB251" s="93">
        <f>'9.12_Maintenance_IR'!N11</f>
        <v>0</v>
      </c>
      <c r="AC251" s="81"/>
      <c r="AD251" s="81"/>
      <c r="AE251" s="81"/>
      <c r="AF251" s="81"/>
      <c r="AI251" s="436" t="s">
        <v>3153</v>
      </c>
      <c r="AM251" s="436" t="s">
        <v>3047</v>
      </c>
    </row>
    <row r="253" spans="2:39" s="1289" customFormat="1">
      <c r="B253" s="1291"/>
      <c r="AG253" s="1290"/>
      <c r="AI253" s="1290"/>
    </row>
    <row r="255" spans="2:39">
      <c r="C255" s="435" t="s">
        <v>1683</v>
      </c>
      <c r="E255" s="435" t="s">
        <v>1684</v>
      </c>
      <c r="G255" s="435" t="s">
        <v>2</v>
      </c>
      <c r="I255" s="435">
        <v>0</v>
      </c>
      <c r="J255" s="435">
        <v>0</v>
      </c>
      <c r="K255" s="435">
        <v>0</v>
      </c>
      <c r="L255" s="435">
        <v>0</v>
      </c>
      <c r="M255" s="435">
        <v>0</v>
      </c>
      <c r="AB255" s="93">
        <f>'9.2_NTS_shrinkage'!X10</f>
        <v>0</v>
      </c>
      <c r="AC255" s="81"/>
      <c r="AD255" s="81"/>
      <c r="AE255" s="81"/>
      <c r="AF255" s="81"/>
      <c r="AI255" s="1330" t="s">
        <v>3172</v>
      </c>
      <c r="AM255" s="436" t="s">
        <v>3047</v>
      </c>
    </row>
    <row r="256" spans="2:39">
      <c r="C256" s="435" t="s">
        <v>1685</v>
      </c>
      <c r="E256" s="435" t="s">
        <v>1686</v>
      </c>
      <c r="G256" s="435" t="s">
        <v>2</v>
      </c>
      <c r="I256" s="435">
        <v>0</v>
      </c>
      <c r="J256" s="435">
        <v>0</v>
      </c>
      <c r="K256" s="435">
        <v>0</v>
      </c>
      <c r="L256" s="435">
        <v>0</v>
      </c>
      <c r="M256" s="435">
        <v>0</v>
      </c>
      <c r="AB256" s="93">
        <f>'9.2_NTS_shrinkage'!X11</f>
        <v>0</v>
      </c>
      <c r="AC256" s="81"/>
      <c r="AD256" s="81"/>
      <c r="AE256" s="81"/>
      <c r="AF256" s="81"/>
      <c r="AI256" s="1330" t="s">
        <v>3172</v>
      </c>
      <c r="AM256" s="436" t="s">
        <v>3047</v>
      </c>
    </row>
    <row r="257" spans="1:39">
      <c r="C257" s="435" t="s">
        <v>1688</v>
      </c>
      <c r="E257" s="435" t="s">
        <v>3154</v>
      </c>
      <c r="G257" s="435" t="s">
        <v>2</v>
      </c>
      <c r="I257" s="435">
        <v>0</v>
      </c>
      <c r="J257" s="435">
        <v>0</v>
      </c>
      <c r="K257" s="435">
        <v>0</v>
      </c>
      <c r="L257" s="435">
        <v>0</v>
      </c>
      <c r="M257" s="435">
        <v>0</v>
      </c>
      <c r="AB257" s="93">
        <f>'9.2_NTS_shrinkage'!X15</f>
        <v>0</v>
      </c>
      <c r="AC257" s="81"/>
      <c r="AD257" s="81"/>
      <c r="AE257" s="81"/>
      <c r="AF257" s="81"/>
      <c r="AI257" s="1330" t="s">
        <v>3172</v>
      </c>
      <c r="AM257" s="436" t="s">
        <v>3047</v>
      </c>
    </row>
    <row r="259" spans="1:39" s="1" customFormat="1" ht="17.649999999999999">
      <c r="A259" s="2" t="s">
        <v>3150</v>
      </c>
      <c r="B259" s="2"/>
      <c r="AG259" s="923"/>
      <c r="AI259" s="923"/>
    </row>
    <row r="261" spans="1:39">
      <c r="C261" s="435" t="s">
        <v>2425</v>
      </c>
      <c r="D261" s="435" t="s">
        <v>2426</v>
      </c>
      <c r="G261" s="435" t="s">
        <v>1403</v>
      </c>
      <c r="AB261" s="81"/>
      <c r="AC261" s="81"/>
      <c r="AD261" s="81"/>
      <c r="AE261" s="81"/>
      <c r="AF261" s="81"/>
      <c r="AI261" s="436" t="s">
        <v>2923</v>
      </c>
      <c r="AM261" s="436" t="s">
        <v>3047</v>
      </c>
    </row>
    <row r="262" spans="1:39">
      <c r="C262" s="435" t="s">
        <v>2425</v>
      </c>
      <c r="D262" s="435" t="s">
        <v>2428</v>
      </c>
      <c r="G262" s="435" t="s">
        <v>1403</v>
      </c>
      <c r="AB262" s="81"/>
      <c r="AC262" s="81"/>
      <c r="AD262" s="81"/>
      <c r="AE262" s="81"/>
      <c r="AF262" s="81"/>
      <c r="AI262" s="436" t="s">
        <v>2923</v>
      </c>
      <c r="AM262" s="436" t="s">
        <v>3047</v>
      </c>
    </row>
    <row r="263" spans="1:39">
      <c r="C263" s="435" t="s">
        <v>2425</v>
      </c>
      <c r="D263" s="435" t="s">
        <v>2429</v>
      </c>
      <c r="G263" s="435" t="s">
        <v>1403</v>
      </c>
      <c r="AB263" s="81"/>
      <c r="AC263" s="81"/>
      <c r="AD263" s="81"/>
      <c r="AE263" s="81"/>
      <c r="AF263" s="81"/>
      <c r="AI263" s="436" t="s">
        <v>2923</v>
      </c>
      <c r="AM263" s="436" t="s">
        <v>3047</v>
      </c>
    </row>
    <row r="264" spans="1:39">
      <c r="C264" s="435" t="s">
        <v>2425</v>
      </c>
      <c r="D264" s="435" t="s">
        <v>2430</v>
      </c>
      <c r="G264" s="435" t="s">
        <v>1403</v>
      </c>
      <c r="AB264" s="81"/>
      <c r="AC264" s="81"/>
      <c r="AD264" s="81"/>
      <c r="AE264" s="81"/>
      <c r="AF264" s="81"/>
      <c r="AI264" s="436" t="s">
        <v>2923</v>
      </c>
      <c r="AM264" s="436" t="s">
        <v>3047</v>
      </c>
    </row>
    <row r="265" spans="1:39">
      <c r="C265" s="435" t="s">
        <v>2425</v>
      </c>
      <c r="D265" s="435" t="s">
        <v>2431</v>
      </c>
      <c r="G265" s="435" t="s">
        <v>1403</v>
      </c>
      <c r="AB265" s="81"/>
      <c r="AC265" s="81"/>
      <c r="AD265" s="81"/>
      <c r="AE265" s="81"/>
      <c r="AF265" s="81"/>
      <c r="AI265" s="436" t="s">
        <v>2923</v>
      </c>
      <c r="AM265" s="436" t="s">
        <v>3047</v>
      </c>
    </row>
    <row r="266" spans="1:39">
      <c r="C266" s="435" t="s">
        <v>2425</v>
      </c>
      <c r="D266" s="435" t="s">
        <v>2432</v>
      </c>
      <c r="G266" s="435" t="s">
        <v>1403</v>
      </c>
      <c r="AB266" s="81"/>
      <c r="AC266" s="81"/>
      <c r="AD266" s="81"/>
      <c r="AE266" s="81"/>
      <c r="AF266" s="81"/>
      <c r="AI266" s="436" t="s">
        <v>2923</v>
      </c>
      <c r="AM266" s="436" t="s">
        <v>3047</v>
      </c>
    </row>
    <row r="267" spans="1:39">
      <c r="C267" s="435" t="s">
        <v>2433</v>
      </c>
      <c r="D267" s="435" t="s">
        <v>2426</v>
      </c>
      <c r="G267" s="435" t="s">
        <v>1403</v>
      </c>
      <c r="AB267" s="81"/>
      <c r="AC267" s="81"/>
      <c r="AD267" s="81"/>
      <c r="AE267" s="81"/>
      <c r="AF267" s="81"/>
      <c r="AI267" s="436" t="s">
        <v>2923</v>
      </c>
      <c r="AM267" s="436" t="s">
        <v>3047</v>
      </c>
    </row>
    <row r="268" spans="1:39">
      <c r="C268" s="435" t="s">
        <v>2433</v>
      </c>
      <c r="D268" s="435" t="s">
        <v>2428</v>
      </c>
      <c r="G268" s="435" t="s">
        <v>1403</v>
      </c>
      <c r="AB268" s="81"/>
      <c r="AC268" s="81"/>
      <c r="AD268" s="81"/>
      <c r="AE268" s="81"/>
      <c r="AF268" s="81"/>
      <c r="AI268" s="436" t="s">
        <v>2923</v>
      </c>
      <c r="AM268" s="436" t="s">
        <v>3047</v>
      </c>
    </row>
    <row r="269" spans="1:39">
      <c r="C269" s="435" t="s">
        <v>2433</v>
      </c>
      <c r="D269" s="435" t="s">
        <v>2429</v>
      </c>
      <c r="G269" s="435" t="s">
        <v>1403</v>
      </c>
      <c r="AB269" s="81"/>
      <c r="AC269" s="81"/>
      <c r="AD269" s="81"/>
      <c r="AE269" s="81"/>
      <c r="AF269" s="81"/>
      <c r="AI269" s="436" t="s">
        <v>2923</v>
      </c>
      <c r="AM269" s="436" t="s">
        <v>3047</v>
      </c>
    </row>
    <row r="270" spans="1:39">
      <c r="C270" s="435" t="s">
        <v>2433</v>
      </c>
      <c r="D270" s="435" t="s">
        <v>2430</v>
      </c>
      <c r="G270" s="435" t="s">
        <v>1403</v>
      </c>
      <c r="AB270" s="81"/>
      <c r="AC270" s="81"/>
      <c r="AD270" s="81"/>
      <c r="AE270" s="81"/>
      <c r="AF270" s="81"/>
      <c r="AI270" s="436" t="s">
        <v>2923</v>
      </c>
      <c r="AM270" s="436" t="s">
        <v>3047</v>
      </c>
    </row>
    <row r="271" spans="1:39">
      <c r="C271" s="435" t="s">
        <v>2433</v>
      </c>
      <c r="D271" s="435" t="s">
        <v>2431</v>
      </c>
      <c r="G271" s="435" t="s">
        <v>1403</v>
      </c>
      <c r="AB271" s="81"/>
      <c r="AC271" s="81"/>
      <c r="AD271" s="81"/>
      <c r="AE271" s="81"/>
      <c r="AF271" s="81"/>
      <c r="AI271" s="436" t="s">
        <v>2923</v>
      </c>
      <c r="AM271" s="436" t="s">
        <v>3047</v>
      </c>
    </row>
    <row r="272" spans="1:39">
      <c r="C272" s="435" t="s">
        <v>2433</v>
      </c>
      <c r="D272" s="435" t="s">
        <v>2432</v>
      </c>
      <c r="G272" s="435" t="s">
        <v>1403</v>
      </c>
      <c r="AB272" s="81"/>
      <c r="AC272" s="81"/>
      <c r="AD272" s="81"/>
      <c r="AE272" s="81"/>
      <c r="AF272" s="81"/>
      <c r="AI272" s="436" t="s">
        <v>2923</v>
      </c>
      <c r="AM272" s="436" t="s">
        <v>3047</v>
      </c>
    </row>
    <row r="273" spans="3:39">
      <c r="C273" s="435" t="s">
        <v>2434</v>
      </c>
      <c r="D273" s="435" t="s">
        <v>2426</v>
      </c>
      <c r="G273" s="435" t="s">
        <v>1403</v>
      </c>
      <c r="AB273" s="81"/>
      <c r="AC273" s="81"/>
      <c r="AD273" s="81"/>
      <c r="AE273" s="81"/>
      <c r="AF273" s="81"/>
      <c r="AI273" s="436" t="s">
        <v>2923</v>
      </c>
      <c r="AM273" s="436" t="s">
        <v>3047</v>
      </c>
    </row>
    <row r="274" spans="3:39">
      <c r="C274" s="435" t="s">
        <v>2434</v>
      </c>
      <c r="D274" s="435" t="s">
        <v>2428</v>
      </c>
      <c r="G274" s="435" t="s">
        <v>1403</v>
      </c>
      <c r="AB274" s="81"/>
      <c r="AC274" s="81"/>
      <c r="AD274" s="81"/>
      <c r="AE274" s="81"/>
      <c r="AF274" s="81"/>
      <c r="AI274" s="436" t="s">
        <v>2923</v>
      </c>
      <c r="AM274" s="436" t="s">
        <v>3047</v>
      </c>
    </row>
    <row r="275" spans="3:39">
      <c r="C275" s="435" t="s">
        <v>2434</v>
      </c>
      <c r="D275" s="435" t="s">
        <v>2429</v>
      </c>
      <c r="G275" s="435" t="s">
        <v>1403</v>
      </c>
      <c r="AB275" s="81"/>
      <c r="AC275" s="81"/>
      <c r="AD275" s="81"/>
      <c r="AE275" s="81"/>
      <c r="AF275" s="81"/>
      <c r="AI275" s="436" t="s">
        <v>2923</v>
      </c>
      <c r="AM275" s="436" t="s">
        <v>3047</v>
      </c>
    </row>
    <row r="276" spans="3:39">
      <c r="C276" s="435" t="s">
        <v>2434</v>
      </c>
      <c r="D276" s="435" t="s">
        <v>2430</v>
      </c>
      <c r="G276" s="435" t="s">
        <v>1403</v>
      </c>
      <c r="AB276" s="81"/>
      <c r="AC276" s="81"/>
      <c r="AD276" s="81"/>
      <c r="AE276" s="81"/>
      <c r="AF276" s="81"/>
      <c r="AI276" s="436" t="s">
        <v>2923</v>
      </c>
      <c r="AM276" s="436" t="s">
        <v>3047</v>
      </c>
    </row>
    <row r="277" spans="3:39">
      <c r="C277" s="435" t="s">
        <v>2434</v>
      </c>
      <c r="D277" s="435" t="s">
        <v>2431</v>
      </c>
      <c r="G277" s="435" t="s">
        <v>1403</v>
      </c>
      <c r="AB277" s="81"/>
      <c r="AC277" s="81"/>
      <c r="AD277" s="81"/>
      <c r="AE277" s="81"/>
      <c r="AF277" s="81"/>
      <c r="AI277" s="436" t="s">
        <v>2923</v>
      </c>
      <c r="AM277" s="436" t="s">
        <v>3047</v>
      </c>
    </row>
    <row r="278" spans="3:39">
      <c r="C278" s="435" t="s">
        <v>2434</v>
      </c>
      <c r="D278" s="435" t="s">
        <v>2432</v>
      </c>
      <c r="G278" s="435" t="s">
        <v>1403</v>
      </c>
      <c r="AB278" s="81"/>
      <c r="AC278" s="81"/>
      <c r="AD278" s="81"/>
      <c r="AE278" s="81"/>
      <c r="AF278" s="81"/>
      <c r="AI278" s="436" t="s">
        <v>2923</v>
      </c>
      <c r="AM278" s="436" t="s">
        <v>3047</v>
      </c>
    </row>
    <row r="279" spans="3:39">
      <c r="C279" s="435" t="s">
        <v>2435</v>
      </c>
      <c r="D279" s="435" t="s">
        <v>2426</v>
      </c>
      <c r="G279" s="435" t="s">
        <v>1403</v>
      </c>
      <c r="AB279" s="81"/>
      <c r="AC279" s="81"/>
      <c r="AD279" s="81"/>
      <c r="AE279" s="81"/>
      <c r="AF279" s="81"/>
      <c r="AI279" s="436" t="s">
        <v>2923</v>
      </c>
      <c r="AM279" s="436" t="s">
        <v>3047</v>
      </c>
    </row>
    <row r="280" spans="3:39">
      <c r="C280" s="435" t="s">
        <v>2435</v>
      </c>
      <c r="D280" s="435" t="s">
        <v>2428</v>
      </c>
      <c r="G280" s="435" t="s">
        <v>1403</v>
      </c>
      <c r="AB280" s="81"/>
      <c r="AC280" s="81"/>
      <c r="AD280" s="81"/>
      <c r="AE280" s="81"/>
      <c r="AF280" s="81"/>
      <c r="AI280" s="436" t="s">
        <v>2923</v>
      </c>
      <c r="AM280" s="436" t="s">
        <v>3047</v>
      </c>
    </row>
    <row r="281" spans="3:39">
      <c r="C281" s="435" t="s">
        <v>2435</v>
      </c>
      <c r="D281" s="435" t="s">
        <v>2429</v>
      </c>
      <c r="G281" s="435" t="s">
        <v>1403</v>
      </c>
      <c r="AB281" s="81"/>
      <c r="AC281" s="81"/>
      <c r="AD281" s="81"/>
      <c r="AE281" s="81"/>
      <c r="AF281" s="81"/>
      <c r="AI281" s="436" t="s">
        <v>2923</v>
      </c>
      <c r="AM281" s="436" t="s">
        <v>3047</v>
      </c>
    </row>
    <row r="282" spans="3:39">
      <c r="C282" s="435" t="s">
        <v>2435</v>
      </c>
      <c r="D282" s="435" t="s">
        <v>2430</v>
      </c>
      <c r="G282" s="435" t="s">
        <v>1403</v>
      </c>
      <c r="AB282" s="81"/>
      <c r="AC282" s="81"/>
      <c r="AD282" s="81"/>
      <c r="AE282" s="81"/>
      <c r="AF282" s="81"/>
      <c r="AI282" s="436" t="s">
        <v>2923</v>
      </c>
      <c r="AM282" s="436" t="s">
        <v>3047</v>
      </c>
    </row>
    <row r="283" spans="3:39">
      <c r="C283" s="435" t="s">
        <v>2435</v>
      </c>
      <c r="D283" s="435" t="s">
        <v>2431</v>
      </c>
      <c r="G283" s="435" t="s">
        <v>1403</v>
      </c>
      <c r="AB283" s="81"/>
      <c r="AC283" s="81"/>
      <c r="AD283" s="81"/>
      <c r="AE283" s="81"/>
      <c r="AF283" s="81"/>
      <c r="AI283" s="436" t="s">
        <v>2923</v>
      </c>
      <c r="AM283" s="436" t="s">
        <v>3047</v>
      </c>
    </row>
    <row r="284" spans="3:39">
      <c r="C284" s="435" t="s">
        <v>2435</v>
      </c>
      <c r="D284" s="435" t="s">
        <v>2432</v>
      </c>
      <c r="G284" s="435" t="s">
        <v>1403</v>
      </c>
      <c r="AB284" s="81"/>
      <c r="AC284" s="81"/>
      <c r="AD284" s="81"/>
      <c r="AE284" s="81"/>
      <c r="AF284" s="81"/>
      <c r="AI284" s="436" t="s">
        <v>2923</v>
      </c>
      <c r="AM284" s="436" t="s">
        <v>3047</v>
      </c>
    </row>
    <row r="285" spans="3:39">
      <c r="C285" s="435" t="s">
        <v>2436</v>
      </c>
      <c r="D285" s="435" t="s">
        <v>2426</v>
      </c>
      <c r="G285" s="435" t="s">
        <v>1403</v>
      </c>
      <c r="AB285" s="81"/>
      <c r="AC285" s="81"/>
      <c r="AD285" s="81"/>
      <c r="AE285" s="81"/>
      <c r="AF285" s="81"/>
      <c r="AI285" s="436" t="s">
        <v>2923</v>
      </c>
      <c r="AM285" s="436" t="s">
        <v>3047</v>
      </c>
    </row>
    <row r="286" spans="3:39">
      <c r="C286" s="435" t="s">
        <v>2436</v>
      </c>
      <c r="D286" s="435" t="s">
        <v>2428</v>
      </c>
      <c r="G286" s="435" t="s">
        <v>1403</v>
      </c>
      <c r="AB286" s="81"/>
      <c r="AC286" s="81"/>
      <c r="AD286" s="81"/>
      <c r="AE286" s="81"/>
      <c r="AF286" s="81"/>
      <c r="AI286" s="436" t="s">
        <v>2923</v>
      </c>
      <c r="AM286" s="436" t="s">
        <v>3047</v>
      </c>
    </row>
    <row r="287" spans="3:39">
      <c r="C287" s="435" t="s">
        <v>2436</v>
      </c>
      <c r="D287" s="435" t="s">
        <v>2429</v>
      </c>
      <c r="G287" s="435" t="s">
        <v>1403</v>
      </c>
      <c r="AB287" s="81"/>
      <c r="AC287" s="81"/>
      <c r="AD287" s="81"/>
      <c r="AE287" s="81"/>
      <c r="AF287" s="81"/>
      <c r="AI287" s="436" t="s">
        <v>2923</v>
      </c>
      <c r="AM287" s="436" t="s">
        <v>3047</v>
      </c>
    </row>
    <row r="288" spans="3:39">
      <c r="C288" s="435" t="s">
        <v>2436</v>
      </c>
      <c r="D288" s="435" t="s">
        <v>2430</v>
      </c>
      <c r="G288" s="435" t="s">
        <v>1403</v>
      </c>
      <c r="AB288" s="81"/>
      <c r="AC288" s="81"/>
      <c r="AD288" s="81"/>
      <c r="AE288" s="81"/>
      <c r="AF288" s="81"/>
      <c r="AI288" s="436" t="s">
        <v>2923</v>
      </c>
      <c r="AM288" s="436" t="s">
        <v>3047</v>
      </c>
    </row>
    <row r="289" spans="1:39">
      <c r="C289" s="435" t="s">
        <v>2436</v>
      </c>
      <c r="D289" s="435" t="s">
        <v>2431</v>
      </c>
      <c r="G289" s="435" t="s">
        <v>1403</v>
      </c>
      <c r="AB289" s="81"/>
      <c r="AC289" s="81"/>
      <c r="AD289" s="81"/>
      <c r="AE289" s="81"/>
      <c r="AF289" s="81"/>
      <c r="AI289" s="436" t="s">
        <v>2923</v>
      </c>
      <c r="AM289" s="436" t="s">
        <v>3047</v>
      </c>
    </row>
    <row r="290" spans="1:39">
      <c r="C290" s="435" t="s">
        <v>2436</v>
      </c>
      <c r="D290" s="435" t="s">
        <v>2432</v>
      </c>
      <c r="G290" s="435" t="s">
        <v>1403</v>
      </c>
      <c r="AB290" s="81"/>
      <c r="AC290" s="81"/>
      <c r="AD290" s="81"/>
      <c r="AE290" s="81"/>
      <c r="AF290" s="81"/>
      <c r="AI290" s="436" t="s">
        <v>2923</v>
      </c>
      <c r="AM290" s="436" t="s">
        <v>3047</v>
      </c>
    </row>
    <row r="291" spans="1:39">
      <c r="C291" s="435" t="s">
        <v>2437</v>
      </c>
      <c r="D291" s="435" t="s">
        <v>2426</v>
      </c>
      <c r="G291" s="435" t="s">
        <v>1403</v>
      </c>
      <c r="AB291" s="81"/>
      <c r="AC291" s="81"/>
      <c r="AD291" s="81"/>
      <c r="AE291" s="81"/>
      <c r="AF291" s="81"/>
      <c r="AI291" s="436" t="s">
        <v>2923</v>
      </c>
      <c r="AM291" s="436" t="s">
        <v>3047</v>
      </c>
    </row>
    <row r="292" spans="1:39">
      <c r="C292" s="435" t="s">
        <v>2437</v>
      </c>
      <c r="D292" s="435" t="s">
        <v>2428</v>
      </c>
      <c r="G292" s="435" t="s">
        <v>1403</v>
      </c>
      <c r="AB292" s="81"/>
      <c r="AC292" s="81"/>
      <c r="AD292" s="81"/>
      <c r="AE292" s="81"/>
      <c r="AF292" s="81"/>
      <c r="AI292" s="436" t="s">
        <v>2923</v>
      </c>
      <c r="AM292" s="436" t="s">
        <v>3047</v>
      </c>
    </row>
    <row r="293" spans="1:39">
      <c r="C293" s="435" t="s">
        <v>2437</v>
      </c>
      <c r="D293" s="435" t="s">
        <v>2429</v>
      </c>
      <c r="G293" s="435" t="s">
        <v>1403</v>
      </c>
      <c r="AB293" s="81"/>
      <c r="AC293" s="81"/>
      <c r="AD293" s="81"/>
      <c r="AE293" s="81"/>
      <c r="AF293" s="81"/>
      <c r="AI293" s="436" t="s">
        <v>2923</v>
      </c>
      <c r="AM293" s="436" t="s">
        <v>3047</v>
      </c>
    </row>
    <row r="294" spans="1:39">
      <c r="C294" s="435" t="s">
        <v>2437</v>
      </c>
      <c r="D294" s="435" t="s">
        <v>2430</v>
      </c>
      <c r="G294" s="435" t="s">
        <v>1403</v>
      </c>
      <c r="AB294" s="81"/>
      <c r="AC294" s="81"/>
      <c r="AD294" s="81"/>
      <c r="AE294" s="81"/>
      <c r="AF294" s="81"/>
      <c r="AI294" s="436" t="s">
        <v>2923</v>
      </c>
      <c r="AM294" s="436" t="s">
        <v>3047</v>
      </c>
    </row>
    <row r="295" spans="1:39">
      <c r="C295" s="435" t="s">
        <v>2437</v>
      </c>
      <c r="D295" s="435" t="s">
        <v>2431</v>
      </c>
      <c r="G295" s="435" t="s">
        <v>1403</v>
      </c>
      <c r="AB295" s="81"/>
      <c r="AC295" s="81"/>
      <c r="AD295" s="81"/>
      <c r="AE295" s="81"/>
      <c r="AF295" s="81"/>
      <c r="AI295" s="436" t="s">
        <v>2923</v>
      </c>
      <c r="AM295" s="436" t="s">
        <v>3047</v>
      </c>
    </row>
    <row r="296" spans="1:39">
      <c r="C296" s="435" t="s">
        <v>2437</v>
      </c>
      <c r="D296" s="435" t="s">
        <v>2432</v>
      </c>
      <c r="G296" s="435" t="s">
        <v>1403</v>
      </c>
      <c r="AB296" s="81"/>
      <c r="AC296" s="81"/>
      <c r="AD296" s="81"/>
      <c r="AE296" s="81"/>
      <c r="AF296" s="81"/>
      <c r="AI296" s="436" t="s">
        <v>2923</v>
      </c>
      <c r="AM296" s="436" t="s">
        <v>3047</v>
      </c>
    </row>
    <row r="298" spans="1:39" s="1" customFormat="1" ht="17.649999999999999">
      <c r="A298" s="2" t="s">
        <v>3149</v>
      </c>
      <c r="B298" s="2"/>
      <c r="AG298" s="923"/>
      <c r="AI298" s="923"/>
    </row>
    <row r="300" spans="1:39">
      <c r="C300" s="435" t="s">
        <v>2425</v>
      </c>
      <c r="D300" s="435" t="s">
        <v>2432</v>
      </c>
      <c r="G300" s="435" t="s">
        <v>1403</v>
      </c>
      <c r="AB300" s="81"/>
      <c r="AC300" s="81"/>
      <c r="AD300" s="81"/>
      <c r="AE300" s="81"/>
      <c r="AF300" s="81"/>
      <c r="AI300" s="436" t="s">
        <v>2923</v>
      </c>
      <c r="AM300" s="436" t="s">
        <v>3047</v>
      </c>
    </row>
    <row r="301" spans="1:39">
      <c r="C301" s="435" t="s">
        <v>2425</v>
      </c>
      <c r="D301" s="435" t="s">
        <v>2444</v>
      </c>
      <c r="G301" s="435" t="s">
        <v>1403</v>
      </c>
      <c r="AB301" s="81"/>
      <c r="AC301" s="81"/>
      <c r="AD301" s="81"/>
      <c r="AE301" s="81"/>
      <c r="AF301" s="81"/>
      <c r="AI301" s="436" t="s">
        <v>2923</v>
      </c>
      <c r="AM301" s="436" t="s">
        <v>3047</v>
      </c>
    </row>
    <row r="302" spans="1:39">
      <c r="C302" s="435" t="s">
        <v>2433</v>
      </c>
      <c r="D302" s="435" t="s">
        <v>2432</v>
      </c>
      <c r="G302" s="435" t="s">
        <v>1403</v>
      </c>
      <c r="AB302" s="81"/>
      <c r="AC302" s="81"/>
      <c r="AD302" s="81"/>
      <c r="AE302" s="81"/>
      <c r="AF302" s="81"/>
      <c r="AI302" s="436" t="s">
        <v>2923</v>
      </c>
      <c r="AM302" s="436" t="s">
        <v>3047</v>
      </c>
    </row>
    <row r="303" spans="1:39">
      <c r="C303" s="435" t="s">
        <v>2433</v>
      </c>
      <c r="D303" s="435" t="s">
        <v>2444</v>
      </c>
      <c r="G303" s="435" t="s">
        <v>1403</v>
      </c>
      <c r="AB303" s="81"/>
      <c r="AC303" s="81"/>
      <c r="AD303" s="81"/>
      <c r="AE303" s="81"/>
      <c r="AF303" s="81"/>
      <c r="AI303" s="436" t="s">
        <v>2923</v>
      </c>
      <c r="AM303" s="436" t="s">
        <v>3047</v>
      </c>
    </row>
    <row r="304" spans="1:39">
      <c r="C304" s="435" t="s">
        <v>2436</v>
      </c>
      <c r="D304" s="435" t="s">
        <v>2432</v>
      </c>
      <c r="G304" s="435" t="s">
        <v>1403</v>
      </c>
      <c r="AB304" s="81"/>
      <c r="AC304" s="81"/>
      <c r="AD304" s="81"/>
      <c r="AE304" s="81"/>
      <c r="AF304" s="81"/>
      <c r="AI304" s="436" t="s">
        <v>2923</v>
      </c>
      <c r="AM304" s="436" t="s">
        <v>3047</v>
      </c>
    </row>
    <row r="305" spans="1:39">
      <c r="C305" s="435" t="s">
        <v>2436</v>
      </c>
      <c r="D305" s="435" t="s">
        <v>2444</v>
      </c>
      <c r="G305" s="435" t="s">
        <v>1403</v>
      </c>
      <c r="AB305" s="81"/>
      <c r="AC305" s="81"/>
      <c r="AD305" s="81"/>
      <c r="AE305" s="81"/>
      <c r="AF305" s="81"/>
      <c r="AI305" s="436" t="s">
        <v>2923</v>
      </c>
      <c r="AM305" s="436" t="s">
        <v>3047</v>
      </c>
    </row>
    <row r="306" spans="1:39">
      <c r="C306" s="435" t="s">
        <v>2434</v>
      </c>
      <c r="D306" s="435" t="s">
        <v>2432</v>
      </c>
      <c r="G306" s="435" t="s">
        <v>1403</v>
      </c>
      <c r="AB306" s="81"/>
      <c r="AC306" s="81"/>
      <c r="AD306" s="81"/>
      <c r="AE306" s="81"/>
      <c r="AF306" s="81"/>
      <c r="AI306" s="436" t="s">
        <v>2923</v>
      </c>
      <c r="AM306" s="436" t="s">
        <v>3047</v>
      </c>
    </row>
    <row r="307" spans="1:39">
      <c r="C307" s="435" t="s">
        <v>2434</v>
      </c>
      <c r="D307" s="435" t="s">
        <v>2444</v>
      </c>
      <c r="G307" s="435" t="s">
        <v>1403</v>
      </c>
      <c r="AB307" s="81"/>
      <c r="AC307" s="81"/>
      <c r="AD307" s="81"/>
      <c r="AE307" s="81"/>
      <c r="AF307" s="81"/>
      <c r="AI307" s="436" t="s">
        <v>2923</v>
      </c>
      <c r="AM307" s="436" t="s">
        <v>3047</v>
      </c>
    </row>
    <row r="308" spans="1:39">
      <c r="C308" s="435" t="s">
        <v>2435</v>
      </c>
      <c r="D308" s="435" t="s">
        <v>2432</v>
      </c>
      <c r="G308" s="435" t="s">
        <v>1403</v>
      </c>
      <c r="AB308" s="81"/>
      <c r="AC308" s="81"/>
      <c r="AD308" s="81"/>
      <c r="AE308" s="81"/>
      <c r="AF308" s="81"/>
      <c r="AI308" s="436" t="s">
        <v>2923</v>
      </c>
      <c r="AM308" s="436" t="s">
        <v>3047</v>
      </c>
    </row>
    <row r="309" spans="1:39">
      <c r="C309" s="435" t="s">
        <v>2435</v>
      </c>
      <c r="D309" s="435" t="s">
        <v>2444</v>
      </c>
      <c r="G309" s="435" t="s">
        <v>1403</v>
      </c>
      <c r="AB309" s="81"/>
      <c r="AC309" s="81"/>
      <c r="AD309" s="81"/>
      <c r="AE309" s="81"/>
      <c r="AF309" s="81"/>
      <c r="AI309" s="436" t="s">
        <v>2923</v>
      </c>
      <c r="AM309" s="436" t="s">
        <v>3047</v>
      </c>
    </row>
    <row r="310" spans="1:39">
      <c r="C310" s="435" t="s">
        <v>2437</v>
      </c>
      <c r="D310" s="435" t="s">
        <v>2432</v>
      </c>
      <c r="G310" s="435" t="s">
        <v>1403</v>
      </c>
      <c r="AB310" s="81"/>
      <c r="AC310" s="81"/>
      <c r="AD310" s="81"/>
      <c r="AE310" s="81"/>
      <c r="AF310" s="81"/>
      <c r="AI310" s="436" t="s">
        <v>2923</v>
      </c>
      <c r="AM310" s="436" t="s">
        <v>3047</v>
      </c>
    </row>
    <row r="311" spans="1:39">
      <c r="C311" s="435" t="s">
        <v>2437</v>
      </c>
      <c r="D311" s="435" t="s">
        <v>2444</v>
      </c>
      <c r="G311" s="435" t="s">
        <v>1403</v>
      </c>
      <c r="AB311" s="81"/>
      <c r="AC311" s="81"/>
      <c r="AD311" s="81"/>
      <c r="AE311" s="81"/>
      <c r="AF311" s="81"/>
      <c r="AI311" s="436" t="s">
        <v>2923</v>
      </c>
      <c r="AM311" s="436" t="s">
        <v>3047</v>
      </c>
    </row>
    <row r="313" spans="1:39" s="73" customFormat="1" ht="18">
      <c r="A313" s="74" t="s">
        <v>76</v>
      </c>
    </row>
  </sheetData>
  <mergeCells count="2">
    <mergeCell ref="AB5:AF5"/>
    <mergeCell ref="AB6:AF6"/>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S200"/>
  <sheetViews>
    <sheetView zoomScale="80" zoomScaleNormal="80" workbookViewId="0">
      <pane ySplit="4" topLeftCell="A5" activePane="bottomLeft" state="frozen"/>
      <selection activeCell="D31" sqref="D31"/>
      <selection pane="bottomLeft"/>
    </sheetView>
  </sheetViews>
  <sheetFormatPr defaultColWidth="10.265625" defaultRowHeight="12.75"/>
  <cols>
    <col min="1" max="1" width="5.86328125" style="364" customWidth="1"/>
    <col min="2" max="2" width="8.59765625" style="364" hidden="1" customWidth="1"/>
    <col min="3" max="3" width="13.265625" style="364" bestFit="1" customWidth="1"/>
    <col min="4" max="4" width="13.59765625" style="179" bestFit="1" customWidth="1"/>
    <col min="5" max="5" width="11.3984375" style="179" bestFit="1" customWidth="1"/>
    <col min="6" max="6" width="11.1328125" style="179" bestFit="1" customWidth="1"/>
    <col min="7" max="7" width="10.1328125" style="179" bestFit="1" customWidth="1"/>
    <col min="8" max="8" width="8" style="179" bestFit="1" customWidth="1"/>
    <col min="9" max="9" width="10.265625" style="179" bestFit="1" customWidth="1"/>
    <col min="10" max="11" width="9.73046875" style="179" bestFit="1" customWidth="1"/>
    <col min="12" max="12" width="22.265625" style="179" bestFit="1" customWidth="1"/>
    <col min="13" max="13" width="4.59765625" style="364" customWidth="1"/>
    <col min="14" max="14" width="18.59765625" style="179" customWidth="1"/>
    <col min="15" max="15" width="14" style="179" customWidth="1"/>
    <col min="16" max="16" width="10.265625" style="364"/>
    <col min="17" max="17" width="10.265625" style="179"/>
    <col min="18" max="18" width="11.265625" style="179" bestFit="1" customWidth="1"/>
    <col min="19" max="19" width="10.3984375" style="179" bestFit="1" customWidth="1"/>
    <col min="20" max="29" width="10.265625" style="179" bestFit="1" customWidth="1"/>
    <col min="30" max="30" width="11.265625" style="179" bestFit="1" customWidth="1"/>
    <col min="31" max="45" width="10.265625" style="364"/>
    <col min="46" max="16384" width="10.265625" style="179"/>
  </cols>
  <sheetData>
    <row r="1" spans="1:30" s="73" customFormat="1" ht="23.25">
      <c r="A1" s="89" t="str">
        <f>'1.1 Cover'!A2</f>
        <v>Regulatory Reporting Pack</v>
      </c>
    </row>
    <row r="2" spans="1:30" s="73" customFormat="1" ht="23.25">
      <c r="A2" s="89" t="str">
        <f>'1.1 Cover'!A3</f>
        <v>Price base - 2018/19</v>
      </c>
    </row>
    <row r="3" spans="1:30" s="73" customFormat="1" ht="23.25">
      <c r="A3" s="89" t="str">
        <f>'1.1 Cover'!A4</f>
        <v>Regulatory Year: April 2021 - March 2022</v>
      </c>
    </row>
    <row r="4" spans="1:30" s="73" customFormat="1" ht="23.25">
      <c r="A4" s="89" t="s">
        <v>1076</v>
      </c>
    </row>
    <row r="5" spans="1:30" s="310" customFormat="1" ht="15">
      <c r="F5" s="311"/>
      <c r="G5" s="312"/>
      <c r="H5" s="313"/>
      <c r="I5" s="313"/>
      <c r="J5" s="313"/>
      <c r="K5" s="313"/>
      <c r="L5" s="313"/>
      <c r="M5" s="313"/>
      <c r="N5" s="313"/>
      <c r="O5" s="313"/>
      <c r="P5" s="313"/>
      <c r="Q5" s="313"/>
      <c r="R5" s="313"/>
      <c r="S5" s="313"/>
      <c r="T5" s="313"/>
      <c r="U5" s="313"/>
      <c r="V5" s="313"/>
      <c r="W5" s="313"/>
    </row>
    <row r="6" spans="1:30" s="310" customFormat="1" ht="15">
      <c r="F6" s="311"/>
      <c r="G6" s="312"/>
      <c r="H6" s="313"/>
      <c r="I6" s="313"/>
      <c r="J6" s="313"/>
      <c r="K6" s="313"/>
      <c r="L6" s="313"/>
      <c r="M6" s="313"/>
      <c r="N6" s="313"/>
      <c r="O6" s="313"/>
      <c r="P6" s="313"/>
      <c r="Q6" s="313"/>
      <c r="R6" s="313"/>
      <c r="S6" s="313"/>
      <c r="T6" s="313"/>
      <c r="U6" s="313"/>
      <c r="V6" s="313"/>
      <c r="W6" s="313"/>
    </row>
    <row r="7" spans="1:30" s="310" customFormat="1" ht="15.4" thickBot="1">
      <c r="F7" s="313"/>
      <c r="H7" s="313"/>
      <c r="I7" s="313"/>
      <c r="J7" s="313"/>
      <c r="K7" s="313"/>
      <c r="L7" s="313"/>
      <c r="M7" s="313"/>
      <c r="N7" s="313"/>
      <c r="O7" s="313"/>
      <c r="P7" s="313"/>
      <c r="Q7" s="313"/>
      <c r="R7" s="313"/>
      <c r="S7" s="313"/>
      <c r="T7" s="313"/>
      <c r="U7" s="313"/>
      <c r="V7" s="313"/>
      <c r="W7" s="313"/>
    </row>
    <row r="8" spans="1:30" ht="26.45" customHeight="1">
      <c r="B8" s="372"/>
      <c r="C8" s="375"/>
      <c r="D8" s="1408" t="s">
        <v>1165</v>
      </c>
      <c r="E8" s="1406"/>
      <c r="F8" s="1406"/>
      <c r="G8" s="1406"/>
      <c r="H8" s="1406"/>
      <c r="I8" s="1406"/>
      <c r="J8" s="1406"/>
      <c r="K8" s="1406"/>
      <c r="L8" s="1407"/>
      <c r="N8" s="364"/>
      <c r="O8" s="364"/>
      <c r="Q8" s="192" t="s">
        <v>1168</v>
      </c>
      <c r="R8" s="199"/>
      <c r="S8" s="199"/>
      <c r="T8" s="199"/>
      <c r="U8" s="199"/>
      <c r="V8" s="199"/>
      <c r="W8" s="199"/>
      <c r="X8" s="199"/>
      <c r="Y8" s="199"/>
      <c r="Z8" s="199"/>
      <c r="AA8" s="199"/>
      <c r="AB8" s="199"/>
      <c r="AC8" s="199"/>
      <c r="AD8" s="199"/>
    </row>
    <row r="9" spans="1:30" ht="13.15">
      <c r="B9" s="374" t="s">
        <v>1163</v>
      </c>
      <c r="D9" s="198" t="s">
        <v>1162</v>
      </c>
      <c r="E9" s="198" t="s">
        <v>1161</v>
      </c>
      <c r="F9" s="198" t="s">
        <v>1160</v>
      </c>
      <c r="G9" s="198" t="s">
        <v>1159</v>
      </c>
      <c r="H9" s="198" t="s">
        <v>1158</v>
      </c>
      <c r="I9" s="198" t="s">
        <v>1157</v>
      </c>
      <c r="J9" s="198" t="s">
        <v>1156</v>
      </c>
      <c r="K9" s="198" t="s">
        <v>1155</v>
      </c>
      <c r="L9" s="198" t="s">
        <v>1167</v>
      </c>
      <c r="M9" s="365"/>
      <c r="N9" s="197" t="s">
        <v>1166</v>
      </c>
      <c r="O9" s="197" t="s">
        <v>1152</v>
      </c>
      <c r="Q9" s="196"/>
      <c r="R9" s="190">
        <v>43556</v>
      </c>
      <c r="S9" s="190">
        <v>43586</v>
      </c>
      <c r="T9" s="190">
        <v>43617</v>
      </c>
      <c r="U9" s="190">
        <v>43647</v>
      </c>
      <c r="V9" s="190">
        <v>43678</v>
      </c>
      <c r="W9" s="190">
        <v>43709</v>
      </c>
      <c r="X9" s="190">
        <v>43739</v>
      </c>
      <c r="Y9" s="190">
        <v>43770</v>
      </c>
      <c r="Z9" s="190">
        <v>43800</v>
      </c>
      <c r="AA9" s="190">
        <v>43831</v>
      </c>
      <c r="AB9" s="190">
        <v>43862</v>
      </c>
      <c r="AC9" s="190">
        <v>43891</v>
      </c>
      <c r="AD9" s="189" t="s">
        <v>1411</v>
      </c>
    </row>
    <row r="10" spans="1:30" ht="13.15">
      <c r="B10" s="367"/>
      <c r="D10" s="182"/>
      <c r="E10" s="182"/>
      <c r="F10" s="183"/>
      <c r="G10" s="182"/>
      <c r="H10" s="182"/>
      <c r="I10" s="182"/>
      <c r="J10" s="183"/>
      <c r="K10" s="183"/>
      <c r="L10" s="182"/>
      <c r="N10" s="181">
        <f t="shared" ref="N10:N46" si="0">+H10*((K10-J10)+1)*B10</f>
        <v>0</v>
      </c>
      <c r="O10" s="180">
        <f t="shared" ref="O10:O46" si="1">N10*L10</f>
        <v>0</v>
      </c>
      <c r="Q10" s="195"/>
      <c r="R10" s="194"/>
      <c r="S10" s="194"/>
      <c r="T10" s="194"/>
      <c r="U10" s="194"/>
      <c r="V10" s="194"/>
      <c r="W10" s="194"/>
      <c r="X10" s="194"/>
      <c r="Y10" s="194"/>
      <c r="Z10" s="194"/>
      <c r="AA10" s="194"/>
      <c r="AB10" s="194"/>
      <c r="AC10" s="194"/>
      <c r="AD10" s="194"/>
    </row>
    <row r="11" spans="1:30">
      <c r="B11" s="367"/>
      <c r="D11" s="182"/>
      <c r="E11" s="182"/>
      <c r="F11" s="183"/>
      <c r="G11" s="182"/>
      <c r="H11" s="182"/>
      <c r="I11" s="182"/>
      <c r="J11" s="183"/>
      <c r="K11" s="183"/>
      <c r="L11" s="182"/>
      <c r="N11" s="181">
        <f t="shared" si="0"/>
        <v>0</v>
      </c>
      <c r="O11" s="180">
        <f t="shared" si="1"/>
        <v>0</v>
      </c>
      <c r="Q11" s="202"/>
      <c r="R11" s="201"/>
      <c r="S11" s="201"/>
      <c r="T11" s="201"/>
      <c r="U11" s="201"/>
      <c r="V11" s="201"/>
      <c r="W11" s="201"/>
      <c r="X11" s="201"/>
      <c r="Y11" s="201"/>
      <c r="Z11" s="201"/>
      <c r="AA11" s="201"/>
      <c r="AB11" s="201"/>
      <c r="AC11" s="201"/>
      <c r="AD11" s="200"/>
    </row>
    <row r="12" spans="1:30" ht="13.15">
      <c r="B12" s="367"/>
      <c r="D12" s="182"/>
      <c r="E12" s="182"/>
      <c r="F12" s="183"/>
      <c r="G12" s="182"/>
      <c r="H12" s="182"/>
      <c r="I12" s="182"/>
      <c r="J12" s="183"/>
      <c r="K12" s="183"/>
      <c r="L12" s="182"/>
      <c r="N12" s="181">
        <f t="shared" si="0"/>
        <v>0</v>
      </c>
      <c r="O12" s="180">
        <f t="shared" si="1"/>
        <v>0</v>
      </c>
      <c r="Q12" s="187" t="s">
        <v>1150</v>
      </c>
      <c r="R12" s="193"/>
      <c r="S12" s="193"/>
      <c r="T12" s="193"/>
      <c r="U12" s="193"/>
      <c r="V12" s="193"/>
      <c r="W12" s="193"/>
      <c r="X12" s="193"/>
      <c r="Y12" s="193"/>
      <c r="Z12" s="193"/>
      <c r="AA12" s="193"/>
      <c r="AB12" s="193"/>
      <c r="AC12" s="193"/>
      <c r="AD12" s="193"/>
    </row>
    <row r="13" spans="1:30">
      <c r="B13" s="367"/>
      <c r="D13" s="182"/>
      <c r="E13" s="182"/>
      <c r="F13" s="183"/>
      <c r="G13" s="182"/>
      <c r="H13" s="182"/>
      <c r="I13" s="182"/>
      <c r="J13" s="183"/>
      <c r="K13" s="183"/>
      <c r="L13" s="182"/>
      <c r="N13" s="181">
        <f t="shared" si="0"/>
        <v>0</v>
      </c>
      <c r="O13" s="180">
        <f t="shared" si="1"/>
        <v>0</v>
      </c>
      <c r="Q13" s="364"/>
      <c r="R13" s="364"/>
      <c r="S13" s="364"/>
      <c r="T13" s="364"/>
      <c r="U13" s="364"/>
      <c r="V13" s="364"/>
      <c r="W13" s="364"/>
      <c r="X13" s="364"/>
      <c r="Y13" s="364"/>
      <c r="Z13" s="364"/>
      <c r="AA13" s="364"/>
      <c r="AB13" s="364"/>
      <c r="AC13" s="364"/>
      <c r="AD13" s="364"/>
    </row>
    <row r="14" spans="1:30">
      <c r="B14" s="367"/>
      <c r="D14" s="182"/>
      <c r="E14" s="182"/>
      <c r="F14" s="183"/>
      <c r="G14" s="182"/>
      <c r="H14" s="182"/>
      <c r="I14" s="182"/>
      <c r="J14" s="183"/>
      <c r="K14" s="183"/>
      <c r="L14" s="182"/>
      <c r="N14" s="181">
        <f t="shared" si="0"/>
        <v>0</v>
      </c>
      <c r="O14" s="180">
        <f t="shared" si="1"/>
        <v>0</v>
      </c>
      <c r="Q14" s="364"/>
      <c r="R14" s="364"/>
      <c r="S14" s="364"/>
      <c r="T14" s="364"/>
      <c r="U14" s="364"/>
      <c r="V14" s="364"/>
      <c r="W14" s="364"/>
      <c r="X14" s="364"/>
      <c r="Y14" s="364"/>
      <c r="Z14" s="364"/>
      <c r="AA14" s="364"/>
      <c r="AB14" s="364"/>
      <c r="AC14" s="364"/>
      <c r="AD14" s="364"/>
    </row>
    <row r="15" spans="1:30">
      <c r="B15" s="367"/>
      <c r="D15" s="182"/>
      <c r="E15" s="182"/>
      <c r="F15" s="183"/>
      <c r="G15" s="182"/>
      <c r="H15" s="182"/>
      <c r="I15" s="182"/>
      <c r="J15" s="183"/>
      <c r="K15" s="183"/>
      <c r="L15" s="182"/>
      <c r="N15" s="181">
        <f t="shared" si="0"/>
        <v>0</v>
      </c>
      <c r="O15" s="180">
        <f t="shared" si="1"/>
        <v>0</v>
      </c>
      <c r="Q15" s="364"/>
      <c r="R15" s="364"/>
      <c r="S15" s="364"/>
      <c r="T15" s="364"/>
      <c r="U15" s="364"/>
      <c r="V15" s="364"/>
      <c r="W15" s="364"/>
      <c r="X15" s="364"/>
      <c r="Y15" s="364"/>
      <c r="Z15" s="364"/>
      <c r="AA15" s="364"/>
      <c r="AB15" s="364"/>
      <c r="AC15" s="364"/>
      <c r="AD15" s="364"/>
    </row>
    <row r="16" spans="1:30">
      <c r="B16" s="367"/>
      <c r="D16" s="182"/>
      <c r="E16" s="182"/>
      <c r="F16" s="183"/>
      <c r="G16" s="182"/>
      <c r="H16" s="182"/>
      <c r="I16" s="182"/>
      <c r="J16" s="183"/>
      <c r="K16" s="183"/>
      <c r="L16" s="182"/>
      <c r="N16" s="181">
        <f t="shared" si="0"/>
        <v>0</v>
      </c>
      <c r="O16" s="180">
        <f t="shared" si="1"/>
        <v>0</v>
      </c>
      <c r="Q16" s="364"/>
      <c r="R16" s="364"/>
      <c r="S16" s="364"/>
      <c r="T16" s="364"/>
      <c r="U16" s="364"/>
      <c r="V16" s="364"/>
      <c r="W16" s="364"/>
      <c r="X16" s="364"/>
      <c r="Y16" s="364"/>
      <c r="Z16" s="364"/>
      <c r="AA16" s="364"/>
      <c r="AB16" s="364"/>
      <c r="AC16" s="364"/>
      <c r="AD16" s="364"/>
    </row>
    <row r="17" spans="2:30" ht="15">
      <c r="B17" s="367"/>
      <c r="C17" s="310"/>
      <c r="D17" s="182"/>
      <c r="E17" s="182"/>
      <c r="F17" s="183"/>
      <c r="G17" s="182"/>
      <c r="H17" s="182"/>
      <c r="I17" s="182"/>
      <c r="J17" s="183"/>
      <c r="K17" s="183"/>
      <c r="L17" s="182"/>
      <c r="N17" s="181">
        <f t="shared" si="0"/>
        <v>0</v>
      </c>
      <c r="O17" s="180">
        <f t="shared" si="1"/>
        <v>0</v>
      </c>
      <c r="Q17" s="364"/>
      <c r="R17" s="364"/>
      <c r="S17" s="364"/>
      <c r="T17" s="364"/>
      <c r="U17" s="364"/>
      <c r="V17" s="364"/>
      <c r="W17" s="364"/>
      <c r="X17" s="364"/>
      <c r="Y17" s="364"/>
      <c r="Z17" s="364"/>
      <c r="AA17" s="364"/>
      <c r="AB17" s="364"/>
      <c r="AC17" s="364"/>
      <c r="AD17" s="364"/>
    </row>
    <row r="18" spans="2:30">
      <c r="B18" s="367"/>
      <c r="D18" s="182"/>
      <c r="E18" s="182"/>
      <c r="F18" s="183"/>
      <c r="G18" s="182"/>
      <c r="H18" s="182"/>
      <c r="I18" s="182"/>
      <c r="J18" s="183"/>
      <c r="K18" s="183"/>
      <c r="L18" s="182"/>
      <c r="N18" s="181">
        <f t="shared" si="0"/>
        <v>0</v>
      </c>
      <c r="O18" s="180">
        <f t="shared" si="1"/>
        <v>0</v>
      </c>
      <c r="Q18" s="364"/>
      <c r="R18" s="364"/>
      <c r="S18" s="364"/>
      <c r="T18" s="364"/>
      <c r="U18" s="364"/>
      <c r="V18" s="364"/>
      <c r="W18" s="364"/>
      <c r="X18" s="364"/>
      <c r="Y18" s="364"/>
      <c r="Z18" s="364"/>
      <c r="AA18" s="364"/>
      <c r="AB18" s="364"/>
      <c r="AC18" s="364"/>
      <c r="AD18" s="364"/>
    </row>
    <row r="19" spans="2:30" ht="13.15">
      <c r="B19" s="367"/>
      <c r="D19" s="182"/>
      <c r="E19" s="182"/>
      <c r="F19" s="183"/>
      <c r="G19" s="182"/>
      <c r="H19" s="182"/>
      <c r="I19" s="182"/>
      <c r="J19" s="183"/>
      <c r="K19" s="183"/>
      <c r="L19" s="182"/>
      <c r="N19" s="181">
        <f t="shared" si="0"/>
        <v>0</v>
      </c>
      <c r="O19" s="180">
        <f t="shared" si="1"/>
        <v>0</v>
      </c>
      <c r="Q19" s="192" t="s">
        <v>1151</v>
      </c>
      <c r="R19" s="191"/>
      <c r="S19" s="191"/>
      <c r="T19" s="191"/>
      <c r="U19" s="191"/>
      <c r="V19" s="191"/>
      <c r="W19" s="191"/>
      <c r="X19" s="191"/>
      <c r="Y19" s="191"/>
      <c r="Z19" s="191"/>
      <c r="AA19" s="191"/>
      <c r="AB19" s="191"/>
      <c r="AC19" s="191"/>
      <c r="AD19" s="191"/>
    </row>
    <row r="20" spans="2:30" ht="13.15">
      <c r="B20" s="367"/>
      <c r="D20" s="182"/>
      <c r="E20" s="182"/>
      <c r="F20" s="183"/>
      <c r="G20" s="182"/>
      <c r="H20" s="182"/>
      <c r="I20" s="182"/>
      <c r="J20" s="183"/>
      <c r="K20" s="183"/>
      <c r="L20" s="182"/>
      <c r="N20" s="181">
        <f t="shared" si="0"/>
        <v>0</v>
      </c>
      <c r="O20" s="180">
        <f t="shared" si="1"/>
        <v>0</v>
      </c>
      <c r="Q20" s="185"/>
      <c r="R20" s="190">
        <v>43556</v>
      </c>
      <c r="S20" s="190">
        <v>43586</v>
      </c>
      <c r="T20" s="190">
        <v>43617</v>
      </c>
      <c r="U20" s="190">
        <v>43647</v>
      </c>
      <c r="V20" s="190">
        <v>43678</v>
      </c>
      <c r="W20" s="190">
        <v>43709</v>
      </c>
      <c r="X20" s="190">
        <v>43739</v>
      </c>
      <c r="Y20" s="190">
        <v>43770</v>
      </c>
      <c r="Z20" s="190">
        <v>43800</v>
      </c>
      <c r="AA20" s="190">
        <v>43831</v>
      </c>
      <c r="AB20" s="190">
        <v>43862</v>
      </c>
      <c r="AC20" s="190">
        <v>43891</v>
      </c>
      <c r="AD20" s="189" t="s">
        <v>1411</v>
      </c>
    </row>
    <row r="21" spans="2:30">
      <c r="B21" s="367"/>
      <c r="D21" s="182"/>
      <c r="E21" s="182"/>
      <c r="F21" s="183"/>
      <c r="G21" s="182"/>
      <c r="H21" s="182"/>
      <c r="I21" s="182"/>
      <c r="J21" s="183"/>
      <c r="K21" s="183"/>
      <c r="L21" s="182"/>
      <c r="N21" s="181">
        <f t="shared" si="0"/>
        <v>0</v>
      </c>
      <c r="O21" s="180">
        <f t="shared" si="1"/>
        <v>0</v>
      </c>
      <c r="Q21" s="185"/>
      <c r="R21" s="182"/>
      <c r="S21" s="188"/>
      <c r="T21" s="188"/>
      <c r="U21" s="182"/>
      <c r="V21" s="182"/>
      <c r="W21" s="182"/>
      <c r="X21" s="182"/>
      <c r="Y21" s="182"/>
      <c r="Z21" s="182"/>
      <c r="AA21" s="182"/>
      <c r="AB21" s="182"/>
      <c r="AC21" s="182"/>
      <c r="AD21" s="182"/>
    </row>
    <row r="22" spans="2:30">
      <c r="B22" s="367"/>
      <c r="D22" s="182"/>
      <c r="E22" s="182"/>
      <c r="F22" s="183"/>
      <c r="G22" s="182"/>
      <c r="H22" s="182"/>
      <c r="I22" s="182"/>
      <c r="J22" s="183"/>
      <c r="K22" s="183"/>
      <c r="L22" s="182"/>
      <c r="N22" s="181">
        <f t="shared" si="0"/>
        <v>0</v>
      </c>
      <c r="O22" s="180">
        <f t="shared" si="1"/>
        <v>0</v>
      </c>
      <c r="Q22" s="185"/>
      <c r="R22" s="182"/>
      <c r="S22" s="188"/>
      <c r="T22" s="188"/>
      <c r="U22" s="188"/>
      <c r="V22" s="188"/>
      <c r="W22" s="188"/>
      <c r="X22" s="188"/>
      <c r="Y22" s="188"/>
      <c r="Z22" s="188"/>
      <c r="AA22" s="188"/>
      <c r="AB22" s="188"/>
      <c r="AC22" s="188"/>
      <c r="AD22" s="188"/>
    </row>
    <row r="23" spans="2:30" ht="13.15">
      <c r="B23" s="367"/>
      <c r="D23" s="182"/>
      <c r="E23" s="182"/>
      <c r="F23" s="183"/>
      <c r="G23" s="182"/>
      <c r="H23" s="182"/>
      <c r="I23" s="182"/>
      <c r="J23" s="183"/>
      <c r="K23" s="183"/>
      <c r="L23" s="182"/>
      <c r="N23" s="181">
        <f t="shared" si="0"/>
        <v>0</v>
      </c>
      <c r="O23" s="180">
        <f t="shared" si="1"/>
        <v>0</v>
      </c>
      <c r="Q23" s="187" t="s">
        <v>1150</v>
      </c>
      <c r="R23" s="186"/>
      <c r="S23" s="186"/>
      <c r="T23" s="186"/>
      <c r="U23" s="186"/>
      <c r="V23" s="186"/>
      <c r="W23" s="186"/>
      <c r="X23" s="186"/>
      <c r="Y23" s="186"/>
      <c r="Z23" s="186"/>
      <c r="AA23" s="186"/>
      <c r="AB23" s="186"/>
      <c r="AC23" s="186"/>
      <c r="AD23" s="186"/>
    </row>
    <row r="24" spans="2:30">
      <c r="B24" s="367"/>
      <c r="D24" s="182"/>
      <c r="E24" s="182"/>
      <c r="F24" s="183"/>
      <c r="G24" s="182"/>
      <c r="H24" s="182"/>
      <c r="I24" s="182"/>
      <c r="J24" s="183"/>
      <c r="K24" s="183"/>
      <c r="L24" s="182"/>
      <c r="N24" s="181">
        <f t="shared" si="0"/>
        <v>0</v>
      </c>
      <c r="O24" s="180">
        <f t="shared" si="1"/>
        <v>0</v>
      </c>
      <c r="Q24" s="364"/>
      <c r="R24" s="364"/>
      <c r="S24" s="364"/>
      <c r="T24" s="364"/>
      <c r="U24" s="364"/>
      <c r="V24" s="364"/>
      <c r="W24" s="364"/>
      <c r="X24" s="364"/>
      <c r="Y24" s="364"/>
      <c r="Z24" s="364"/>
      <c r="AA24" s="364"/>
      <c r="AB24" s="364"/>
      <c r="AC24" s="364"/>
      <c r="AD24" s="364"/>
    </row>
    <row r="25" spans="2:30">
      <c r="B25" s="367"/>
      <c r="D25" s="182"/>
      <c r="E25" s="182"/>
      <c r="F25" s="183"/>
      <c r="G25" s="182"/>
      <c r="H25" s="182"/>
      <c r="I25" s="182"/>
      <c r="J25" s="183"/>
      <c r="K25" s="183"/>
      <c r="L25" s="182"/>
      <c r="N25" s="181">
        <f t="shared" si="0"/>
        <v>0</v>
      </c>
      <c r="O25" s="180">
        <f t="shared" si="1"/>
        <v>0</v>
      </c>
      <c r="Q25" s="364"/>
      <c r="R25" s="364"/>
      <c r="S25" s="364"/>
      <c r="T25" s="364"/>
      <c r="U25" s="364"/>
      <c r="V25" s="364"/>
      <c r="W25" s="364"/>
      <c r="X25" s="364"/>
      <c r="Y25" s="364"/>
      <c r="Z25" s="364"/>
      <c r="AA25" s="364"/>
      <c r="AB25" s="364"/>
      <c r="AC25" s="364"/>
      <c r="AD25" s="364"/>
    </row>
    <row r="26" spans="2:30" ht="12.75" customHeight="1">
      <c r="B26" s="367"/>
      <c r="D26" s="182"/>
      <c r="E26" s="182"/>
      <c r="F26" s="183"/>
      <c r="G26" s="182"/>
      <c r="H26" s="182"/>
      <c r="I26" s="182"/>
      <c r="J26" s="183"/>
      <c r="K26" s="183"/>
      <c r="L26" s="182"/>
      <c r="N26" s="181">
        <f t="shared" si="0"/>
        <v>0</v>
      </c>
      <c r="O26" s="180">
        <f t="shared" si="1"/>
        <v>0</v>
      </c>
      <c r="Q26" s="364"/>
      <c r="R26" s="364"/>
      <c r="S26" s="364"/>
      <c r="T26" s="364"/>
      <c r="U26" s="364"/>
      <c r="V26" s="364"/>
      <c r="W26" s="364"/>
      <c r="X26" s="364"/>
      <c r="Y26" s="364"/>
      <c r="Z26" s="364"/>
      <c r="AA26" s="364"/>
      <c r="AB26" s="364"/>
      <c r="AC26" s="364"/>
      <c r="AD26" s="364"/>
    </row>
    <row r="27" spans="2:30">
      <c r="B27" s="367"/>
      <c r="D27" s="182"/>
      <c r="E27" s="182"/>
      <c r="F27" s="183"/>
      <c r="G27" s="182"/>
      <c r="H27" s="182"/>
      <c r="I27" s="182"/>
      <c r="J27" s="183"/>
      <c r="K27" s="183"/>
      <c r="L27" s="182"/>
      <c r="N27" s="181">
        <f t="shared" si="0"/>
        <v>0</v>
      </c>
      <c r="O27" s="180">
        <f t="shared" si="1"/>
        <v>0</v>
      </c>
      <c r="Q27" s="364"/>
      <c r="R27" s="364"/>
      <c r="S27" s="364"/>
      <c r="T27" s="364"/>
      <c r="U27" s="364"/>
      <c r="V27" s="364"/>
      <c r="W27" s="364"/>
      <c r="X27" s="364"/>
      <c r="Y27" s="364"/>
      <c r="Z27" s="364"/>
      <c r="AA27" s="364"/>
      <c r="AB27" s="364"/>
      <c r="AC27" s="364"/>
      <c r="AD27" s="364"/>
    </row>
    <row r="28" spans="2:30">
      <c r="B28" s="367"/>
      <c r="D28" s="182"/>
      <c r="E28" s="182"/>
      <c r="F28" s="183"/>
      <c r="G28" s="182"/>
      <c r="H28" s="182"/>
      <c r="I28" s="182"/>
      <c r="J28" s="183"/>
      <c r="K28" s="183"/>
      <c r="L28" s="182"/>
      <c r="N28" s="181">
        <f t="shared" si="0"/>
        <v>0</v>
      </c>
      <c r="O28" s="180">
        <f t="shared" si="1"/>
        <v>0</v>
      </c>
      <c r="Q28" s="364"/>
      <c r="R28" s="364"/>
      <c r="S28" s="364"/>
      <c r="T28" s="364"/>
      <c r="U28" s="364"/>
      <c r="V28" s="364"/>
      <c r="W28" s="364"/>
      <c r="X28" s="364"/>
      <c r="Y28" s="364"/>
      <c r="Z28" s="364"/>
      <c r="AA28" s="364"/>
      <c r="AB28" s="364"/>
      <c r="AC28" s="364"/>
      <c r="AD28" s="364"/>
    </row>
    <row r="29" spans="2:30">
      <c r="B29" s="367"/>
      <c r="D29" s="182"/>
      <c r="E29" s="182"/>
      <c r="F29" s="183"/>
      <c r="G29" s="182"/>
      <c r="H29" s="182"/>
      <c r="I29" s="182"/>
      <c r="J29" s="183"/>
      <c r="K29" s="183"/>
      <c r="L29" s="182"/>
      <c r="N29" s="181">
        <f t="shared" si="0"/>
        <v>0</v>
      </c>
      <c r="O29" s="180">
        <f t="shared" si="1"/>
        <v>0</v>
      </c>
      <c r="Q29" s="364"/>
      <c r="R29" s="364"/>
      <c r="S29" s="364"/>
      <c r="T29" s="364"/>
      <c r="U29" s="364"/>
      <c r="V29" s="364"/>
      <c r="W29" s="364"/>
      <c r="X29" s="364"/>
      <c r="Y29" s="364"/>
      <c r="Z29" s="364"/>
      <c r="AA29" s="364"/>
      <c r="AB29" s="364"/>
      <c r="AC29" s="364"/>
      <c r="AD29" s="364"/>
    </row>
    <row r="30" spans="2:30">
      <c r="B30" s="367"/>
      <c r="D30" s="182"/>
      <c r="E30" s="182"/>
      <c r="F30" s="183"/>
      <c r="G30" s="182"/>
      <c r="H30" s="182"/>
      <c r="I30" s="182"/>
      <c r="J30" s="183"/>
      <c r="K30" s="183"/>
      <c r="L30" s="182"/>
      <c r="N30" s="181">
        <f t="shared" si="0"/>
        <v>0</v>
      </c>
      <c r="O30" s="180">
        <f t="shared" si="1"/>
        <v>0</v>
      </c>
      <c r="Q30" s="364"/>
      <c r="R30" s="364"/>
      <c r="S30" s="364"/>
      <c r="T30" s="364"/>
      <c r="U30" s="364"/>
      <c r="V30" s="364"/>
      <c r="W30" s="364"/>
      <c r="X30" s="364"/>
      <c r="Y30" s="364"/>
      <c r="Z30" s="364"/>
      <c r="AA30" s="364"/>
      <c r="AB30" s="364"/>
      <c r="AC30" s="364"/>
      <c r="AD30" s="364"/>
    </row>
    <row r="31" spans="2:30">
      <c r="B31" s="367"/>
      <c r="D31" s="182"/>
      <c r="E31" s="182"/>
      <c r="F31" s="183"/>
      <c r="G31" s="182"/>
      <c r="H31" s="182"/>
      <c r="I31" s="182"/>
      <c r="J31" s="183"/>
      <c r="K31" s="183"/>
      <c r="L31" s="182"/>
      <c r="N31" s="181">
        <f t="shared" si="0"/>
        <v>0</v>
      </c>
      <c r="O31" s="180">
        <f t="shared" si="1"/>
        <v>0</v>
      </c>
      <c r="Q31" s="364"/>
      <c r="R31" s="364"/>
      <c r="S31" s="364"/>
      <c r="T31" s="364"/>
      <c r="U31" s="364"/>
      <c r="V31" s="364"/>
      <c r="W31" s="364"/>
      <c r="X31" s="364"/>
      <c r="Y31" s="364"/>
      <c r="Z31" s="364"/>
      <c r="AA31" s="364"/>
      <c r="AB31" s="364"/>
      <c r="AC31" s="364"/>
      <c r="AD31" s="364"/>
    </row>
    <row r="32" spans="2:30">
      <c r="B32" s="367"/>
      <c r="D32" s="182"/>
      <c r="E32" s="182"/>
      <c r="F32" s="183"/>
      <c r="G32" s="182"/>
      <c r="H32" s="182"/>
      <c r="I32" s="182"/>
      <c r="J32" s="183"/>
      <c r="K32" s="183"/>
      <c r="L32" s="182"/>
      <c r="N32" s="181">
        <f t="shared" si="0"/>
        <v>0</v>
      </c>
      <c r="O32" s="180">
        <f t="shared" si="1"/>
        <v>0</v>
      </c>
      <c r="Q32" s="364"/>
      <c r="R32" s="364"/>
      <c r="S32" s="364"/>
      <c r="T32" s="364"/>
      <c r="U32" s="364"/>
      <c r="V32" s="364"/>
      <c r="W32" s="364"/>
      <c r="X32" s="364"/>
      <c r="Y32" s="364"/>
      <c r="Z32" s="364"/>
      <c r="AA32" s="364"/>
      <c r="AB32" s="364"/>
      <c r="AC32" s="364"/>
      <c r="AD32" s="364"/>
    </row>
    <row r="33" spans="2:30">
      <c r="B33" s="367"/>
      <c r="D33" s="182"/>
      <c r="E33" s="182"/>
      <c r="F33" s="183"/>
      <c r="G33" s="182"/>
      <c r="H33" s="182"/>
      <c r="I33" s="182"/>
      <c r="J33" s="183"/>
      <c r="K33" s="183"/>
      <c r="L33" s="182"/>
      <c r="N33" s="181">
        <f t="shared" si="0"/>
        <v>0</v>
      </c>
      <c r="O33" s="180">
        <f t="shared" si="1"/>
        <v>0</v>
      </c>
      <c r="Q33" s="364"/>
      <c r="R33" s="364"/>
      <c r="S33" s="364"/>
      <c r="T33" s="364"/>
      <c r="U33" s="364"/>
      <c r="V33" s="364"/>
      <c r="W33" s="364"/>
      <c r="X33" s="364"/>
      <c r="Y33" s="364"/>
      <c r="Z33" s="364"/>
      <c r="AA33" s="364"/>
      <c r="AB33" s="364"/>
      <c r="AC33" s="364"/>
      <c r="AD33" s="364"/>
    </row>
    <row r="34" spans="2:30">
      <c r="B34" s="367"/>
      <c r="D34" s="182"/>
      <c r="E34" s="182"/>
      <c r="F34" s="183"/>
      <c r="G34" s="182"/>
      <c r="H34" s="182"/>
      <c r="I34" s="182"/>
      <c r="J34" s="183"/>
      <c r="K34" s="183"/>
      <c r="L34" s="182"/>
      <c r="N34" s="181">
        <f t="shared" si="0"/>
        <v>0</v>
      </c>
      <c r="O34" s="180">
        <f t="shared" si="1"/>
        <v>0</v>
      </c>
      <c r="Q34" s="364"/>
      <c r="R34" s="364"/>
      <c r="S34" s="364"/>
      <c r="T34" s="364"/>
      <c r="U34" s="364"/>
      <c r="V34" s="364"/>
      <c r="W34" s="364"/>
      <c r="X34" s="364"/>
      <c r="Y34" s="364"/>
      <c r="Z34" s="364"/>
      <c r="AA34" s="364"/>
      <c r="AB34" s="364"/>
      <c r="AC34" s="364"/>
      <c r="AD34" s="364"/>
    </row>
    <row r="35" spans="2:30">
      <c r="B35" s="367"/>
      <c r="D35" s="182"/>
      <c r="E35" s="182"/>
      <c r="F35" s="183"/>
      <c r="G35" s="182"/>
      <c r="H35" s="182"/>
      <c r="I35" s="182"/>
      <c r="J35" s="183"/>
      <c r="K35" s="183"/>
      <c r="L35" s="182"/>
      <c r="N35" s="181">
        <f t="shared" si="0"/>
        <v>0</v>
      </c>
      <c r="O35" s="180">
        <f t="shared" si="1"/>
        <v>0</v>
      </c>
      <c r="Q35" s="364"/>
      <c r="R35" s="364"/>
      <c r="S35" s="364"/>
      <c r="T35" s="364"/>
      <c r="U35" s="364"/>
      <c r="V35" s="364"/>
      <c r="W35" s="364"/>
      <c r="X35" s="364"/>
      <c r="Y35" s="364"/>
      <c r="Z35" s="364"/>
      <c r="AA35" s="364"/>
      <c r="AB35" s="364"/>
      <c r="AC35" s="364"/>
      <c r="AD35" s="364"/>
    </row>
    <row r="36" spans="2:30">
      <c r="B36" s="367"/>
      <c r="D36" s="182"/>
      <c r="E36" s="182"/>
      <c r="F36" s="183"/>
      <c r="G36" s="182"/>
      <c r="H36" s="182"/>
      <c r="I36" s="182"/>
      <c r="J36" s="183"/>
      <c r="K36" s="183"/>
      <c r="L36" s="182"/>
      <c r="N36" s="181">
        <f t="shared" si="0"/>
        <v>0</v>
      </c>
      <c r="O36" s="180">
        <f t="shared" si="1"/>
        <v>0</v>
      </c>
      <c r="Q36" s="364"/>
      <c r="R36" s="364"/>
      <c r="S36" s="364"/>
      <c r="T36" s="364"/>
      <c r="U36" s="364"/>
      <c r="V36" s="364"/>
      <c r="W36" s="364"/>
      <c r="X36" s="364"/>
      <c r="Y36" s="364"/>
      <c r="Z36" s="364"/>
      <c r="AA36" s="364"/>
      <c r="AB36" s="364"/>
      <c r="AC36" s="364"/>
      <c r="AD36" s="364"/>
    </row>
    <row r="37" spans="2:30">
      <c r="B37" s="367"/>
      <c r="D37" s="182"/>
      <c r="E37" s="182"/>
      <c r="F37" s="183"/>
      <c r="G37" s="182"/>
      <c r="H37" s="182"/>
      <c r="I37" s="182"/>
      <c r="J37" s="183"/>
      <c r="K37" s="183"/>
      <c r="L37" s="182"/>
      <c r="N37" s="181">
        <f t="shared" si="0"/>
        <v>0</v>
      </c>
      <c r="O37" s="180">
        <f t="shared" si="1"/>
        <v>0</v>
      </c>
      <c r="Q37" s="364"/>
      <c r="R37" s="364"/>
      <c r="S37" s="364"/>
      <c r="T37" s="364"/>
      <c r="U37" s="364"/>
      <c r="V37" s="364"/>
      <c r="W37" s="364"/>
      <c r="X37" s="364"/>
      <c r="Y37" s="364"/>
      <c r="Z37" s="364"/>
      <c r="AA37" s="364"/>
      <c r="AB37" s="364"/>
      <c r="AC37" s="364"/>
      <c r="AD37" s="364"/>
    </row>
    <row r="38" spans="2:30">
      <c r="B38" s="367"/>
      <c r="D38" s="182"/>
      <c r="E38" s="182"/>
      <c r="F38" s="183"/>
      <c r="G38" s="182"/>
      <c r="H38" s="182"/>
      <c r="I38" s="182"/>
      <c r="J38" s="183"/>
      <c r="K38" s="183"/>
      <c r="L38" s="182"/>
      <c r="N38" s="181">
        <f t="shared" si="0"/>
        <v>0</v>
      </c>
      <c r="O38" s="180">
        <f t="shared" si="1"/>
        <v>0</v>
      </c>
      <c r="Q38" s="364"/>
      <c r="R38" s="364"/>
      <c r="S38" s="364"/>
      <c r="T38" s="364"/>
      <c r="U38" s="364"/>
      <c r="V38" s="364"/>
      <c r="W38" s="364"/>
      <c r="X38" s="364"/>
      <c r="Y38" s="364"/>
      <c r="Z38" s="364"/>
      <c r="AA38" s="364"/>
      <c r="AB38" s="364"/>
      <c r="AC38" s="364"/>
      <c r="AD38" s="364"/>
    </row>
    <row r="39" spans="2:30">
      <c r="B39" s="367"/>
      <c r="D39" s="182"/>
      <c r="E39" s="182"/>
      <c r="F39" s="183"/>
      <c r="G39" s="182"/>
      <c r="H39" s="182"/>
      <c r="I39" s="182"/>
      <c r="J39" s="183"/>
      <c r="K39" s="183"/>
      <c r="L39" s="182"/>
      <c r="N39" s="181">
        <f t="shared" si="0"/>
        <v>0</v>
      </c>
      <c r="O39" s="180">
        <f t="shared" si="1"/>
        <v>0</v>
      </c>
      <c r="Q39" s="364"/>
      <c r="R39" s="364"/>
      <c r="S39" s="364"/>
      <c r="T39" s="364"/>
      <c r="U39" s="364"/>
      <c r="V39" s="364"/>
      <c r="W39" s="364"/>
      <c r="X39" s="364"/>
      <c r="Y39" s="364"/>
      <c r="Z39" s="364"/>
      <c r="AA39" s="364"/>
      <c r="AB39" s="364"/>
      <c r="AC39" s="364"/>
      <c r="AD39" s="364"/>
    </row>
    <row r="40" spans="2:30">
      <c r="B40" s="367"/>
      <c r="D40" s="182"/>
      <c r="E40" s="182"/>
      <c r="F40" s="183"/>
      <c r="G40" s="182"/>
      <c r="H40" s="182"/>
      <c r="I40" s="182"/>
      <c r="J40" s="183"/>
      <c r="K40" s="183"/>
      <c r="L40" s="182"/>
      <c r="N40" s="181">
        <f t="shared" si="0"/>
        <v>0</v>
      </c>
      <c r="O40" s="180">
        <f t="shared" si="1"/>
        <v>0</v>
      </c>
      <c r="Q40" s="364"/>
      <c r="R40" s="364"/>
      <c r="S40" s="364"/>
      <c r="T40" s="364"/>
      <c r="U40" s="364"/>
      <c r="V40" s="364"/>
      <c r="W40" s="364"/>
      <c r="X40" s="364"/>
      <c r="Y40" s="364"/>
      <c r="Z40" s="364"/>
      <c r="AA40" s="364"/>
      <c r="AB40" s="364"/>
      <c r="AC40" s="364"/>
      <c r="AD40" s="364"/>
    </row>
    <row r="41" spans="2:30">
      <c r="B41" s="367"/>
      <c r="D41" s="182"/>
      <c r="E41" s="182"/>
      <c r="F41" s="183"/>
      <c r="G41" s="182"/>
      <c r="H41" s="182"/>
      <c r="I41" s="182"/>
      <c r="J41" s="183"/>
      <c r="K41" s="183"/>
      <c r="L41" s="182"/>
      <c r="N41" s="181">
        <f t="shared" si="0"/>
        <v>0</v>
      </c>
      <c r="O41" s="180">
        <f t="shared" si="1"/>
        <v>0</v>
      </c>
      <c r="Q41" s="364"/>
      <c r="R41" s="364"/>
      <c r="S41" s="364"/>
      <c r="T41" s="364"/>
      <c r="U41" s="364"/>
      <c r="V41" s="364"/>
      <c r="W41" s="364"/>
      <c r="X41" s="364"/>
      <c r="Y41" s="364"/>
      <c r="Z41" s="364"/>
      <c r="AA41" s="364"/>
      <c r="AB41" s="364"/>
      <c r="AC41" s="364"/>
      <c r="AD41" s="364"/>
    </row>
    <row r="42" spans="2:30">
      <c r="B42" s="367"/>
      <c r="D42" s="182"/>
      <c r="E42" s="182"/>
      <c r="F42" s="183"/>
      <c r="G42" s="182"/>
      <c r="H42" s="182"/>
      <c r="I42" s="182"/>
      <c r="J42" s="183"/>
      <c r="K42" s="183"/>
      <c r="L42" s="182"/>
      <c r="N42" s="181">
        <f t="shared" si="0"/>
        <v>0</v>
      </c>
      <c r="O42" s="180">
        <f t="shared" si="1"/>
        <v>0</v>
      </c>
      <c r="Q42" s="364"/>
      <c r="R42" s="364"/>
      <c r="S42" s="364"/>
      <c r="T42" s="364"/>
      <c r="U42" s="364"/>
      <c r="V42" s="364"/>
      <c r="W42" s="364"/>
      <c r="X42" s="364"/>
      <c r="Y42" s="364"/>
      <c r="Z42" s="364"/>
      <c r="AA42" s="364"/>
      <c r="AB42" s="364"/>
      <c r="AC42" s="364"/>
      <c r="AD42" s="364"/>
    </row>
    <row r="43" spans="2:30">
      <c r="B43" s="367"/>
      <c r="D43" s="182"/>
      <c r="E43" s="182"/>
      <c r="F43" s="183"/>
      <c r="G43" s="182"/>
      <c r="H43" s="182"/>
      <c r="I43" s="182"/>
      <c r="J43" s="183"/>
      <c r="K43" s="183"/>
      <c r="L43" s="182"/>
      <c r="N43" s="181">
        <f t="shared" si="0"/>
        <v>0</v>
      </c>
      <c r="O43" s="180">
        <f t="shared" si="1"/>
        <v>0</v>
      </c>
      <c r="Q43" s="364"/>
      <c r="R43" s="364"/>
      <c r="S43" s="364"/>
      <c r="T43" s="364"/>
      <c r="U43" s="364"/>
      <c r="V43" s="364"/>
      <c r="W43" s="364"/>
      <c r="X43" s="364"/>
      <c r="Y43" s="364"/>
      <c r="Z43" s="364"/>
      <c r="AA43" s="364"/>
      <c r="AB43" s="364"/>
      <c r="AC43" s="364"/>
      <c r="AD43" s="364"/>
    </row>
    <row r="44" spans="2:30">
      <c r="B44" s="367"/>
      <c r="D44" s="182"/>
      <c r="E44" s="182"/>
      <c r="F44" s="183"/>
      <c r="G44" s="182"/>
      <c r="H44" s="182"/>
      <c r="I44" s="182"/>
      <c r="J44" s="183"/>
      <c r="K44" s="183"/>
      <c r="L44" s="182"/>
      <c r="N44" s="181">
        <f t="shared" si="0"/>
        <v>0</v>
      </c>
      <c r="O44" s="180">
        <f t="shared" si="1"/>
        <v>0</v>
      </c>
      <c r="Q44" s="364"/>
      <c r="R44" s="364"/>
      <c r="S44" s="364"/>
      <c r="T44" s="364"/>
      <c r="U44" s="364"/>
      <c r="V44" s="364"/>
      <c r="W44" s="364"/>
      <c r="X44" s="364"/>
      <c r="Y44" s="364"/>
      <c r="Z44" s="364"/>
      <c r="AA44" s="364"/>
      <c r="AB44" s="364"/>
      <c r="AC44" s="364"/>
      <c r="AD44" s="364"/>
    </row>
    <row r="45" spans="2:30">
      <c r="B45" s="367"/>
      <c r="D45" s="182"/>
      <c r="E45" s="182"/>
      <c r="F45" s="183"/>
      <c r="G45" s="182"/>
      <c r="H45" s="182"/>
      <c r="I45" s="182"/>
      <c r="J45" s="183"/>
      <c r="K45" s="183"/>
      <c r="L45" s="182"/>
      <c r="N45" s="181">
        <f t="shared" si="0"/>
        <v>0</v>
      </c>
      <c r="O45" s="180">
        <f t="shared" si="1"/>
        <v>0</v>
      </c>
      <c r="Q45" s="364"/>
      <c r="R45" s="364"/>
      <c r="S45" s="364"/>
      <c r="T45" s="364"/>
      <c r="U45" s="364"/>
      <c r="V45" s="364"/>
      <c r="W45" s="364"/>
      <c r="X45" s="364"/>
      <c r="Y45" s="364"/>
      <c r="Z45" s="364"/>
      <c r="AA45" s="364"/>
      <c r="AB45" s="364"/>
      <c r="AC45" s="364"/>
      <c r="AD45" s="364"/>
    </row>
    <row r="46" spans="2:30" ht="12" customHeight="1">
      <c r="B46" s="367"/>
      <c r="D46" s="182"/>
      <c r="E46" s="182"/>
      <c r="F46" s="183"/>
      <c r="G46" s="182"/>
      <c r="H46" s="182"/>
      <c r="I46" s="182"/>
      <c r="J46" s="183"/>
      <c r="K46" s="183"/>
      <c r="L46" s="182"/>
      <c r="N46" s="181">
        <f t="shared" si="0"/>
        <v>0</v>
      </c>
      <c r="O46" s="180">
        <f t="shared" si="1"/>
        <v>0</v>
      </c>
      <c r="Q46" s="364"/>
      <c r="R46" s="364"/>
      <c r="S46" s="364"/>
      <c r="T46" s="364"/>
      <c r="U46" s="364"/>
      <c r="V46" s="364"/>
      <c r="W46" s="364"/>
      <c r="X46" s="364"/>
      <c r="Y46" s="364"/>
      <c r="Z46" s="364"/>
      <c r="AA46" s="364"/>
      <c r="AB46" s="364"/>
      <c r="AC46" s="364"/>
      <c r="AD46" s="364"/>
    </row>
    <row r="47" spans="2:30" s="364" customFormat="1" ht="13.15">
      <c r="L47" s="371" t="s">
        <v>1149</v>
      </c>
      <c r="N47" s="367">
        <f>SUM(N10:N46)</f>
        <v>0</v>
      </c>
      <c r="O47" s="368">
        <f>SUM(O10:O46)</f>
        <v>0</v>
      </c>
    </row>
    <row r="48" spans="2:30" s="364" customFormat="1"/>
    <row r="49" s="364" customFormat="1"/>
    <row r="50" s="364" customFormat="1"/>
    <row r="51" s="364" customFormat="1"/>
    <row r="52" s="364" customFormat="1"/>
    <row r="53" s="364" customFormat="1"/>
    <row r="54" s="364" customFormat="1"/>
    <row r="55" s="364" customFormat="1"/>
    <row r="56" s="364" customFormat="1"/>
    <row r="57" s="364" customFormat="1"/>
    <row r="58" s="364" customFormat="1"/>
    <row r="59" s="364" customFormat="1"/>
    <row r="60" s="364" customFormat="1"/>
    <row r="61" s="364" customFormat="1"/>
    <row r="62" s="364" customFormat="1"/>
    <row r="63" s="364" customFormat="1"/>
    <row r="64" s="364" customFormat="1"/>
    <row r="65" s="364" customFormat="1"/>
    <row r="66" s="364" customFormat="1"/>
    <row r="67" s="364" customFormat="1"/>
    <row r="68" s="364" customFormat="1"/>
    <row r="69" s="364" customFormat="1"/>
    <row r="70" s="364" customFormat="1"/>
    <row r="71" s="364" customFormat="1"/>
    <row r="72" s="364" customFormat="1"/>
    <row r="73" s="364" customFormat="1"/>
    <row r="74" s="364" customFormat="1"/>
    <row r="75" s="364" customFormat="1"/>
    <row r="76" s="364" customFormat="1"/>
    <row r="77" s="364" customFormat="1"/>
    <row r="78" s="364" customFormat="1"/>
    <row r="79" s="364" customFormat="1"/>
    <row r="80" s="364" customFormat="1"/>
    <row r="81" s="364" customFormat="1"/>
    <row r="82" s="364" customFormat="1"/>
    <row r="83" s="364" customFormat="1"/>
    <row r="84" s="364" customFormat="1"/>
    <row r="85" s="364" customFormat="1"/>
    <row r="86" s="364" customFormat="1"/>
    <row r="87" s="364" customFormat="1"/>
    <row r="88" s="364" customFormat="1"/>
    <row r="89" s="364" customFormat="1"/>
    <row r="90" s="364" customFormat="1"/>
    <row r="91" s="364" customFormat="1"/>
    <row r="92" s="364" customFormat="1"/>
    <row r="93" s="364" customFormat="1"/>
    <row r="94" s="364" customFormat="1"/>
    <row r="95" s="364" customFormat="1"/>
    <row r="96" s="364" customFormat="1"/>
    <row r="97" s="364" customFormat="1"/>
    <row r="98" s="364" customFormat="1"/>
    <row r="99" s="364" customFormat="1"/>
    <row r="100" s="364" customFormat="1"/>
    <row r="101" s="364" customFormat="1"/>
    <row r="102" s="364" customFormat="1"/>
    <row r="103" s="364" customFormat="1"/>
    <row r="104" s="364" customFormat="1"/>
    <row r="105" s="364" customFormat="1"/>
    <row r="106" s="364" customFormat="1"/>
    <row r="107" s="364" customFormat="1"/>
    <row r="108" s="364" customFormat="1"/>
    <row r="109" s="364" customFormat="1"/>
    <row r="110" s="364" customFormat="1"/>
    <row r="111" s="364" customFormat="1"/>
    <row r="112" s="364" customFormat="1"/>
    <row r="113" s="364" customFormat="1"/>
    <row r="114" s="364" customFormat="1"/>
    <row r="115" s="364" customFormat="1"/>
    <row r="116" s="364" customFormat="1"/>
    <row r="117" s="364" customFormat="1"/>
    <row r="118" s="364" customFormat="1"/>
    <row r="119" s="364" customFormat="1"/>
    <row r="120" s="364" customFormat="1"/>
    <row r="121" s="364" customFormat="1"/>
    <row r="122" s="364" customFormat="1"/>
    <row r="123" s="364" customFormat="1"/>
    <row r="124" s="364" customFormat="1"/>
    <row r="125" s="364" customFormat="1"/>
    <row r="126" s="364" customFormat="1"/>
    <row r="127" s="364" customFormat="1"/>
    <row r="128" s="364" customFormat="1"/>
    <row r="129" s="364" customFormat="1"/>
    <row r="130" s="364" customFormat="1"/>
    <row r="131" s="364" customFormat="1"/>
    <row r="132" s="364" customFormat="1"/>
    <row r="133" s="364" customFormat="1"/>
    <row r="134" s="364" customFormat="1"/>
    <row r="135" s="364" customFormat="1"/>
    <row r="136" s="364" customFormat="1"/>
    <row r="137" s="364" customFormat="1"/>
    <row r="138" s="364" customFormat="1"/>
    <row r="139" s="364" customFormat="1"/>
    <row r="140" s="364" customFormat="1"/>
    <row r="141" s="364" customFormat="1"/>
    <row r="142" s="364" customFormat="1"/>
    <row r="143" s="364" customFormat="1"/>
    <row r="144" s="364" customFormat="1"/>
    <row r="145" s="364" customFormat="1"/>
    <row r="146" s="364" customFormat="1"/>
    <row r="147" s="364" customFormat="1"/>
    <row r="148" s="364" customFormat="1"/>
    <row r="149" s="364" customFormat="1"/>
    <row r="150" s="364" customFormat="1"/>
    <row r="151" s="364" customFormat="1"/>
    <row r="152" s="364" customFormat="1"/>
    <row r="153" s="364" customFormat="1"/>
    <row r="154" s="364" customFormat="1"/>
    <row r="155" s="364" customFormat="1"/>
    <row r="156" s="364" customFormat="1"/>
    <row r="157" s="364" customFormat="1"/>
    <row r="158" s="364" customFormat="1"/>
    <row r="159" s="364" customFormat="1"/>
    <row r="160" s="364" customFormat="1"/>
    <row r="161" s="364" customFormat="1"/>
    <row r="162" s="364" customFormat="1"/>
    <row r="163" s="364" customFormat="1"/>
    <row r="164" s="364" customFormat="1"/>
    <row r="165" s="364" customFormat="1"/>
    <row r="166" s="364" customFormat="1"/>
    <row r="167" s="364" customFormat="1"/>
    <row r="168" s="364" customFormat="1"/>
    <row r="169" s="364" customFormat="1"/>
    <row r="170" s="364" customFormat="1"/>
    <row r="171" s="364" customFormat="1"/>
    <row r="172" s="364" customFormat="1"/>
    <row r="173" s="364" customFormat="1"/>
    <row r="174" s="364" customFormat="1"/>
    <row r="175" s="364" customFormat="1"/>
    <row r="176" s="364" customFormat="1"/>
    <row r="177" s="364" customFormat="1"/>
    <row r="178" s="364" customFormat="1"/>
    <row r="179" s="364" customFormat="1"/>
    <row r="180" s="364" customFormat="1"/>
    <row r="181" s="364" customFormat="1"/>
    <row r="182" s="364" customFormat="1"/>
    <row r="183" s="364" customFormat="1"/>
    <row r="184" s="364" customFormat="1"/>
    <row r="185" s="364" customFormat="1"/>
    <row r="186" s="364" customFormat="1"/>
    <row r="187" s="364" customFormat="1"/>
    <row r="188" s="364" customFormat="1"/>
    <row r="189" s="364" customFormat="1"/>
    <row r="190" s="364" customFormat="1"/>
    <row r="191" s="364" customFormat="1"/>
    <row r="192" s="364" customFormat="1"/>
    <row r="193" s="364" customFormat="1"/>
    <row r="194" s="364" customFormat="1"/>
    <row r="195" s="364" customFormat="1"/>
    <row r="196" s="364" customFormat="1"/>
    <row r="197" s="364" customFormat="1"/>
    <row r="198" s="364" customFormat="1"/>
    <row r="199" s="364" customFormat="1"/>
    <row r="200" s="364"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W907"/>
  <sheetViews>
    <sheetView zoomScale="80" zoomScaleNormal="80" workbookViewId="0">
      <pane ySplit="4" topLeftCell="A5" activePane="bottomLeft" state="frozen"/>
      <selection activeCell="D31" sqref="D31"/>
      <selection pane="bottomLeft"/>
    </sheetView>
  </sheetViews>
  <sheetFormatPr defaultColWidth="10.265625" defaultRowHeight="12.75"/>
  <cols>
    <col min="1" max="1" width="5.86328125" style="390" customWidth="1"/>
    <col min="2" max="2" width="12.73046875" style="174" customWidth="1"/>
    <col min="3" max="3" width="9.73046875" style="174" customWidth="1"/>
    <col min="4" max="4" width="11.73046875" style="174" bestFit="1" customWidth="1"/>
    <col min="5" max="6" width="13.3984375" style="174" customWidth="1"/>
    <col min="7" max="7" width="11.59765625" style="174" customWidth="1"/>
    <col min="8" max="8" width="11.1328125" style="174" bestFit="1" customWidth="1"/>
    <col min="9" max="9" width="10.265625" style="174"/>
    <col min="10" max="10" width="9.73046875" style="174" customWidth="1"/>
    <col min="11" max="11" width="9.86328125" style="174" customWidth="1"/>
    <col min="12" max="12" width="12.3984375" style="174" customWidth="1"/>
    <col min="13" max="13" width="11.1328125" style="174" bestFit="1" customWidth="1"/>
    <col min="14" max="14" width="10.265625" style="174"/>
    <col min="15" max="15" width="11.265625" style="206" customWidth="1"/>
    <col min="16" max="16" width="10.1328125" style="206" customWidth="1"/>
    <col min="17" max="18" width="10.265625" style="390"/>
    <col min="19" max="19" width="18.265625" style="390" customWidth="1"/>
    <col min="20" max="20" width="27.3984375" style="390" customWidth="1"/>
    <col min="21" max="49" width="10.265625" style="390"/>
    <col min="50" max="16384" width="10.265625" style="174"/>
  </cols>
  <sheetData>
    <row r="1" spans="1:32" s="73" customFormat="1" ht="23.25">
      <c r="A1" s="89" t="str">
        <f>'1.1 Cover'!A2</f>
        <v>Regulatory Reporting Pack</v>
      </c>
    </row>
    <row r="2" spans="1:32" s="73" customFormat="1" ht="23.25">
      <c r="A2" s="89" t="str">
        <f>'1.1 Cover'!A3</f>
        <v>Price base - 2018/19</v>
      </c>
    </row>
    <row r="3" spans="1:32" s="73" customFormat="1" ht="23.25">
      <c r="A3" s="89" t="str">
        <f>'1.1 Cover'!A4</f>
        <v>Regulatory Year: April 2021 - March 2022</v>
      </c>
    </row>
    <row r="4" spans="1:32" s="73" customFormat="1" ht="23.25">
      <c r="A4" s="89" t="s">
        <v>1326</v>
      </c>
    </row>
    <row r="5" spans="1:32" ht="15">
      <c r="A5" s="310"/>
      <c r="B5" s="310"/>
      <c r="C5" s="310"/>
      <c r="D5" s="310"/>
      <c r="E5" s="310"/>
      <c r="F5" s="311"/>
      <c r="G5" s="312"/>
      <c r="H5" s="313"/>
      <c r="I5" s="313"/>
      <c r="J5" s="313"/>
      <c r="K5" s="313"/>
      <c r="L5" s="313"/>
      <c r="M5" s="313"/>
      <c r="N5" s="313"/>
      <c r="O5" s="313"/>
      <c r="P5" s="313"/>
      <c r="Q5" s="313"/>
      <c r="R5" s="313"/>
      <c r="S5" s="313"/>
      <c r="T5" s="313"/>
      <c r="U5" s="313"/>
      <c r="V5" s="313"/>
      <c r="W5" s="313"/>
      <c r="X5" s="310"/>
      <c r="Y5" s="310"/>
      <c r="Z5" s="310"/>
      <c r="AA5" s="310"/>
      <c r="AB5" s="310"/>
      <c r="AC5" s="310"/>
      <c r="AD5" s="310"/>
      <c r="AE5" s="310"/>
      <c r="AF5" s="310"/>
    </row>
    <row r="6" spans="1:32" ht="15">
      <c r="A6" s="310"/>
      <c r="B6" s="310"/>
      <c r="C6" s="310"/>
      <c r="D6" s="310"/>
      <c r="E6" s="310"/>
      <c r="F6" s="311"/>
      <c r="G6" s="312"/>
      <c r="H6" s="313"/>
      <c r="I6" s="313"/>
      <c r="J6" s="313"/>
      <c r="K6" s="313"/>
      <c r="L6" s="313"/>
      <c r="M6" s="313"/>
      <c r="N6" s="313"/>
      <c r="O6" s="313"/>
      <c r="P6" s="313"/>
      <c r="Q6" s="313"/>
      <c r="R6" s="313"/>
      <c r="S6" s="310"/>
      <c r="T6" s="310"/>
      <c r="U6" s="313"/>
      <c r="V6" s="313"/>
      <c r="W6" s="313"/>
      <c r="X6" s="310"/>
      <c r="Y6" s="310"/>
      <c r="Z6" s="310"/>
      <c r="AA6" s="310"/>
      <c r="AB6" s="310"/>
      <c r="AC6" s="310"/>
      <c r="AD6" s="310"/>
      <c r="AE6" s="310"/>
      <c r="AF6" s="310"/>
    </row>
    <row r="7" spans="1:32" ht="15">
      <c r="A7" s="310"/>
      <c r="B7" s="310"/>
      <c r="C7" s="310"/>
      <c r="D7" s="310"/>
      <c r="E7" s="310"/>
      <c r="F7" s="313"/>
      <c r="G7" s="310"/>
      <c r="H7" s="313"/>
      <c r="I7" s="313"/>
      <c r="J7" s="313"/>
      <c r="K7" s="313"/>
      <c r="L7" s="313"/>
      <c r="M7" s="313"/>
      <c r="N7" s="313"/>
      <c r="O7" s="313"/>
      <c r="P7" s="313"/>
      <c r="Q7" s="313"/>
      <c r="R7" s="313"/>
      <c r="S7" s="310"/>
      <c r="T7" s="310"/>
      <c r="U7" s="313"/>
      <c r="V7" s="313"/>
      <c r="W7" s="313"/>
      <c r="X7" s="310"/>
      <c r="Y7" s="310"/>
      <c r="Z7" s="310"/>
      <c r="AA7" s="310"/>
      <c r="AB7" s="310"/>
      <c r="AC7" s="310"/>
      <c r="AD7" s="310"/>
      <c r="AE7" s="310"/>
      <c r="AF7" s="310"/>
    </row>
    <row r="8" spans="1:32">
      <c r="B8" s="390"/>
      <c r="C8" s="390"/>
      <c r="D8" s="390"/>
      <c r="E8" s="390"/>
      <c r="F8" s="390"/>
      <c r="G8" s="390"/>
      <c r="H8" s="390"/>
      <c r="I8" s="390"/>
      <c r="J8" s="390"/>
      <c r="K8" s="390"/>
      <c r="L8" s="623"/>
      <c r="M8" s="390" t="s">
        <v>1200</v>
      </c>
      <c r="N8" s="390"/>
      <c r="O8" s="399"/>
      <c r="P8" s="399"/>
    </row>
    <row r="9" spans="1:32" ht="23.25">
      <c r="B9" s="398"/>
      <c r="C9" s="398"/>
      <c r="D9" s="390"/>
      <c r="E9" s="390"/>
      <c r="F9" s="390"/>
      <c r="G9" s="390"/>
      <c r="H9" s="390"/>
      <c r="I9" s="390"/>
      <c r="J9" s="390"/>
      <c r="K9" s="390"/>
      <c r="L9" s="624"/>
      <c r="M9" s="390" t="s">
        <v>1199</v>
      </c>
      <c r="N9" s="390"/>
      <c r="O9" s="399"/>
      <c r="P9" s="399"/>
    </row>
    <row r="10" spans="1:32">
      <c r="B10" s="390"/>
      <c r="C10" s="390"/>
      <c r="D10" s="390"/>
      <c r="E10" s="390"/>
      <c r="F10" s="390"/>
      <c r="G10" s="390"/>
      <c r="H10" s="390"/>
      <c r="I10" s="390"/>
      <c r="J10" s="390"/>
      <c r="K10" s="390"/>
      <c r="L10" s="390"/>
      <c r="M10" s="390"/>
      <c r="N10" s="390"/>
      <c r="O10" s="399"/>
      <c r="P10" s="399"/>
    </row>
    <row r="11" spans="1:32" ht="26.25">
      <c r="B11" s="1409" t="s">
        <v>1071</v>
      </c>
      <c r="C11" s="1410" t="s">
        <v>1198</v>
      </c>
      <c r="D11" s="1411"/>
      <c r="E11" s="1411"/>
      <c r="F11" s="1411"/>
      <c r="G11" s="1411"/>
      <c r="H11" s="1411"/>
      <c r="I11" s="1412"/>
      <c r="J11" s="1410" t="s">
        <v>1197</v>
      </c>
      <c r="K11" s="1411"/>
      <c r="L11" s="1411"/>
      <c r="M11" s="1411"/>
      <c r="N11" s="1412"/>
      <c r="O11" s="1413"/>
      <c r="P11" s="1414"/>
      <c r="Q11" s="393"/>
      <c r="S11" s="1415" t="s">
        <v>1071</v>
      </c>
      <c r="T11" s="205" t="s">
        <v>1171</v>
      </c>
    </row>
    <row r="12" spans="1:32" ht="40.5">
      <c r="A12" s="391"/>
      <c r="B12" s="1409"/>
      <c r="C12" s="485" t="s">
        <v>1196</v>
      </c>
      <c r="D12" s="485" t="s">
        <v>1195</v>
      </c>
      <c r="E12" s="485" t="s">
        <v>1194</v>
      </c>
      <c r="F12" s="485" t="s">
        <v>1193</v>
      </c>
      <c r="G12" s="485" t="s">
        <v>1192</v>
      </c>
      <c r="H12" s="485" t="s">
        <v>1188</v>
      </c>
      <c r="I12" s="485" t="s">
        <v>1187</v>
      </c>
      <c r="J12" s="485" t="s">
        <v>1191</v>
      </c>
      <c r="K12" s="485" t="s">
        <v>1190</v>
      </c>
      <c r="L12" s="485" t="s">
        <v>1189</v>
      </c>
      <c r="M12" s="485" t="s">
        <v>1188</v>
      </c>
      <c r="N12" s="485" t="s">
        <v>1187</v>
      </c>
      <c r="O12" s="485" t="s">
        <v>1186</v>
      </c>
      <c r="P12" s="456" t="s">
        <v>1735</v>
      </c>
      <c r="Q12" s="394"/>
      <c r="R12" s="391"/>
      <c r="S12" s="1415"/>
      <c r="T12" s="204" t="s">
        <v>1170</v>
      </c>
      <c r="U12" s="391"/>
      <c r="V12" s="391"/>
      <c r="W12" s="391"/>
      <c r="X12" s="391"/>
      <c r="Y12" s="391"/>
      <c r="Z12" s="391"/>
      <c r="AA12" s="391"/>
      <c r="AB12" s="391"/>
      <c r="AC12" s="391"/>
      <c r="AD12" s="391"/>
      <c r="AE12" s="391"/>
      <c r="AF12" s="391"/>
    </row>
    <row r="13" spans="1:32" ht="14.65">
      <c r="A13" s="391"/>
      <c r="B13" s="1409"/>
      <c r="C13" s="485"/>
      <c r="D13" s="487" t="s">
        <v>1185</v>
      </c>
      <c r="E13" s="486" t="s">
        <v>1184</v>
      </c>
      <c r="F13" s="486" t="s">
        <v>1183</v>
      </c>
      <c r="G13" s="486" t="s">
        <v>1182</v>
      </c>
      <c r="H13" s="1416" t="s">
        <v>1181</v>
      </c>
      <c r="I13" s="1416"/>
      <c r="J13" s="486" t="s">
        <v>1180</v>
      </c>
      <c r="K13" s="486" t="s">
        <v>1179</v>
      </c>
      <c r="L13" s="487" t="s">
        <v>1178</v>
      </c>
      <c r="M13" s="1417" t="s">
        <v>1177</v>
      </c>
      <c r="N13" s="1417"/>
      <c r="O13" s="1416" t="s">
        <v>1176</v>
      </c>
      <c r="P13" s="1416"/>
      <c r="Q13" s="394"/>
      <c r="R13" s="391"/>
      <c r="S13" s="1415"/>
      <c r="T13" s="488" t="s">
        <v>1069</v>
      </c>
      <c r="U13" s="391"/>
      <c r="V13" s="391"/>
      <c r="W13" s="391"/>
      <c r="X13" s="391"/>
      <c r="Y13" s="391"/>
      <c r="Z13" s="391"/>
      <c r="AA13" s="391"/>
      <c r="AB13" s="391"/>
      <c r="AC13" s="391"/>
      <c r="AD13" s="391"/>
      <c r="AE13" s="391"/>
      <c r="AF13" s="391"/>
    </row>
    <row r="14" spans="1:32" ht="13.15">
      <c r="A14" s="391"/>
      <c r="B14" s="1409"/>
      <c r="C14" s="485"/>
      <c r="D14" s="487" t="s">
        <v>1175</v>
      </c>
      <c r="E14" s="487" t="s">
        <v>1175</v>
      </c>
      <c r="F14" s="487" t="s">
        <v>1175</v>
      </c>
      <c r="G14" s="486" t="s">
        <v>1174</v>
      </c>
      <c r="H14" s="486" t="s">
        <v>1172</v>
      </c>
      <c r="I14" s="486" t="s">
        <v>1172</v>
      </c>
      <c r="J14" s="486" t="s">
        <v>1173</v>
      </c>
      <c r="K14" s="486" t="s">
        <v>1173</v>
      </c>
      <c r="L14" s="486" t="s">
        <v>1173</v>
      </c>
      <c r="M14" s="486" t="s">
        <v>1172</v>
      </c>
      <c r="N14" s="486" t="s">
        <v>1172</v>
      </c>
      <c r="O14" s="486" t="s">
        <v>1172</v>
      </c>
      <c r="P14" s="486" t="s">
        <v>1172</v>
      </c>
      <c r="Q14" s="394"/>
      <c r="R14" s="391"/>
      <c r="S14" s="203">
        <v>44287</v>
      </c>
      <c r="T14" s="462" t="e">
        <f>SUMIF($C$15:$C$379,4,$O$15:$O$379)/1000000</f>
        <v>#DIV/0!</v>
      </c>
      <c r="U14" s="391"/>
      <c r="V14" s="391"/>
      <c r="W14" s="391"/>
      <c r="X14" s="391"/>
      <c r="Y14" s="391"/>
      <c r="Z14" s="391"/>
      <c r="AA14" s="391"/>
      <c r="AB14" s="391"/>
      <c r="AC14" s="391"/>
      <c r="AD14" s="391"/>
      <c r="AE14" s="391"/>
      <c r="AF14" s="391"/>
    </row>
    <row r="15" spans="1:32" ht="13.15">
      <c r="B15" s="176">
        <v>44287</v>
      </c>
      <c r="C15" s="209">
        <f t="shared" ref="C15:C78" si="0">MONTH(B15)</f>
        <v>4</v>
      </c>
      <c r="D15" s="208"/>
      <c r="E15" s="208"/>
      <c r="F15" s="208"/>
      <c r="G15" s="625" t="e">
        <f t="shared" ref="G15:G79" si="1">((E15-F15)/D15)*100</f>
        <v>#DIV/0!</v>
      </c>
      <c r="H15" s="464" t="e">
        <f>IF(AND(G15&gt;=0,G15&lt;=5),1200-(G15*800),IF(AND(G15&gt;5,G15&lt;75.667),-2800-(300*(G15-5)),-24000))</f>
        <v>#DIV/0!</v>
      </c>
      <c r="I15" s="464" t="e">
        <f>SUM($H$15:H15)</f>
        <v>#DIV/0!</v>
      </c>
      <c r="J15" s="207"/>
      <c r="K15" s="626" t="e">
        <f>IF(ISBLANK(J16),#N/A,J16)</f>
        <v>#N/A</v>
      </c>
      <c r="L15" s="627" t="e">
        <f>MAX((J15-K15),(K15-J15))</f>
        <v>#N/A</v>
      </c>
      <c r="M15" s="628" t="e">
        <f>IF(AND(L15&gt;=0, L15&lt;=1.5), 3200, IF(AND(L15&gt;1.5,L15&lt;=2.8),3200*((2.8-L15)/1.3),IF(AND(L15&gt;2.8, L15&lt;15), -24000*((2.8-L15)/-12.2), -24000)))</f>
        <v>#N/A</v>
      </c>
      <c r="N15" s="464" t="e">
        <f>SUM($M$15:M15)</f>
        <v>#N/A</v>
      </c>
      <c r="O15" s="464" t="e">
        <f>SUM(H15+M15)</f>
        <v>#DIV/0!</v>
      </c>
      <c r="P15" s="464" t="e">
        <f>SUM($O$15:O15)</f>
        <v>#DIV/0!</v>
      </c>
      <c r="Q15" s="395"/>
      <c r="R15" s="391"/>
      <c r="S15" s="203">
        <v>44317</v>
      </c>
      <c r="T15" s="462" t="e">
        <f>SUMIF($C$15:$C$379,5,$O$15:$O$379)/1000000</f>
        <v>#DIV/0!</v>
      </c>
    </row>
    <row r="16" spans="1:32" ht="13.15">
      <c r="B16" s="176">
        <f t="shared" ref="B16:B79" si="2">B15+1</f>
        <v>44288</v>
      </c>
      <c r="C16" s="209">
        <f t="shared" si="0"/>
        <v>4</v>
      </c>
      <c r="D16" s="208"/>
      <c r="E16" s="208"/>
      <c r="F16" s="208"/>
      <c r="G16" s="625" t="e">
        <f t="shared" si="1"/>
        <v>#DIV/0!</v>
      </c>
      <c r="H16" s="464" t="e">
        <f t="shared" ref="H16:H79" si="3">IF(AND(G16&gt;=0,G16&lt;=5),1200-(G16*800),IF(AND(G16&gt;5,G16&lt;75.667),-2800-(300*(G16-5)),-24000))</f>
        <v>#DIV/0!</v>
      </c>
      <c r="I16" s="464" t="e">
        <f>SUM($H$15:H16)</f>
        <v>#DIV/0!</v>
      </c>
      <c r="J16" s="207"/>
      <c r="K16" s="626" t="e">
        <f t="shared" ref="K16:K79" si="4">IF(ISBLANK(J17),#N/A,J17)</f>
        <v>#N/A</v>
      </c>
      <c r="L16" s="627" t="e">
        <f t="shared" ref="L16:L79" si="5">MAX((J16-K16),(K16-J16))</f>
        <v>#N/A</v>
      </c>
      <c r="M16" s="628" t="e">
        <f t="shared" ref="M16:M79" si="6">IF(AND(L16&gt;=0, L16&lt;=1.5), 3200, IF(AND(L16&gt;1.5,L16&lt;=2.8),3200*((2.8-L16)/1.3),IF(AND(L16&gt;2.8, L16&lt;15), -24000*((2.8-L16)/-12.2), -24000)))</f>
        <v>#N/A</v>
      </c>
      <c r="N16" s="464" t="e">
        <f>SUM($M$15:M16)</f>
        <v>#N/A</v>
      </c>
      <c r="O16" s="464" t="e">
        <f>SUM(H16+M16)</f>
        <v>#DIV/0!</v>
      </c>
      <c r="P16" s="464" t="e">
        <f>SUM($O$15:O16)</f>
        <v>#DIV/0!</v>
      </c>
      <c r="Q16" s="395"/>
      <c r="S16" s="203">
        <v>44348</v>
      </c>
      <c r="T16" s="462" t="e">
        <f>SUMIF($C$15:$C$379,6,$O$15:$O$379)/1000000</f>
        <v>#DIV/0!</v>
      </c>
    </row>
    <row r="17" spans="2:20" ht="13.15">
      <c r="B17" s="176">
        <f t="shared" si="2"/>
        <v>44289</v>
      </c>
      <c r="C17" s="209">
        <f t="shared" si="0"/>
        <v>4</v>
      </c>
      <c r="D17" s="208"/>
      <c r="E17" s="208"/>
      <c r="F17" s="208"/>
      <c r="G17" s="625" t="e">
        <f t="shared" si="1"/>
        <v>#DIV/0!</v>
      </c>
      <c r="H17" s="464" t="e">
        <f t="shared" si="3"/>
        <v>#DIV/0!</v>
      </c>
      <c r="I17" s="464" t="e">
        <f>SUM($H$15:H17)</f>
        <v>#DIV/0!</v>
      </c>
      <c r="J17" s="207"/>
      <c r="K17" s="626" t="e">
        <f t="shared" si="4"/>
        <v>#N/A</v>
      </c>
      <c r="L17" s="627" t="e">
        <f t="shared" si="5"/>
        <v>#N/A</v>
      </c>
      <c r="M17" s="628" t="e">
        <f t="shared" si="6"/>
        <v>#N/A</v>
      </c>
      <c r="N17" s="464" t="e">
        <f>SUM($M$15:M17)</f>
        <v>#N/A</v>
      </c>
      <c r="O17" s="464" t="e">
        <f t="shared" ref="O17:O78" si="7">SUM(H17+M17)</f>
        <v>#DIV/0!</v>
      </c>
      <c r="P17" s="464" t="e">
        <f>SUM($O$15:O17)</f>
        <v>#DIV/0!</v>
      </c>
      <c r="Q17" s="395"/>
      <c r="R17" s="391"/>
      <c r="S17" s="203">
        <v>44378</v>
      </c>
      <c r="T17" s="462" t="e">
        <f>SUMIF($C$15:$C$379,7,$O$15:$O$379)/1000000</f>
        <v>#DIV/0!</v>
      </c>
    </row>
    <row r="18" spans="2:20" ht="13.15">
      <c r="B18" s="176">
        <f t="shared" si="2"/>
        <v>44290</v>
      </c>
      <c r="C18" s="209">
        <f t="shared" si="0"/>
        <v>4</v>
      </c>
      <c r="D18" s="208"/>
      <c r="E18" s="208"/>
      <c r="F18" s="208"/>
      <c r="G18" s="625" t="e">
        <f t="shared" si="1"/>
        <v>#DIV/0!</v>
      </c>
      <c r="H18" s="464" t="e">
        <f t="shared" si="3"/>
        <v>#DIV/0!</v>
      </c>
      <c r="I18" s="464" t="e">
        <f>SUM($H$15:H18)</f>
        <v>#DIV/0!</v>
      </c>
      <c r="J18" s="207"/>
      <c r="K18" s="626" t="e">
        <f t="shared" si="4"/>
        <v>#N/A</v>
      </c>
      <c r="L18" s="627" t="e">
        <f t="shared" si="5"/>
        <v>#N/A</v>
      </c>
      <c r="M18" s="628" t="e">
        <f t="shared" si="6"/>
        <v>#N/A</v>
      </c>
      <c r="N18" s="464" t="e">
        <f>SUM($M$15:M18)</f>
        <v>#N/A</v>
      </c>
      <c r="O18" s="464" t="e">
        <f t="shared" si="7"/>
        <v>#DIV/0!</v>
      </c>
      <c r="P18" s="464" t="e">
        <f>SUM($O$15:O18)</f>
        <v>#DIV/0!</v>
      </c>
      <c r="Q18" s="395"/>
      <c r="R18" s="391"/>
      <c r="S18" s="203">
        <v>44409</v>
      </c>
      <c r="T18" s="462" t="e">
        <f>SUMIF($C$15:$C$379,8,$O$15:$O$379)/1000000</f>
        <v>#DIV/0!</v>
      </c>
    </row>
    <row r="19" spans="2:20" ht="13.15">
      <c r="B19" s="176">
        <f t="shared" si="2"/>
        <v>44291</v>
      </c>
      <c r="C19" s="209">
        <f t="shared" si="0"/>
        <v>4</v>
      </c>
      <c r="D19" s="208"/>
      <c r="E19" s="208"/>
      <c r="F19" s="208"/>
      <c r="G19" s="625" t="e">
        <f t="shared" si="1"/>
        <v>#DIV/0!</v>
      </c>
      <c r="H19" s="464" t="e">
        <f t="shared" si="3"/>
        <v>#DIV/0!</v>
      </c>
      <c r="I19" s="464" t="e">
        <f>SUM($H$15:H19)</f>
        <v>#DIV/0!</v>
      </c>
      <c r="J19" s="207"/>
      <c r="K19" s="626" t="e">
        <f t="shared" si="4"/>
        <v>#N/A</v>
      </c>
      <c r="L19" s="627" t="e">
        <f t="shared" si="5"/>
        <v>#N/A</v>
      </c>
      <c r="M19" s="628" t="e">
        <f t="shared" si="6"/>
        <v>#N/A</v>
      </c>
      <c r="N19" s="464" t="e">
        <f>SUM($M$15:M19)</f>
        <v>#N/A</v>
      </c>
      <c r="O19" s="464" t="e">
        <f t="shared" si="7"/>
        <v>#DIV/0!</v>
      </c>
      <c r="P19" s="464" t="e">
        <f>SUM($O$15:O19)</f>
        <v>#DIV/0!</v>
      </c>
      <c r="Q19" s="395"/>
      <c r="R19" s="391"/>
      <c r="S19" s="203">
        <v>44440</v>
      </c>
      <c r="T19" s="462" t="e">
        <f>SUMIF($C$15:$C$379,9,$O$15:$O$379)/1000000</f>
        <v>#DIV/0!</v>
      </c>
    </row>
    <row r="20" spans="2:20" ht="13.15">
      <c r="B20" s="176">
        <f t="shared" si="2"/>
        <v>44292</v>
      </c>
      <c r="C20" s="209">
        <f t="shared" si="0"/>
        <v>4</v>
      </c>
      <c r="D20" s="208"/>
      <c r="E20" s="208"/>
      <c r="F20" s="208"/>
      <c r="G20" s="625" t="e">
        <f t="shared" si="1"/>
        <v>#DIV/0!</v>
      </c>
      <c r="H20" s="464" t="e">
        <f t="shared" si="3"/>
        <v>#DIV/0!</v>
      </c>
      <c r="I20" s="464" t="e">
        <f>SUM($H$15:H20)</f>
        <v>#DIV/0!</v>
      </c>
      <c r="J20" s="207"/>
      <c r="K20" s="626" t="e">
        <f t="shared" si="4"/>
        <v>#N/A</v>
      </c>
      <c r="L20" s="627" t="e">
        <f t="shared" si="5"/>
        <v>#N/A</v>
      </c>
      <c r="M20" s="628" t="e">
        <f t="shared" si="6"/>
        <v>#N/A</v>
      </c>
      <c r="N20" s="464" t="e">
        <f>SUM($M$15:M20)</f>
        <v>#N/A</v>
      </c>
      <c r="O20" s="464" t="e">
        <f t="shared" si="7"/>
        <v>#DIV/0!</v>
      </c>
      <c r="P20" s="464" t="e">
        <f>SUM($O$15:O20)</f>
        <v>#DIV/0!</v>
      </c>
      <c r="Q20" s="395"/>
      <c r="R20" s="391"/>
      <c r="S20" s="203">
        <v>44470</v>
      </c>
      <c r="T20" s="462" t="e">
        <f>SUMIF($C$15:$C$379,10,$O$15:$O$379)/1000000</f>
        <v>#DIV/0!</v>
      </c>
    </row>
    <row r="21" spans="2:20" ht="13.15">
      <c r="B21" s="176">
        <f t="shared" si="2"/>
        <v>44293</v>
      </c>
      <c r="C21" s="209">
        <f t="shared" si="0"/>
        <v>4</v>
      </c>
      <c r="D21" s="208"/>
      <c r="E21" s="208"/>
      <c r="F21" s="208"/>
      <c r="G21" s="625" t="e">
        <f t="shared" si="1"/>
        <v>#DIV/0!</v>
      </c>
      <c r="H21" s="464" t="e">
        <f t="shared" si="3"/>
        <v>#DIV/0!</v>
      </c>
      <c r="I21" s="464" t="e">
        <f>SUM($H$15:H21)</f>
        <v>#DIV/0!</v>
      </c>
      <c r="J21" s="207"/>
      <c r="K21" s="626" t="e">
        <f t="shared" si="4"/>
        <v>#N/A</v>
      </c>
      <c r="L21" s="627" t="e">
        <f t="shared" si="5"/>
        <v>#N/A</v>
      </c>
      <c r="M21" s="628" t="e">
        <f t="shared" si="6"/>
        <v>#N/A</v>
      </c>
      <c r="N21" s="464" t="e">
        <f>SUM($M$15:M21)</f>
        <v>#N/A</v>
      </c>
      <c r="O21" s="464" t="e">
        <f t="shared" si="7"/>
        <v>#DIV/0!</v>
      </c>
      <c r="P21" s="464" t="e">
        <f>SUM($O$15:O21)</f>
        <v>#DIV/0!</v>
      </c>
      <c r="Q21" s="395"/>
      <c r="R21" s="391"/>
      <c r="S21" s="203">
        <v>44501</v>
      </c>
      <c r="T21" s="462" t="e">
        <f>SUMIF($C$15:$C$379,11,$O$15:$O$379)/1000000</f>
        <v>#DIV/0!</v>
      </c>
    </row>
    <row r="22" spans="2:20" ht="13.15">
      <c r="B22" s="176">
        <f t="shared" si="2"/>
        <v>44294</v>
      </c>
      <c r="C22" s="209">
        <f t="shared" si="0"/>
        <v>4</v>
      </c>
      <c r="D22" s="208"/>
      <c r="E22" s="208"/>
      <c r="F22" s="208"/>
      <c r="G22" s="625" t="e">
        <f t="shared" si="1"/>
        <v>#DIV/0!</v>
      </c>
      <c r="H22" s="464" t="e">
        <f t="shared" si="3"/>
        <v>#DIV/0!</v>
      </c>
      <c r="I22" s="464" t="e">
        <f>SUM($H$15:H22)</f>
        <v>#DIV/0!</v>
      </c>
      <c r="J22" s="207"/>
      <c r="K22" s="626" t="e">
        <f t="shared" si="4"/>
        <v>#N/A</v>
      </c>
      <c r="L22" s="627" t="e">
        <f t="shared" si="5"/>
        <v>#N/A</v>
      </c>
      <c r="M22" s="628" t="e">
        <f t="shared" si="6"/>
        <v>#N/A</v>
      </c>
      <c r="N22" s="464" t="e">
        <f>SUM($M$15:M22)</f>
        <v>#N/A</v>
      </c>
      <c r="O22" s="464" t="e">
        <f t="shared" si="7"/>
        <v>#DIV/0!</v>
      </c>
      <c r="P22" s="464" t="e">
        <f>SUM($O$15:O22)</f>
        <v>#DIV/0!</v>
      </c>
      <c r="Q22" s="395"/>
      <c r="R22" s="391"/>
      <c r="S22" s="203">
        <v>44531</v>
      </c>
      <c r="T22" s="462" t="e">
        <f>SUMIF($C$15:$C$379,12,$O$15:$O$379)/1000000</f>
        <v>#DIV/0!</v>
      </c>
    </row>
    <row r="23" spans="2:20" ht="13.15">
      <c r="B23" s="176">
        <f t="shared" si="2"/>
        <v>44295</v>
      </c>
      <c r="C23" s="209">
        <f t="shared" si="0"/>
        <v>4</v>
      </c>
      <c r="D23" s="208"/>
      <c r="E23" s="208"/>
      <c r="F23" s="208"/>
      <c r="G23" s="625" t="e">
        <f t="shared" si="1"/>
        <v>#DIV/0!</v>
      </c>
      <c r="H23" s="464" t="e">
        <f t="shared" si="3"/>
        <v>#DIV/0!</v>
      </c>
      <c r="I23" s="464" t="e">
        <f>SUM($H$15:H23)</f>
        <v>#DIV/0!</v>
      </c>
      <c r="J23" s="207"/>
      <c r="K23" s="626" t="e">
        <f t="shared" si="4"/>
        <v>#N/A</v>
      </c>
      <c r="L23" s="627" t="e">
        <f t="shared" si="5"/>
        <v>#N/A</v>
      </c>
      <c r="M23" s="628" t="e">
        <f t="shared" si="6"/>
        <v>#N/A</v>
      </c>
      <c r="N23" s="464" t="e">
        <f>SUM($M$15:M23)</f>
        <v>#N/A</v>
      </c>
      <c r="O23" s="464" t="e">
        <f t="shared" si="7"/>
        <v>#DIV/0!</v>
      </c>
      <c r="P23" s="464" t="e">
        <f>SUM($O$15:O23)</f>
        <v>#DIV/0!</v>
      </c>
      <c r="Q23" s="395"/>
      <c r="S23" s="203">
        <v>44562</v>
      </c>
      <c r="T23" s="462" t="e">
        <f>SUMIF($C$15:$C$379,1,$O$15:$O$379)/1000000</f>
        <v>#DIV/0!</v>
      </c>
    </row>
    <row r="24" spans="2:20" ht="13.15">
      <c r="B24" s="176">
        <f t="shared" si="2"/>
        <v>44296</v>
      </c>
      <c r="C24" s="209">
        <f t="shared" si="0"/>
        <v>4</v>
      </c>
      <c r="D24" s="208"/>
      <c r="E24" s="208"/>
      <c r="F24" s="208"/>
      <c r="G24" s="625" t="e">
        <f t="shared" si="1"/>
        <v>#DIV/0!</v>
      </c>
      <c r="H24" s="464" t="e">
        <f t="shared" si="3"/>
        <v>#DIV/0!</v>
      </c>
      <c r="I24" s="464" t="e">
        <f>SUM($H$15:H24)</f>
        <v>#DIV/0!</v>
      </c>
      <c r="J24" s="207"/>
      <c r="K24" s="626" t="e">
        <f t="shared" si="4"/>
        <v>#N/A</v>
      </c>
      <c r="L24" s="627" t="e">
        <f t="shared" si="5"/>
        <v>#N/A</v>
      </c>
      <c r="M24" s="628" t="e">
        <f t="shared" si="6"/>
        <v>#N/A</v>
      </c>
      <c r="N24" s="464" t="e">
        <f>SUM($M$15:M24)</f>
        <v>#N/A</v>
      </c>
      <c r="O24" s="464" t="e">
        <f t="shared" si="7"/>
        <v>#DIV/0!</v>
      </c>
      <c r="P24" s="464" t="e">
        <f>SUM($O$15:O24)</f>
        <v>#DIV/0!</v>
      </c>
      <c r="Q24" s="395"/>
      <c r="S24" s="203">
        <v>44593</v>
      </c>
      <c r="T24" s="462" t="e">
        <f>SUMIF($C$15:$C$379,2,$O$15:$O$379)/1000000</f>
        <v>#DIV/0!</v>
      </c>
    </row>
    <row r="25" spans="2:20" ht="13.5" thickBot="1">
      <c r="B25" s="176">
        <f t="shared" si="2"/>
        <v>44297</v>
      </c>
      <c r="C25" s="209">
        <f t="shared" si="0"/>
        <v>4</v>
      </c>
      <c r="D25" s="208"/>
      <c r="E25" s="208"/>
      <c r="F25" s="208"/>
      <c r="G25" s="625" t="e">
        <f t="shared" si="1"/>
        <v>#DIV/0!</v>
      </c>
      <c r="H25" s="464" t="e">
        <f t="shared" si="3"/>
        <v>#DIV/0!</v>
      </c>
      <c r="I25" s="464" t="e">
        <f>SUM($H$15:H25)</f>
        <v>#DIV/0!</v>
      </c>
      <c r="J25" s="207"/>
      <c r="K25" s="626" t="e">
        <f t="shared" si="4"/>
        <v>#N/A</v>
      </c>
      <c r="L25" s="627" t="e">
        <f t="shared" si="5"/>
        <v>#N/A</v>
      </c>
      <c r="M25" s="628" t="e">
        <f t="shared" si="6"/>
        <v>#N/A</v>
      </c>
      <c r="N25" s="464" t="e">
        <f>SUM($M$15:M25)</f>
        <v>#N/A</v>
      </c>
      <c r="O25" s="464" t="e">
        <f t="shared" si="7"/>
        <v>#DIV/0!</v>
      </c>
      <c r="P25" s="464" t="e">
        <f>SUM($O$15:O25)</f>
        <v>#DIV/0!</v>
      </c>
      <c r="Q25" s="395"/>
      <c r="S25" s="203">
        <v>44621</v>
      </c>
      <c r="T25" s="462" t="e">
        <f>SUMIF($C$15:$C$379,3,$O$15:$O$379)/1000000</f>
        <v>#DIV/0!</v>
      </c>
    </row>
    <row r="26" spans="2:20" ht="13.15" thickBot="1">
      <c r="B26" s="176">
        <f t="shared" si="2"/>
        <v>44298</v>
      </c>
      <c r="C26" s="209">
        <f t="shared" si="0"/>
        <v>4</v>
      </c>
      <c r="D26" s="208"/>
      <c r="E26" s="208"/>
      <c r="F26" s="208"/>
      <c r="G26" s="625" t="e">
        <f t="shared" si="1"/>
        <v>#DIV/0!</v>
      </c>
      <c r="H26" s="464" t="e">
        <f t="shared" si="3"/>
        <v>#DIV/0!</v>
      </c>
      <c r="I26" s="464" t="e">
        <f>SUM($H$15:H26)</f>
        <v>#DIV/0!</v>
      </c>
      <c r="J26" s="207"/>
      <c r="K26" s="626" t="e">
        <f t="shared" si="4"/>
        <v>#N/A</v>
      </c>
      <c r="L26" s="627" t="e">
        <f t="shared" si="5"/>
        <v>#N/A</v>
      </c>
      <c r="M26" s="628" t="e">
        <f t="shared" si="6"/>
        <v>#N/A</v>
      </c>
      <c r="N26" s="464" t="e">
        <f>SUM($M$15:M26)</f>
        <v>#N/A</v>
      </c>
      <c r="O26" s="464" t="e">
        <f t="shared" si="7"/>
        <v>#DIV/0!</v>
      </c>
      <c r="P26" s="464" t="e">
        <f>SUM($O$15:O26)</f>
        <v>#DIV/0!</v>
      </c>
      <c r="Q26" s="395"/>
      <c r="S26" s="629" t="s">
        <v>1169</v>
      </c>
      <c r="T26" s="463" t="e">
        <f>SUM(T14:T25)</f>
        <v>#DIV/0!</v>
      </c>
    </row>
    <row r="27" spans="2:20" ht="13.15" thickBot="1">
      <c r="B27" s="176">
        <f t="shared" si="2"/>
        <v>44299</v>
      </c>
      <c r="C27" s="209">
        <f t="shared" si="0"/>
        <v>4</v>
      </c>
      <c r="D27" s="208"/>
      <c r="E27" s="208"/>
      <c r="F27" s="208"/>
      <c r="G27" s="625" t="e">
        <f t="shared" si="1"/>
        <v>#DIV/0!</v>
      </c>
      <c r="H27" s="464" t="e">
        <f t="shared" si="3"/>
        <v>#DIV/0!</v>
      </c>
      <c r="I27" s="464" t="e">
        <f>SUM($H$15:H27)</f>
        <v>#DIV/0!</v>
      </c>
      <c r="J27" s="207"/>
      <c r="K27" s="626" t="e">
        <f t="shared" si="4"/>
        <v>#N/A</v>
      </c>
      <c r="L27" s="627" t="e">
        <f t="shared" si="5"/>
        <v>#N/A</v>
      </c>
      <c r="M27" s="628" t="e">
        <f t="shared" si="6"/>
        <v>#N/A</v>
      </c>
      <c r="N27" s="464" t="e">
        <f>SUM($M$15:M27)</f>
        <v>#N/A</v>
      </c>
      <c r="O27" s="464" t="e">
        <f t="shared" si="7"/>
        <v>#DIV/0!</v>
      </c>
      <c r="P27" s="464" t="e">
        <f>SUM($O$15:O27)</f>
        <v>#DIV/0!</v>
      </c>
      <c r="Q27" s="395"/>
      <c r="S27" s="629" t="s">
        <v>1736</v>
      </c>
      <c r="T27" s="463" t="e">
        <f>MIN(1.6,(MAX(T26,-2.8)))</f>
        <v>#DIV/0!</v>
      </c>
    </row>
    <row r="28" spans="2:20">
      <c r="B28" s="176">
        <f t="shared" si="2"/>
        <v>44300</v>
      </c>
      <c r="C28" s="209">
        <f t="shared" si="0"/>
        <v>4</v>
      </c>
      <c r="D28" s="208"/>
      <c r="E28" s="208"/>
      <c r="F28" s="208"/>
      <c r="G28" s="625" t="e">
        <f t="shared" si="1"/>
        <v>#DIV/0!</v>
      </c>
      <c r="H28" s="464" t="e">
        <f t="shared" si="3"/>
        <v>#DIV/0!</v>
      </c>
      <c r="I28" s="464" t="e">
        <f>SUM($H$15:H28)</f>
        <v>#DIV/0!</v>
      </c>
      <c r="J28" s="207"/>
      <c r="K28" s="626" t="e">
        <f t="shared" si="4"/>
        <v>#N/A</v>
      </c>
      <c r="L28" s="627" t="e">
        <f t="shared" si="5"/>
        <v>#N/A</v>
      </c>
      <c r="M28" s="628" t="e">
        <f t="shared" si="6"/>
        <v>#N/A</v>
      </c>
      <c r="N28" s="464" t="e">
        <f>SUM($M$15:M28)</f>
        <v>#N/A</v>
      </c>
      <c r="O28" s="464" t="e">
        <f t="shared" si="7"/>
        <v>#DIV/0!</v>
      </c>
      <c r="P28" s="464" t="e">
        <f>SUM($O$15:O28)</f>
        <v>#DIV/0!</v>
      </c>
      <c r="Q28" s="395"/>
    </row>
    <row r="29" spans="2:20">
      <c r="B29" s="176">
        <f t="shared" si="2"/>
        <v>44301</v>
      </c>
      <c r="C29" s="209">
        <f t="shared" si="0"/>
        <v>4</v>
      </c>
      <c r="D29" s="208"/>
      <c r="E29" s="208"/>
      <c r="F29" s="208"/>
      <c r="G29" s="625" t="e">
        <f t="shared" si="1"/>
        <v>#DIV/0!</v>
      </c>
      <c r="H29" s="464" t="e">
        <f t="shared" si="3"/>
        <v>#DIV/0!</v>
      </c>
      <c r="I29" s="464" t="e">
        <f>SUM($H$15:H29)</f>
        <v>#DIV/0!</v>
      </c>
      <c r="J29" s="207"/>
      <c r="K29" s="626" t="e">
        <f t="shared" si="4"/>
        <v>#N/A</v>
      </c>
      <c r="L29" s="627" t="e">
        <f t="shared" si="5"/>
        <v>#N/A</v>
      </c>
      <c r="M29" s="628" t="e">
        <f t="shared" si="6"/>
        <v>#N/A</v>
      </c>
      <c r="N29" s="464" t="e">
        <f>SUM($M$15:M29)</f>
        <v>#N/A</v>
      </c>
      <c r="O29" s="464" t="e">
        <f t="shared" si="7"/>
        <v>#DIV/0!</v>
      </c>
      <c r="P29" s="464" t="e">
        <f>SUM($O$15:O29)</f>
        <v>#DIV/0!</v>
      </c>
      <c r="Q29" s="395"/>
    </row>
    <row r="30" spans="2:20">
      <c r="B30" s="176">
        <f t="shared" si="2"/>
        <v>44302</v>
      </c>
      <c r="C30" s="209">
        <f t="shared" si="0"/>
        <v>4</v>
      </c>
      <c r="D30" s="208"/>
      <c r="E30" s="208"/>
      <c r="F30" s="208"/>
      <c r="G30" s="625" t="e">
        <f t="shared" si="1"/>
        <v>#DIV/0!</v>
      </c>
      <c r="H30" s="464" t="e">
        <f t="shared" si="3"/>
        <v>#DIV/0!</v>
      </c>
      <c r="I30" s="464" t="e">
        <f>SUM($H$15:H30)</f>
        <v>#DIV/0!</v>
      </c>
      <c r="J30" s="207"/>
      <c r="K30" s="626" t="e">
        <f t="shared" si="4"/>
        <v>#N/A</v>
      </c>
      <c r="L30" s="627" t="e">
        <f t="shared" si="5"/>
        <v>#N/A</v>
      </c>
      <c r="M30" s="628" t="e">
        <f t="shared" si="6"/>
        <v>#N/A</v>
      </c>
      <c r="N30" s="464" t="e">
        <f>SUM($M$15:M30)</f>
        <v>#N/A</v>
      </c>
      <c r="O30" s="464" t="e">
        <f t="shared" si="7"/>
        <v>#DIV/0!</v>
      </c>
      <c r="P30" s="464" t="e">
        <f>SUM($O$15:O30)</f>
        <v>#DIV/0!</v>
      </c>
      <c r="Q30" s="395"/>
    </row>
    <row r="31" spans="2:20">
      <c r="B31" s="176">
        <f t="shared" si="2"/>
        <v>44303</v>
      </c>
      <c r="C31" s="209">
        <f t="shared" si="0"/>
        <v>4</v>
      </c>
      <c r="D31" s="208"/>
      <c r="E31" s="208"/>
      <c r="F31" s="208"/>
      <c r="G31" s="625" t="e">
        <f t="shared" si="1"/>
        <v>#DIV/0!</v>
      </c>
      <c r="H31" s="464" t="e">
        <f t="shared" si="3"/>
        <v>#DIV/0!</v>
      </c>
      <c r="I31" s="464" t="e">
        <f>SUM($H$15:H31)</f>
        <v>#DIV/0!</v>
      </c>
      <c r="J31" s="207"/>
      <c r="K31" s="626" t="e">
        <f t="shared" si="4"/>
        <v>#N/A</v>
      </c>
      <c r="L31" s="627" t="e">
        <f t="shared" si="5"/>
        <v>#N/A</v>
      </c>
      <c r="M31" s="628" t="e">
        <f t="shared" si="6"/>
        <v>#N/A</v>
      </c>
      <c r="N31" s="464" t="e">
        <f>SUM($M$15:M31)</f>
        <v>#N/A</v>
      </c>
      <c r="O31" s="464" t="e">
        <f t="shared" si="7"/>
        <v>#DIV/0!</v>
      </c>
      <c r="P31" s="464" t="e">
        <f>SUM($O$15:O31)</f>
        <v>#DIV/0!</v>
      </c>
      <c r="Q31" s="395"/>
    </row>
    <row r="32" spans="2:20">
      <c r="B32" s="176">
        <f t="shared" si="2"/>
        <v>44304</v>
      </c>
      <c r="C32" s="209">
        <f t="shared" si="0"/>
        <v>4</v>
      </c>
      <c r="D32" s="208"/>
      <c r="E32" s="208"/>
      <c r="F32" s="208"/>
      <c r="G32" s="625" t="e">
        <f t="shared" si="1"/>
        <v>#DIV/0!</v>
      </c>
      <c r="H32" s="464" t="e">
        <f t="shared" si="3"/>
        <v>#DIV/0!</v>
      </c>
      <c r="I32" s="464" t="e">
        <f>SUM($H$15:H32)</f>
        <v>#DIV/0!</v>
      </c>
      <c r="J32" s="207"/>
      <c r="K32" s="626" t="e">
        <f t="shared" si="4"/>
        <v>#N/A</v>
      </c>
      <c r="L32" s="627" t="e">
        <f t="shared" si="5"/>
        <v>#N/A</v>
      </c>
      <c r="M32" s="628" t="e">
        <f t="shared" si="6"/>
        <v>#N/A</v>
      </c>
      <c r="N32" s="464" t="e">
        <f>SUM($M$15:M32)</f>
        <v>#N/A</v>
      </c>
      <c r="O32" s="464" t="e">
        <f t="shared" si="7"/>
        <v>#DIV/0!</v>
      </c>
      <c r="P32" s="464" t="e">
        <f>SUM($O$15:O32)</f>
        <v>#DIV/0!</v>
      </c>
      <c r="Q32" s="395"/>
      <c r="S32" s="391" t="s">
        <v>1108</v>
      </c>
    </row>
    <row r="33" spans="1:32">
      <c r="B33" s="176">
        <f t="shared" si="2"/>
        <v>44305</v>
      </c>
      <c r="C33" s="209">
        <f t="shared" si="0"/>
        <v>4</v>
      </c>
      <c r="D33" s="208"/>
      <c r="E33" s="208"/>
      <c r="F33" s="208"/>
      <c r="G33" s="625" t="e">
        <f t="shared" si="1"/>
        <v>#DIV/0!</v>
      </c>
      <c r="H33" s="464" t="e">
        <f t="shared" si="3"/>
        <v>#DIV/0!</v>
      </c>
      <c r="I33" s="464" t="e">
        <f>SUM($H$15:H33)</f>
        <v>#DIV/0!</v>
      </c>
      <c r="J33" s="207"/>
      <c r="K33" s="626" t="e">
        <f t="shared" si="4"/>
        <v>#N/A</v>
      </c>
      <c r="L33" s="627" t="e">
        <f t="shared" si="5"/>
        <v>#N/A</v>
      </c>
      <c r="M33" s="628" t="e">
        <f t="shared" si="6"/>
        <v>#N/A</v>
      </c>
      <c r="N33" s="464" t="e">
        <f>SUM($M$15:M33)</f>
        <v>#N/A</v>
      </c>
      <c r="O33" s="464" t="e">
        <f t="shared" si="7"/>
        <v>#DIV/0!</v>
      </c>
      <c r="P33" s="464" t="e">
        <f>SUM($O$15:O33)</f>
        <v>#DIV/0!</v>
      </c>
      <c r="Q33" s="395"/>
    </row>
    <row r="34" spans="1:32">
      <c r="B34" s="176">
        <f t="shared" si="2"/>
        <v>44306</v>
      </c>
      <c r="C34" s="209">
        <f t="shared" si="0"/>
        <v>4</v>
      </c>
      <c r="D34" s="208"/>
      <c r="E34" s="208"/>
      <c r="F34" s="208"/>
      <c r="G34" s="625" t="e">
        <f t="shared" si="1"/>
        <v>#DIV/0!</v>
      </c>
      <c r="H34" s="464" t="e">
        <f t="shared" si="3"/>
        <v>#DIV/0!</v>
      </c>
      <c r="I34" s="464" t="e">
        <f>SUM($H$15:H34)</f>
        <v>#DIV/0!</v>
      </c>
      <c r="J34" s="207"/>
      <c r="K34" s="626" t="e">
        <f t="shared" si="4"/>
        <v>#N/A</v>
      </c>
      <c r="L34" s="627" t="e">
        <f t="shared" si="5"/>
        <v>#N/A</v>
      </c>
      <c r="M34" s="628" t="e">
        <f t="shared" si="6"/>
        <v>#N/A</v>
      </c>
      <c r="N34" s="464" t="e">
        <f>SUM($M$15:M34)</f>
        <v>#N/A</v>
      </c>
      <c r="O34" s="464" t="e">
        <f t="shared" si="7"/>
        <v>#DIV/0!</v>
      </c>
      <c r="P34" s="464" t="e">
        <f>SUM($O$15:O34)</f>
        <v>#DIV/0!</v>
      </c>
      <c r="Q34" s="395"/>
    </row>
    <row r="35" spans="1:32">
      <c r="B35" s="176">
        <f t="shared" si="2"/>
        <v>44307</v>
      </c>
      <c r="C35" s="209">
        <f t="shared" si="0"/>
        <v>4</v>
      </c>
      <c r="D35" s="208"/>
      <c r="E35" s="208"/>
      <c r="F35" s="208"/>
      <c r="G35" s="625" t="e">
        <f t="shared" si="1"/>
        <v>#DIV/0!</v>
      </c>
      <c r="H35" s="464" t="e">
        <f t="shared" si="3"/>
        <v>#DIV/0!</v>
      </c>
      <c r="I35" s="464" t="e">
        <f>SUM($H$15:H35)</f>
        <v>#DIV/0!</v>
      </c>
      <c r="J35" s="207"/>
      <c r="K35" s="626" t="e">
        <f t="shared" si="4"/>
        <v>#N/A</v>
      </c>
      <c r="L35" s="627" t="e">
        <f t="shared" si="5"/>
        <v>#N/A</v>
      </c>
      <c r="M35" s="628" t="e">
        <f t="shared" si="6"/>
        <v>#N/A</v>
      </c>
      <c r="N35" s="464" t="e">
        <f>SUM($M$15:M35)</f>
        <v>#N/A</v>
      </c>
      <c r="O35" s="464" t="e">
        <f t="shared" si="7"/>
        <v>#DIV/0!</v>
      </c>
      <c r="P35" s="464" t="e">
        <f>SUM($O$15:O35)</f>
        <v>#DIV/0!</v>
      </c>
      <c r="Q35" s="395"/>
    </row>
    <row r="36" spans="1:32">
      <c r="B36" s="176">
        <f t="shared" si="2"/>
        <v>44308</v>
      </c>
      <c r="C36" s="209">
        <f t="shared" si="0"/>
        <v>4</v>
      </c>
      <c r="D36" s="208"/>
      <c r="E36" s="208"/>
      <c r="F36" s="208"/>
      <c r="G36" s="625" t="e">
        <f t="shared" si="1"/>
        <v>#DIV/0!</v>
      </c>
      <c r="H36" s="464" t="e">
        <f t="shared" si="3"/>
        <v>#DIV/0!</v>
      </c>
      <c r="I36" s="464" t="e">
        <f>SUM($H$15:H36)</f>
        <v>#DIV/0!</v>
      </c>
      <c r="J36" s="207"/>
      <c r="K36" s="626" t="e">
        <f t="shared" si="4"/>
        <v>#N/A</v>
      </c>
      <c r="L36" s="627" t="e">
        <f t="shared" si="5"/>
        <v>#N/A</v>
      </c>
      <c r="M36" s="628" t="e">
        <f t="shared" si="6"/>
        <v>#N/A</v>
      </c>
      <c r="N36" s="464" t="e">
        <f>SUM($M$15:M36)</f>
        <v>#N/A</v>
      </c>
      <c r="O36" s="464" t="e">
        <f t="shared" si="7"/>
        <v>#DIV/0!</v>
      </c>
      <c r="P36" s="464" t="e">
        <f>SUM($O$15:O36)</f>
        <v>#DIV/0!</v>
      </c>
      <c r="Q36" s="395"/>
    </row>
    <row r="37" spans="1:32">
      <c r="B37" s="176">
        <f t="shared" si="2"/>
        <v>44309</v>
      </c>
      <c r="C37" s="209">
        <f t="shared" si="0"/>
        <v>4</v>
      </c>
      <c r="D37" s="208"/>
      <c r="E37" s="208"/>
      <c r="F37" s="208"/>
      <c r="G37" s="625" t="e">
        <f t="shared" si="1"/>
        <v>#DIV/0!</v>
      </c>
      <c r="H37" s="464" t="e">
        <f t="shared" si="3"/>
        <v>#DIV/0!</v>
      </c>
      <c r="I37" s="464" t="e">
        <f>SUM($H$15:H37)</f>
        <v>#DIV/0!</v>
      </c>
      <c r="J37" s="207"/>
      <c r="K37" s="626" t="e">
        <f t="shared" si="4"/>
        <v>#N/A</v>
      </c>
      <c r="L37" s="627" t="e">
        <f t="shared" si="5"/>
        <v>#N/A</v>
      </c>
      <c r="M37" s="628" t="e">
        <f t="shared" si="6"/>
        <v>#N/A</v>
      </c>
      <c r="N37" s="464" t="e">
        <f>SUM($M$15:M37)</f>
        <v>#N/A</v>
      </c>
      <c r="O37" s="464" t="e">
        <f t="shared" si="7"/>
        <v>#DIV/0!</v>
      </c>
      <c r="P37" s="464" t="e">
        <f>SUM($O$15:O37)</f>
        <v>#DIV/0!</v>
      </c>
      <c r="Q37" s="395"/>
    </row>
    <row r="38" spans="1:32">
      <c r="B38" s="176">
        <f t="shared" si="2"/>
        <v>44310</v>
      </c>
      <c r="C38" s="209">
        <f t="shared" si="0"/>
        <v>4</v>
      </c>
      <c r="D38" s="208"/>
      <c r="E38" s="208"/>
      <c r="F38" s="208"/>
      <c r="G38" s="625" t="e">
        <f t="shared" si="1"/>
        <v>#DIV/0!</v>
      </c>
      <c r="H38" s="464" t="e">
        <f t="shared" si="3"/>
        <v>#DIV/0!</v>
      </c>
      <c r="I38" s="464" t="e">
        <f>SUM($H$15:H38)</f>
        <v>#DIV/0!</v>
      </c>
      <c r="J38" s="207"/>
      <c r="K38" s="626" t="e">
        <f t="shared" si="4"/>
        <v>#N/A</v>
      </c>
      <c r="L38" s="627" t="e">
        <f t="shared" si="5"/>
        <v>#N/A</v>
      </c>
      <c r="M38" s="628" t="e">
        <f t="shared" si="6"/>
        <v>#N/A</v>
      </c>
      <c r="N38" s="464" t="e">
        <f>SUM($M$15:M38)</f>
        <v>#N/A</v>
      </c>
      <c r="O38" s="464" t="e">
        <f t="shared" si="7"/>
        <v>#DIV/0!</v>
      </c>
      <c r="P38" s="464" t="e">
        <f>SUM($O$15:O38)</f>
        <v>#DIV/0!</v>
      </c>
      <c r="Q38" s="395"/>
    </row>
    <row r="39" spans="1:32">
      <c r="B39" s="176">
        <f t="shared" si="2"/>
        <v>44311</v>
      </c>
      <c r="C39" s="209">
        <f t="shared" si="0"/>
        <v>4</v>
      </c>
      <c r="D39" s="208"/>
      <c r="E39" s="208"/>
      <c r="F39" s="208"/>
      <c r="G39" s="625" t="e">
        <f t="shared" si="1"/>
        <v>#DIV/0!</v>
      </c>
      <c r="H39" s="464" t="e">
        <f t="shared" si="3"/>
        <v>#DIV/0!</v>
      </c>
      <c r="I39" s="464" t="e">
        <f>SUM($H$15:H39)</f>
        <v>#DIV/0!</v>
      </c>
      <c r="J39" s="207"/>
      <c r="K39" s="626" t="e">
        <f t="shared" si="4"/>
        <v>#N/A</v>
      </c>
      <c r="L39" s="627" t="e">
        <f t="shared" si="5"/>
        <v>#N/A</v>
      </c>
      <c r="M39" s="628" t="e">
        <f t="shared" si="6"/>
        <v>#N/A</v>
      </c>
      <c r="N39" s="464" t="e">
        <f>SUM($M$15:M39)</f>
        <v>#N/A</v>
      </c>
      <c r="O39" s="464" t="e">
        <f t="shared" si="7"/>
        <v>#DIV/0!</v>
      </c>
      <c r="P39" s="464" t="e">
        <f>SUM($O$15:O39)</f>
        <v>#DIV/0!</v>
      </c>
      <c r="Q39" s="395"/>
    </row>
    <row r="40" spans="1:32">
      <c r="B40" s="176">
        <f t="shared" si="2"/>
        <v>44312</v>
      </c>
      <c r="C40" s="209">
        <f t="shared" si="0"/>
        <v>4</v>
      </c>
      <c r="D40" s="208"/>
      <c r="E40" s="208"/>
      <c r="F40" s="208"/>
      <c r="G40" s="625" t="e">
        <f t="shared" si="1"/>
        <v>#DIV/0!</v>
      </c>
      <c r="H40" s="464" t="e">
        <f t="shared" si="3"/>
        <v>#DIV/0!</v>
      </c>
      <c r="I40" s="464" t="e">
        <f>SUM($H$15:H40)</f>
        <v>#DIV/0!</v>
      </c>
      <c r="J40" s="207"/>
      <c r="K40" s="626" t="e">
        <f t="shared" si="4"/>
        <v>#N/A</v>
      </c>
      <c r="L40" s="627" t="e">
        <f t="shared" si="5"/>
        <v>#N/A</v>
      </c>
      <c r="M40" s="628" t="e">
        <f t="shared" si="6"/>
        <v>#N/A</v>
      </c>
      <c r="N40" s="464" t="e">
        <f>SUM($M$15:M40)</f>
        <v>#N/A</v>
      </c>
      <c r="O40" s="464" t="e">
        <f t="shared" si="7"/>
        <v>#DIV/0!</v>
      </c>
      <c r="P40" s="464" t="e">
        <f>SUM($O$15:O40)</f>
        <v>#DIV/0!</v>
      </c>
      <c r="Q40" s="395"/>
    </row>
    <row r="41" spans="1:32">
      <c r="B41" s="176">
        <f t="shared" si="2"/>
        <v>44313</v>
      </c>
      <c r="C41" s="209">
        <f t="shared" si="0"/>
        <v>4</v>
      </c>
      <c r="D41" s="208"/>
      <c r="E41" s="208"/>
      <c r="F41" s="208"/>
      <c r="G41" s="625" t="e">
        <f t="shared" si="1"/>
        <v>#DIV/0!</v>
      </c>
      <c r="H41" s="464" t="e">
        <f t="shared" si="3"/>
        <v>#DIV/0!</v>
      </c>
      <c r="I41" s="464" t="e">
        <f>SUM($H$15:H41)</f>
        <v>#DIV/0!</v>
      </c>
      <c r="J41" s="207"/>
      <c r="K41" s="626" t="e">
        <f t="shared" si="4"/>
        <v>#N/A</v>
      </c>
      <c r="L41" s="627" t="e">
        <f t="shared" si="5"/>
        <v>#N/A</v>
      </c>
      <c r="M41" s="628" t="e">
        <f t="shared" si="6"/>
        <v>#N/A</v>
      </c>
      <c r="N41" s="464" t="e">
        <f>SUM($M$15:M41)</f>
        <v>#N/A</v>
      </c>
      <c r="O41" s="464" t="e">
        <f t="shared" si="7"/>
        <v>#DIV/0!</v>
      </c>
      <c r="P41" s="464" t="e">
        <f>SUM($O$15:O41)</f>
        <v>#DIV/0!</v>
      </c>
      <c r="Q41" s="395"/>
    </row>
    <row r="42" spans="1:32">
      <c r="B42" s="176">
        <f t="shared" si="2"/>
        <v>44314</v>
      </c>
      <c r="C42" s="209">
        <f t="shared" si="0"/>
        <v>4</v>
      </c>
      <c r="D42" s="208"/>
      <c r="E42" s="208"/>
      <c r="F42" s="208"/>
      <c r="G42" s="625" t="e">
        <f t="shared" si="1"/>
        <v>#DIV/0!</v>
      </c>
      <c r="H42" s="464" t="e">
        <f t="shared" si="3"/>
        <v>#DIV/0!</v>
      </c>
      <c r="I42" s="464" t="e">
        <f>SUM($H$15:H42)</f>
        <v>#DIV/0!</v>
      </c>
      <c r="J42" s="207"/>
      <c r="K42" s="626" t="e">
        <f t="shared" si="4"/>
        <v>#N/A</v>
      </c>
      <c r="L42" s="627" t="e">
        <f t="shared" si="5"/>
        <v>#N/A</v>
      </c>
      <c r="M42" s="628" t="e">
        <f t="shared" si="6"/>
        <v>#N/A</v>
      </c>
      <c r="N42" s="464" t="e">
        <f>SUM($M$15:M42)</f>
        <v>#N/A</v>
      </c>
      <c r="O42" s="464" t="e">
        <f t="shared" si="7"/>
        <v>#DIV/0!</v>
      </c>
      <c r="P42" s="464" t="e">
        <f>SUM($O$15:O42)</f>
        <v>#DIV/0!</v>
      </c>
      <c r="Q42" s="395"/>
    </row>
    <row r="43" spans="1:32">
      <c r="B43" s="176">
        <f t="shared" si="2"/>
        <v>44315</v>
      </c>
      <c r="C43" s="209">
        <f t="shared" si="0"/>
        <v>4</v>
      </c>
      <c r="D43" s="208"/>
      <c r="E43" s="208"/>
      <c r="F43" s="208"/>
      <c r="G43" s="625" t="e">
        <f t="shared" si="1"/>
        <v>#DIV/0!</v>
      </c>
      <c r="H43" s="464" t="e">
        <f t="shared" si="3"/>
        <v>#DIV/0!</v>
      </c>
      <c r="I43" s="464" t="e">
        <f>SUM($H$15:H43)</f>
        <v>#DIV/0!</v>
      </c>
      <c r="J43" s="207"/>
      <c r="K43" s="626" t="e">
        <f t="shared" si="4"/>
        <v>#N/A</v>
      </c>
      <c r="L43" s="627" t="e">
        <f t="shared" si="5"/>
        <v>#N/A</v>
      </c>
      <c r="M43" s="628" t="e">
        <f t="shared" si="6"/>
        <v>#N/A</v>
      </c>
      <c r="N43" s="464" t="e">
        <f>SUM($M$15:M43)</f>
        <v>#N/A</v>
      </c>
      <c r="O43" s="464" t="e">
        <f t="shared" si="7"/>
        <v>#DIV/0!</v>
      </c>
      <c r="P43" s="464" t="e">
        <f>SUM($O$15:O43)</f>
        <v>#DIV/0!</v>
      </c>
      <c r="Q43" s="395"/>
    </row>
    <row r="44" spans="1:32">
      <c r="B44" s="176">
        <f t="shared" si="2"/>
        <v>44316</v>
      </c>
      <c r="C44" s="209">
        <f t="shared" si="0"/>
        <v>4</v>
      </c>
      <c r="D44" s="208"/>
      <c r="E44" s="208"/>
      <c r="F44" s="208"/>
      <c r="G44" s="625" t="e">
        <f t="shared" si="1"/>
        <v>#DIV/0!</v>
      </c>
      <c r="H44" s="464" t="e">
        <f t="shared" si="3"/>
        <v>#DIV/0!</v>
      </c>
      <c r="I44" s="464" t="e">
        <f>SUM($H$15:H44)</f>
        <v>#DIV/0!</v>
      </c>
      <c r="J44" s="207"/>
      <c r="K44" s="626" t="e">
        <f t="shared" si="4"/>
        <v>#N/A</v>
      </c>
      <c r="L44" s="627" t="e">
        <f t="shared" si="5"/>
        <v>#N/A</v>
      </c>
      <c r="M44" s="628" t="e">
        <f t="shared" si="6"/>
        <v>#N/A</v>
      </c>
      <c r="N44" s="464" t="e">
        <f>SUM($M$15:M44)</f>
        <v>#N/A</v>
      </c>
      <c r="O44" s="464" t="e">
        <f t="shared" si="7"/>
        <v>#DIV/0!</v>
      </c>
      <c r="P44" s="464" t="e">
        <f>SUM($O$15:O44)</f>
        <v>#DIV/0!</v>
      </c>
      <c r="Q44" s="395"/>
    </row>
    <row r="45" spans="1:32">
      <c r="B45" s="176">
        <f t="shared" si="2"/>
        <v>44317</v>
      </c>
      <c r="C45" s="209">
        <f t="shared" si="0"/>
        <v>5</v>
      </c>
      <c r="D45" s="208"/>
      <c r="E45" s="208"/>
      <c r="F45" s="208"/>
      <c r="G45" s="625" t="e">
        <f t="shared" si="1"/>
        <v>#DIV/0!</v>
      </c>
      <c r="H45" s="464" t="e">
        <f t="shared" si="3"/>
        <v>#DIV/0!</v>
      </c>
      <c r="I45" s="464" t="e">
        <f>SUM($H$15:H45)</f>
        <v>#DIV/0!</v>
      </c>
      <c r="J45" s="207"/>
      <c r="K45" s="626" t="e">
        <f t="shared" si="4"/>
        <v>#N/A</v>
      </c>
      <c r="L45" s="627" t="e">
        <f t="shared" si="5"/>
        <v>#N/A</v>
      </c>
      <c r="M45" s="628" t="e">
        <f t="shared" si="6"/>
        <v>#N/A</v>
      </c>
      <c r="N45" s="464" t="e">
        <f>SUM($M$15:M45)</f>
        <v>#N/A</v>
      </c>
      <c r="O45" s="464" t="e">
        <f t="shared" si="7"/>
        <v>#DIV/0!</v>
      </c>
      <c r="P45" s="464" t="e">
        <f>SUM($O$15:O45)</f>
        <v>#DIV/0!</v>
      </c>
      <c r="Q45" s="396"/>
    </row>
    <row r="46" spans="1:32">
      <c r="B46" s="176">
        <f t="shared" si="2"/>
        <v>44318</v>
      </c>
      <c r="C46" s="209">
        <f t="shared" si="0"/>
        <v>5</v>
      </c>
      <c r="D46" s="208"/>
      <c r="E46" s="208"/>
      <c r="F46" s="208"/>
      <c r="G46" s="625" t="e">
        <f t="shared" si="1"/>
        <v>#DIV/0!</v>
      </c>
      <c r="H46" s="464" t="e">
        <f t="shared" si="3"/>
        <v>#DIV/0!</v>
      </c>
      <c r="I46" s="464" t="e">
        <f>SUM($H$15:H46)</f>
        <v>#DIV/0!</v>
      </c>
      <c r="J46" s="207"/>
      <c r="K46" s="626" t="e">
        <f t="shared" si="4"/>
        <v>#N/A</v>
      </c>
      <c r="L46" s="627" t="e">
        <f t="shared" si="5"/>
        <v>#N/A</v>
      </c>
      <c r="M46" s="628" t="e">
        <f t="shared" si="6"/>
        <v>#N/A</v>
      </c>
      <c r="N46" s="464" t="e">
        <f>SUM($M$15:M46)</f>
        <v>#N/A</v>
      </c>
      <c r="O46" s="464" t="e">
        <f t="shared" si="7"/>
        <v>#DIV/0!</v>
      </c>
      <c r="P46" s="464" t="e">
        <f>SUM($O$15:O46)</f>
        <v>#DIV/0!</v>
      </c>
      <c r="Q46" s="396"/>
    </row>
    <row r="47" spans="1:32">
      <c r="B47" s="176">
        <f t="shared" si="2"/>
        <v>44319</v>
      </c>
      <c r="C47" s="209">
        <f t="shared" si="0"/>
        <v>5</v>
      </c>
      <c r="D47" s="208"/>
      <c r="E47" s="208"/>
      <c r="F47" s="208"/>
      <c r="G47" s="625" t="e">
        <f t="shared" si="1"/>
        <v>#DIV/0!</v>
      </c>
      <c r="H47" s="464" t="e">
        <f t="shared" si="3"/>
        <v>#DIV/0!</v>
      </c>
      <c r="I47" s="464" t="e">
        <f>SUM($H$15:H47)</f>
        <v>#DIV/0!</v>
      </c>
      <c r="J47" s="207"/>
      <c r="K47" s="626" t="e">
        <f t="shared" si="4"/>
        <v>#N/A</v>
      </c>
      <c r="L47" s="627" t="e">
        <f t="shared" si="5"/>
        <v>#N/A</v>
      </c>
      <c r="M47" s="628" t="e">
        <f t="shared" si="6"/>
        <v>#N/A</v>
      </c>
      <c r="N47" s="464" t="e">
        <f>SUM($M$15:M47)</f>
        <v>#N/A</v>
      </c>
      <c r="O47" s="464" t="e">
        <f t="shared" si="7"/>
        <v>#DIV/0!</v>
      </c>
      <c r="P47" s="464" t="e">
        <f>SUM($O$15:O47)</f>
        <v>#DIV/0!</v>
      </c>
      <c r="Q47" s="395"/>
    </row>
    <row r="48" spans="1:32">
      <c r="A48" s="392"/>
      <c r="B48" s="210">
        <f t="shared" si="2"/>
        <v>44320</v>
      </c>
      <c r="C48" s="209">
        <f t="shared" si="0"/>
        <v>5</v>
      </c>
      <c r="D48" s="208"/>
      <c r="E48" s="208"/>
      <c r="F48" s="208"/>
      <c r="G48" s="625" t="e">
        <f t="shared" si="1"/>
        <v>#DIV/0!</v>
      </c>
      <c r="H48" s="464" t="e">
        <f t="shared" si="3"/>
        <v>#DIV/0!</v>
      </c>
      <c r="I48" s="464" t="e">
        <f>SUM($H$15:H48)</f>
        <v>#DIV/0!</v>
      </c>
      <c r="J48" s="207"/>
      <c r="K48" s="626" t="e">
        <f t="shared" si="4"/>
        <v>#N/A</v>
      </c>
      <c r="L48" s="627" t="e">
        <f t="shared" si="5"/>
        <v>#N/A</v>
      </c>
      <c r="M48" s="628" t="e">
        <f t="shared" si="6"/>
        <v>#N/A</v>
      </c>
      <c r="N48" s="464" t="e">
        <f>SUM($M$15:M48)</f>
        <v>#N/A</v>
      </c>
      <c r="O48" s="464" t="e">
        <f t="shared" si="7"/>
        <v>#DIV/0!</v>
      </c>
      <c r="P48" s="464" t="e">
        <f>SUM($O$15:O48)</f>
        <v>#DIV/0!</v>
      </c>
      <c r="Q48" s="397"/>
      <c r="R48" s="392"/>
      <c r="S48" s="392"/>
      <c r="T48" s="392"/>
      <c r="U48" s="392"/>
      <c r="V48" s="392"/>
      <c r="W48" s="392"/>
      <c r="X48" s="392"/>
      <c r="Y48" s="392"/>
      <c r="Z48" s="392"/>
      <c r="AA48" s="392"/>
      <c r="AB48" s="392"/>
      <c r="AC48" s="392"/>
      <c r="AD48" s="392"/>
      <c r="AE48" s="392"/>
      <c r="AF48" s="392"/>
    </row>
    <row r="49" spans="2:16">
      <c r="B49" s="176">
        <f t="shared" si="2"/>
        <v>44321</v>
      </c>
      <c r="C49" s="209">
        <f t="shared" si="0"/>
        <v>5</v>
      </c>
      <c r="D49" s="208"/>
      <c r="E49" s="208"/>
      <c r="F49" s="208"/>
      <c r="G49" s="625" t="e">
        <f t="shared" si="1"/>
        <v>#DIV/0!</v>
      </c>
      <c r="H49" s="464" t="e">
        <f t="shared" si="3"/>
        <v>#DIV/0!</v>
      </c>
      <c r="I49" s="464" t="e">
        <f>SUM($H$15:H49)</f>
        <v>#DIV/0!</v>
      </c>
      <c r="J49" s="207"/>
      <c r="K49" s="626" t="e">
        <f t="shared" si="4"/>
        <v>#N/A</v>
      </c>
      <c r="L49" s="627" t="e">
        <f t="shared" si="5"/>
        <v>#N/A</v>
      </c>
      <c r="M49" s="628" t="e">
        <f t="shared" si="6"/>
        <v>#N/A</v>
      </c>
      <c r="N49" s="464" t="e">
        <f>SUM($M$15:M49)</f>
        <v>#N/A</v>
      </c>
      <c r="O49" s="464" t="e">
        <f t="shared" si="7"/>
        <v>#DIV/0!</v>
      </c>
      <c r="P49" s="464" t="e">
        <f>SUM($O$15:O49)</f>
        <v>#DIV/0!</v>
      </c>
    </row>
    <row r="50" spans="2:16">
      <c r="B50" s="176">
        <f t="shared" si="2"/>
        <v>44322</v>
      </c>
      <c r="C50" s="209">
        <f t="shared" si="0"/>
        <v>5</v>
      </c>
      <c r="D50" s="208"/>
      <c r="E50" s="208"/>
      <c r="F50" s="208"/>
      <c r="G50" s="625" t="e">
        <f t="shared" si="1"/>
        <v>#DIV/0!</v>
      </c>
      <c r="H50" s="464" t="e">
        <f t="shared" si="3"/>
        <v>#DIV/0!</v>
      </c>
      <c r="I50" s="464" t="e">
        <f>SUM($H$15:H50)</f>
        <v>#DIV/0!</v>
      </c>
      <c r="J50" s="207"/>
      <c r="K50" s="626" t="e">
        <f t="shared" si="4"/>
        <v>#N/A</v>
      </c>
      <c r="L50" s="627" t="e">
        <f t="shared" si="5"/>
        <v>#N/A</v>
      </c>
      <c r="M50" s="628" t="e">
        <f t="shared" si="6"/>
        <v>#N/A</v>
      </c>
      <c r="N50" s="464" t="e">
        <f>SUM($M$15:M50)</f>
        <v>#N/A</v>
      </c>
      <c r="O50" s="464" t="e">
        <f t="shared" si="7"/>
        <v>#DIV/0!</v>
      </c>
      <c r="P50" s="464" t="e">
        <f>SUM($O$15:O50)</f>
        <v>#DIV/0!</v>
      </c>
    </row>
    <row r="51" spans="2:16">
      <c r="B51" s="176">
        <f t="shared" si="2"/>
        <v>44323</v>
      </c>
      <c r="C51" s="209">
        <f t="shared" si="0"/>
        <v>5</v>
      </c>
      <c r="D51" s="208"/>
      <c r="E51" s="208"/>
      <c r="F51" s="208"/>
      <c r="G51" s="625" t="e">
        <f t="shared" si="1"/>
        <v>#DIV/0!</v>
      </c>
      <c r="H51" s="464" t="e">
        <f t="shared" si="3"/>
        <v>#DIV/0!</v>
      </c>
      <c r="I51" s="464" t="e">
        <f>SUM($H$15:H51)</f>
        <v>#DIV/0!</v>
      </c>
      <c r="J51" s="207"/>
      <c r="K51" s="626" t="e">
        <f t="shared" si="4"/>
        <v>#N/A</v>
      </c>
      <c r="L51" s="627" t="e">
        <f t="shared" si="5"/>
        <v>#N/A</v>
      </c>
      <c r="M51" s="628" t="e">
        <f t="shared" si="6"/>
        <v>#N/A</v>
      </c>
      <c r="N51" s="464" t="e">
        <f>SUM($M$15:M51)</f>
        <v>#N/A</v>
      </c>
      <c r="O51" s="464" t="e">
        <f t="shared" si="7"/>
        <v>#DIV/0!</v>
      </c>
      <c r="P51" s="464" t="e">
        <f>SUM($O$15:O51)</f>
        <v>#DIV/0!</v>
      </c>
    </row>
    <row r="52" spans="2:16">
      <c r="B52" s="176">
        <f t="shared" si="2"/>
        <v>44324</v>
      </c>
      <c r="C52" s="209">
        <f t="shared" si="0"/>
        <v>5</v>
      </c>
      <c r="D52" s="208"/>
      <c r="E52" s="208"/>
      <c r="F52" s="208"/>
      <c r="G52" s="625" t="e">
        <f t="shared" si="1"/>
        <v>#DIV/0!</v>
      </c>
      <c r="H52" s="464" t="e">
        <f t="shared" si="3"/>
        <v>#DIV/0!</v>
      </c>
      <c r="I52" s="464" t="e">
        <f>SUM($H$15:H52)</f>
        <v>#DIV/0!</v>
      </c>
      <c r="J52" s="207"/>
      <c r="K52" s="626" t="e">
        <f t="shared" si="4"/>
        <v>#N/A</v>
      </c>
      <c r="L52" s="627" t="e">
        <f t="shared" si="5"/>
        <v>#N/A</v>
      </c>
      <c r="M52" s="628" t="e">
        <f t="shared" si="6"/>
        <v>#N/A</v>
      </c>
      <c r="N52" s="464" t="e">
        <f>SUM($M$15:M52)</f>
        <v>#N/A</v>
      </c>
      <c r="O52" s="464" t="e">
        <f t="shared" si="7"/>
        <v>#DIV/0!</v>
      </c>
      <c r="P52" s="464" t="e">
        <f>SUM($O$15:O52)</f>
        <v>#DIV/0!</v>
      </c>
    </row>
    <row r="53" spans="2:16">
      <c r="B53" s="176">
        <f t="shared" si="2"/>
        <v>44325</v>
      </c>
      <c r="C53" s="209">
        <f t="shared" si="0"/>
        <v>5</v>
      </c>
      <c r="D53" s="208"/>
      <c r="E53" s="208"/>
      <c r="F53" s="208"/>
      <c r="G53" s="625" t="e">
        <f t="shared" si="1"/>
        <v>#DIV/0!</v>
      </c>
      <c r="H53" s="464" t="e">
        <f t="shared" si="3"/>
        <v>#DIV/0!</v>
      </c>
      <c r="I53" s="464" t="e">
        <f>SUM($H$15:H53)</f>
        <v>#DIV/0!</v>
      </c>
      <c r="J53" s="207"/>
      <c r="K53" s="626" t="e">
        <f t="shared" si="4"/>
        <v>#N/A</v>
      </c>
      <c r="L53" s="627" t="e">
        <f t="shared" si="5"/>
        <v>#N/A</v>
      </c>
      <c r="M53" s="628" t="e">
        <f t="shared" si="6"/>
        <v>#N/A</v>
      </c>
      <c r="N53" s="464" t="e">
        <f>SUM($M$15:M53)</f>
        <v>#N/A</v>
      </c>
      <c r="O53" s="464" t="e">
        <f t="shared" si="7"/>
        <v>#DIV/0!</v>
      </c>
      <c r="P53" s="464" t="e">
        <f>SUM($O$15:O53)</f>
        <v>#DIV/0!</v>
      </c>
    </row>
    <row r="54" spans="2:16">
      <c r="B54" s="176">
        <f t="shared" si="2"/>
        <v>44326</v>
      </c>
      <c r="C54" s="209">
        <f t="shared" si="0"/>
        <v>5</v>
      </c>
      <c r="D54" s="208"/>
      <c r="E54" s="208"/>
      <c r="F54" s="208"/>
      <c r="G54" s="625" t="e">
        <f t="shared" si="1"/>
        <v>#DIV/0!</v>
      </c>
      <c r="H54" s="464" t="e">
        <f t="shared" si="3"/>
        <v>#DIV/0!</v>
      </c>
      <c r="I54" s="464" t="e">
        <f>SUM($H$15:H54)</f>
        <v>#DIV/0!</v>
      </c>
      <c r="J54" s="207"/>
      <c r="K54" s="626" t="e">
        <f t="shared" si="4"/>
        <v>#N/A</v>
      </c>
      <c r="L54" s="627" t="e">
        <f t="shared" si="5"/>
        <v>#N/A</v>
      </c>
      <c r="M54" s="628" t="e">
        <f t="shared" si="6"/>
        <v>#N/A</v>
      </c>
      <c r="N54" s="464" t="e">
        <f>SUM($M$15:M54)</f>
        <v>#N/A</v>
      </c>
      <c r="O54" s="464" t="e">
        <f t="shared" si="7"/>
        <v>#DIV/0!</v>
      </c>
      <c r="P54" s="464" t="e">
        <f>SUM($O$15:O54)</f>
        <v>#DIV/0!</v>
      </c>
    </row>
    <row r="55" spans="2:16">
      <c r="B55" s="176">
        <f t="shared" si="2"/>
        <v>44327</v>
      </c>
      <c r="C55" s="209">
        <f t="shared" si="0"/>
        <v>5</v>
      </c>
      <c r="D55" s="208"/>
      <c r="E55" s="208"/>
      <c r="F55" s="208"/>
      <c r="G55" s="625" t="e">
        <f t="shared" si="1"/>
        <v>#DIV/0!</v>
      </c>
      <c r="H55" s="464" t="e">
        <f t="shared" si="3"/>
        <v>#DIV/0!</v>
      </c>
      <c r="I55" s="464" t="e">
        <f>SUM($H$15:H55)</f>
        <v>#DIV/0!</v>
      </c>
      <c r="J55" s="207"/>
      <c r="K55" s="626" t="e">
        <f t="shared" si="4"/>
        <v>#N/A</v>
      </c>
      <c r="L55" s="627" t="e">
        <f t="shared" si="5"/>
        <v>#N/A</v>
      </c>
      <c r="M55" s="628" t="e">
        <f t="shared" si="6"/>
        <v>#N/A</v>
      </c>
      <c r="N55" s="464" t="e">
        <f>SUM($M$15:M55)</f>
        <v>#N/A</v>
      </c>
      <c r="O55" s="464" t="e">
        <f t="shared" si="7"/>
        <v>#DIV/0!</v>
      </c>
      <c r="P55" s="464" t="e">
        <f>SUM($O$15:O55)</f>
        <v>#DIV/0!</v>
      </c>
    </row>
    <row r="56" spans="2:16">
      <c r="B56" s="176">
        <f t="shared" si="2"/>
        <v>44328</v>
      </c>
      <c r="C56" s="209">
        <f t="shared" si="0"/>
        <v>5</v>
      </c>
      <c r="D56" s="208"/>
      <c r="E56" s="208"/>
      <c r="F56" s="208"/>
      <c r="G56" s="625" t="e">
        <f t="shared" si="1"/>
        <v>#DIV/0!</v>
      </c>
      <c r="H56" s="464" t="e">
        <f t="shared" si="3"/>
        <v>#DIV/0!</v>
      </c>
      <c r="I56" s="464" t="e">
        <f>SUM($H$15:H56)</f>
        <v>#DIV/0!</v>
      </c>
      <c r="J56" s="207"/>
      <c r="K56" s="626" t="e">
        <f t="shared" si="4"/>
        <v>#N/A</v>
      </c>
      <c r="L56" s="627" t="e">
        <f t="shared" si="5"/>
        <v>#N/A</v>
      </c>
      <c r="M56" s="628" t="e">
        <f t="shared" si="6"/>
        <v>#N/A</v>
      </c>
      <c r="N56" s="464" t="e">
        <f>SUM($M$15:M56)</f>
        <v>#N/A</v>
      </c>
      <c r="O56" s="464" t="e">
        <f t="shared" si="7"/>
        <v>#DIV/0!</v>
      </c>
      <c r="P56" s="464" t="e">
        <f>SUM($O$15:O56)</f>
        <v>#DIV/0!</v>
      </c>
    </row>
    <row r="57" spans="2:16">
      <c r="B57" s="176">
        <f t="shared" si="2"/>
        <v>44329</v>
      </c>
      <c r="C57" s="209">
        <f t="shared" si="0"/>
        <v>5</v>
      </c>
      <c r="D57" s="208"/>
      <c r="E57" s="208"/>
      <c r="F57" s="208"/>
      <c r="G57" s="625" t="e">
        <f t="shared" si="1"/>
        <v>#DIV/0!</v>
      </c>
      <c r="H57" s="464" t="e">
        <f t="shared" si="3"/>
        <v>#DIV/0!</v>
      </c>
      <c r="I57" s="464" t="e">
        <f>SUM($H$15:H57)</f>
        <v>#DIV/0!</v>
      </c>
      <c r="J57" s="207"/>
      <c r="K57" s="626" t="e">
        <f t="shared" si="4"/>
        <v>#N/A</v>
      </c>
      <c r="L57" s="627" t="e">
        <f t="shared" si="5"/>
        <v>#N/A</v>
      </c>
      <c r="M57" s="628" t="e">
        <f t="shared" si="6"/>
        <v>#N/A</v>
      </c>
      <c r="N57" s="464" t="e">
        <f>SUM($M$15:M57)</f>
        <v>#N/A</v>
      </c>
      <c r="O57" s="464" t="e">
        <f t="shared" si="7"/>
        <v>#DIV/0!</v>
      </c>
      <c r="P57" s="464" t="e">
        <f>SUM($O$15:O57)</f>
        <v>#DIV/0!</v>
      </c>
    </row>
    <row r="58" spans="2:16">
      <c r="B58" s="176">
        <f t="shared" si="2"/>
        <v>44330</v>
      </c>
      <c r="C58" s="209">
        <f t="shared" si="0"/>
        <v>5</v>
      </c>
      <c r="D58" s="208"/>
      <c r="E58" s="208"/>
      <c r="F58" s="208"/>
      <c r="G58" s="625" t="e">
        <f t="shared" si="1"/>
        <v>#DIV/0!</v>
      </c>
      <c r="H58" s="464" t="e">
        <f t="shared" si="3"/>
        <v>#DIV/0!</v>
      </c>
      <c r="I58" s="464" t="e">
        <f>SUM($H$15:H58)</f>
        <v>#DIV/0!</v>
      </c>
      <c r="J58" s="207"/>
      <c r="K58" s="626" t="e">
        <f t="shared" si="4"/>
        <v>#N/A</v>
      </c>
      <c r="L58" s="627" t="e">
        <f t="shared" si="5"/>
        <v>#N/A</v>
      </c>
      <c r="M58" s="628" t="e">
        <f t="shared" si="6"/>
        <v>#N/A</v>
      </c>
      <c r="N58" s="464" t="e">
        <f>SUM($M$15:M58)</f>
        <v>#N/A</v>
      </c>
      <c r="O58" s="464" t="e">
        <f t="shared" si="7"/>
        <v>#DIV/0!</v>
      </c>
      <c r="P58" s="464" t="e">
        <f>SUM($O$15:O58)</f>
        <v>#DIV/0!</v>
      </c>
    </row>
    <row r="59" spans="2:16">
      <c r="B59" s="176">
        <f t="shared" si="2"/>
        <v>44331</v>
      </c>
      <c r="C59" s="209">
        <f t="shared" si="0"/>
        <v>5</v>
      </c>
      <c r="D59" s="208"/>
      <c r="E59" s="208"/>
      <c r="F59" s="208"/>
      <c r="G59" s="625" t="e">
        <f t="shared" si="1"/>
        <v>#DIV/0!</v>
      </c>
      <c r="H59" s="464" t="e">
        <f t="shared" si="3"/>
        <v>#DIV/0!</v>
      </c>
      <c r="I59" s="464" t="e">
        <f>SUM($H$15:H59)</f>
        <v>#DIV/0!</v>
      </c>
      <c r="J59" s="207"/>
      <c r="K59" s="626" t="e">
        <f t="shared" si="4"/>
        <v>#N/A</v>
      </c>
      <c r="L59" s="627" t="e">
        <f t="shared" si="5"/>
        <v>#N/A</v>
      </c>
      <c r="M59" s="628" t="e">
        <f t="shared" si="6"/>
        <v>#N/A</v>
      </c>
      <c r="N59" s="464" t="e">
        <f>SUM($M$15:M59)</f>
        <v>#N/A</v>
      </c>
      <c r="O59" s="464" t="e">
        <f t="shared" si="7"/>
        <v>#DIV/0!</v>
      </c>
      <c r="P59" s="464" t="e">
        <f>SUM($O$15:O59)</f>
        <v>#DIV/0!</v>
      </c>
    </row>
    <row r="60" spans="2:16">
      <c r="B60" s="176">
        <f t="shared" si="2"/>
        <v>44332</v>
      </c>
      <c r="C60" s="209">
        <f t="shared" si="0"/>
        <v>5</v>
      </c>
      <c r="D60" s="208"/>
      <c r="E60" s="208"/>
      <c r="F60" s="208"/>
      <c r="G60" s="625" t="e">
        <f t="shared" si="1"/>
        <v>#DIV/0!</v>
      </c>
      <c r="H60" s="464" t="e">
        <f t="shared" si="3"/>
        <v>#DIV/0!</v>
      </c>
      <c r="I60" s="464" t="e">
        <f>SUM($H$15:H60)</f>
        <v>#DIV/0!</v>
      </c>
      <c r="J60" s="207"/>
      <c r="K60" s="626" t="e">
        <f t="shared" si="4"/>
        <v>#N/A</v>
      </c>
      <c r="L60" s="627" t="e">
        <f t="shared" si="5"/>
        <v>#N/A</v>
      </c>
      <c r="M60" s="628" t="e">
        <f t="shared" si="6"/>
        <v>#N/A</v>
      </c>
      <c r="N60" s="464" t="e">
        <f>SUM($M$15:M60)</f>
        <v>#N/A</v>
      </c>
      <c r="O60" s="464" t="e">
        <f t="shared" si="7"/>
        <v>#DIV/0!</v>
      </c>
      <c r="P60" s="464" t="e">
        <f>SUM($O$15:O60)</f>
        <v>#DIV/0!</v>
      </c>
    </row>
    <row r="61" spans="2:16">
      <c r="B61" s="176">
        <f t="shared" si="2"/>
        <v>44333</v>
      </c>
      <c r="C61" s="209">
        <f t="shared" si="0"/>
        <v>5</v>
      </c>
      <c r="D61" s="208"/>
      <c r="E61" s="208"/>
      <c r="F61" s="208"/>
      <c r="G61" s="625" t="e">
        <f t="shared" si="1"/>
        <v>#DIV/0!</v>
      </c>
      <c r="H61" s="464" t="e">
        <f t="shared" si="3"/>
        <v>#DIV/0!</v>
      </c>
      <c r="I61" s="464" t="e">
        <f>SUM($H$15:H61)</f>
        <v>#DIV/0!</v>
      </c>
      <c r="J61" s="207"/>
      <c r="K61" s="626" t="e">
        <f t="shared" si="4"/>
        <v>#N/A</v>
      </c>
      <c r="L61" s="627" t="e">
        <f t="shared" si="5"/>
        <v>#N/A</v>
      </c>
      <c r="M61" s="628" t="e">
        <f t="shared" si="6"/>
        <v>#N/A</v>
      </c>
      <c r="N61" s="464" t="e">
        <f>SUM($M$15:M61)</f>
        <v>#N/A</v>
      </c>
      <c r="O61" s="464" t="e">
        <f t="shared" si="7"/>
        <v>#DIV/0!</v>
      </c>
      <c r="P61" s="464" t="e">
        <f>SUM($O$15:O61)</f>
        <v>#DIV/0!</v>
      </c>
    </row>
    <row r="62" spans="2:16">
      <c r="B62" s="176">
        <f t="shared" si="2"/>
        <v>44334</v>
      </c>
      <c r="C62" s="209">
        <f t="shared" si="0"/>
        <v>5</v>
      </c>
      <c r="D62" s="208"/>
      <c r="E62" s="208"/>
      <c r="F62" s="208"/>
      <c r="G62" s="625" t="e">
        <f t="shared" si="1"/>
        <v>#DIV/0!</v>
      </c>
      <c r="H62" s="464" t="e">
        <f t="shared" si="3"/>
        <v>#DIV/0!</v>
      </c>
      <c r="I62" s="464" t="e">
        <f>SUM($H$15:H62)</f>
        <v>#DIV/0!</v>
      </c>
      <c r="J62" s="207"/>
      <c r="K62" s="626" t="e">
        <f t="shared" si="4"/>
        <v>#N/A</v>
      </c>
      <c r="L62" s="627" t="e">
        <f t="shared" si="5"/>
        <v>#N/A</v>
      </c>
      <c r="M62" s="628" t="e">
        <f t="shared" si="6"/>
        <v>#N/A</v>
      </c>
      <c r="N62" s="464" t="e">
        <f>SUM($M$15:M62)</f>
        <v>#N/A</v>
      </c>
      <c r="O62" s="464" t="e">
        <f t="shared" si="7"/>
        <v>#DIV/0!</v>
      </c>
      <c r="P62" s="464" t="e">
        <f>SUM($O$15:O62)</f>
        <v>#DIV/0!</v>
      </c>
    </row>
    <row r="63" spans="2:16">
      <c r="B63" s="176">
        <f t="shared" si="2"/>
        <v>44335</v>
      </c>
      <c r="C63" s="209">
        <f t="shared" si="0"/>
        <v>5</v>
      </c>
      <c r="D63" s="208"/>
      <c r="E63" s="208"/>
      <c r="F63" s="208"/>
      <c r="G63" s="625" t="e">
        <f t="shared" si="1"/>
        <v>#DIV/0!</v>
      </c>
      <c r="H63" s="464" t="e">
        <f t="shared" si="3"/>
        <v>#DIV/0!</v>
      </c>
      <c r="I63" s="464" t="e">
        <f>SUM($H$15:H63)</f>
        <v>#DIV/0!</v>
      </c>
      <c r="J63" s="207"/>
      <c r="K63" s="626" t="e">
        <f t="shared" si="4"/>
        <v>#N/A</v>
      </c>
      <c r="L63" s="627" t="e">
        <f t="shared" si="5"/>
        <v>#N/A</v>
      </c>
      <c r="M63" s="628" t="e">
        <f t="shared" si="6"/>
        <v>#N/A</v>
      </c>
      <c r="N63" s="464" t="e">
        <f>SUM($M$15:M63)</f>
        <v>#N/A</v>
      </c>
      <c r="O63" s="464" t="e">
        <f t="shared" si="7"/>
        <v>#DIV/0!</v>
      </c>
      <c r="P63" s="464" t="e">
        <f>SUM($O$15:O63)</f>
        <v>#DIV/0!</v>
      </c>
    </row>
    <row r="64" spans="2:16">
      <c r="B64" s="176">
        <f t="shared" si="2"/>
        <v>44336</v>
      </c>
      <c r="C64" s="209">
        <f t="shared" si="0"/>
        <v>5</v>
      </c>
      <c r="D64" s="208"/>
      <c r="E64" s="208"/>
      <c r="F64" s="208"/>
      <c r="G64" s="625" t="e">
        <f t="shared" si="1"/>
        <v>#DIV/0!</v>
      </c>
      <c r="H64" s="464" t="e">
        <f t="shared" si="3"/>
        <v>#DIV/0!</v>
      </c>
      <c r="I64" s="464" t="e">
        <f>SUM($H$15:H64)</f>
        <v>#DIV/0!</v>
      </c>
      <c r="J64" s="207"/>
      <c r="K64" s="626" t="e">
        <f t="shared" si="4"/>
        <v>#N/A</v>
      </c>
      <c r="L64" s="627" t="e">
        <f t="shared" si="5"/>
        <v>#N/A</v>
      </c>
      <c r="M64" s="628" t="e">
        <f t="shared" si="6"/>
        <v>#N/A</v>
      </c>
      <c r="N64" s="464" t="e">
        <f>SUM($M$15:M64)</f>
        <v>#N/A</v>
      </c>
      <c r="O64" s="464" t="e">
        <f t="shared" si="7"/>
        <v>#DIV/0!</v>
      </c>
      <c r="P64" s="464" t="e">
        <f>SUM($O$15:O64)</f>
        <v>#DIV/0!</v>
      </c>
    </row>
    <row r="65" spans="2:16">
      <c r="B65" s="176">
        <f t="shared" si="2"/>
        <v>44337</v>
      </c>
      <c r="C65" s="209">
        <f t="shared" si="0"/>
        <v>5</v>
      </c>
      <c r="D65" s="208"/>
      <c r="E65" s="208"/>
      <c r="F65" s="208"/>
      <c r="G65" s="625" t="e">
        <f t="shared" si="1"/>
        <v>#DIV/0!</v>
      </c>
      <c r="H65" s="464" t="e">
        <f t="shared" si="3"/>
        <v>#DIV/0!</v>
      </c>
      <c r="I65" s="464" t="e">
        <f>SUM($H$15:H65)</f>
        <v>#DIV/0!</v>
      </c>
      <c r="J65" s="207"/>
      <c r="K65" s="626" t="e">
        <f t="shared" si="4"/>
        <v>#N/A</v>
      </c>
      <c r="L65" s="627" t="e">
        <f t="shared" si="5"/>
        <v>#N/A</v>
      </c>
      <c r="M65" s="628" t="e">
        <f t="shared" si="6"/>
        <v>#N/A</v>
      </c>
      <c r="N65" s="464" t="e">
        <f>SUM($M$15:M65)</f>
        <v>#N/A</v>
      </c>
      <c r="O65" s="464" t="e">
        <f t="shared" si="7"/>
        <v>#DIV/0!</v>
      </c>
      <c r="P65" s="464" t="e">
        <f>SUM($O$15:O65)</f>
        <v>#DIV/0!</v>
      </c>
    </row>
    <row r="66" spans="2:16">
      <c r="B66" s="176">
        <f t="shared" si="2"/>
        <v>44338</v>
      </c>
      <c r="C66" s="209">
        <f t="shared" si="0"/>
        <v>5</v>
      </c>
      <c r="D66" s="208"/>
      <c r="E66" s="208"/>
      <c r="F66" s="208"/>
      <c r="G66" s="625" t="e">
        <f t="shared" si="1"/>
        <v>#DIV/0!</v>
      </c>
      <c r="H66" s="464" t="e">
        <f t="shared" si="3"/>
        <v>#DIV/0!</v>
      </c>
      <c r="I66" s="464" t="e">
        <f>SUM($H$15:H66)</f>
        <v>#DIV/0!</v>
      </c>
      <c r="J66" s="207"/>
      <c r="K66" s="626" t="e">
        <f t="shared" si="4"/>
        <v>#N/A</v>
      </c>
      <c r="L66" s="627" t="e">
        <f t="shared" si="5"/>
        <v>#N/A</v>
      </c>
      <c r="M66" s="628" t="e">
        <f t="shared" si="6"/>
        <v>#N/A</v>
      </c>
      <c r="N66" s="464" t="e">
        <f>SUM($M$15:M66)</f>
        <v>#N/A</v>
      </c>
      <c r="O66" s="464" t="e">
        <f t="shared" si="7"/>
        <v>#DIV/0!</v>
      </c>
      <c r="P66" s="464" t="e">
        <f>SUM($O$15:O66)</f>
        <v>#DIV/0!</v>
      </c>
    </row>
    <row r="67" spans="2:16">
      <c r="B67" s="176">
        <f t="shared" si="2"/>
        <v>44339</v>
      </c>
      <c r="C67" s="209">
        <f t="shared" si="0"/>
        <v>5</v>
      </c>
      <c r="D67" s="208"/>
      <c r="E67" s="208"/>
      <c r="F67" s="208"/>
      <c r="G67" s="625" t="e">
        <f t="shared" si="1"/>
        <v>#DIV/0!</v>
      </c>
      <c r="H67" s="464" t="e">
        <f t="shared" si="3"/>
        <v>#DIV/0!</v>
      </c>
      <c r="I67" s="464" t="e">
        <f>SUM($H$15:H67)</f>
        <v>#DIV/0!</v>
      </c>
      <c r="J67" s="207"/>
      <c r="K67" s="626" t="e">
        <f t="shared" si="4"/>
        <v>#N/A</v>
      </c>
      <c r="L67" s="627" t="e">
        <f t="shared" si="5"/>
        <v>#N/A</v>
      </c>
      <c r="M67" s="628" t="e">
        <f t="shared" si="6"/>
        <v>#N/A</v>
      </c>
      <c r="N67" s="464" t="e">
        <f>SUM($M$15:M67)</f>
        <v>#N/A</v>
      </c>
      <c r="O67" s="464" t="e">
        <f t="shared" si="7"/>
        <v>#DIV/0!</v>
      </c>
      <c r="P67" s="464" t="e">
        <f>SUM($O$15:O67)</f>
        <v>#DIV/0!</v>
      </c>
    </row>
    <row r="68" spans="2:16">
      <c r="B68" s="176">
        <f t="shared" si="2"/>
        <v>44340</v>
      </c>
      <c r="C68" s="209">
        <f t="shared" si="0"/>
        <v>5</v>
      </c>
      <c r="D68" s="208"/>
      <c r="E68" s="208"/>
      <c r="F68" s="208"/>
      <c r="G68" s="625" t="e">
        <f t="shared" si="1"/>
        <v>#DIV/0!</v>
      </c>
      <c r="H68" s="464" t="e">
        <f t="shared" si="3"/>
        <v>#DIV/0!</v>
      </c>
      <c r="I68" s="464" t="e">
        <f>SUM($H$15:H68)</f>
        <v>#DIV/0!</v>
      </c>
      <c r="J68" s="207"/>
      <c r="K68" s="626" t="e">
        <f t="shared" si="4"/>
        <v>#N/A</v>
      </c>
      <c r="L68" s="627" t="e">
        <f t="shared" si="5"/>
        <v>#N/A</v>
      </c>
      <c r="M68" s="628" t="e">
        <f t="shared" si="6"/>
        <v>#N/A</v>
      </c>
      <c r="N68" s="464" t="e">
        <f>SUM($M$15:M68)</f>
        <v>#N/A</v>
      </c>
      <c r="O68" s="464" t="e">
        <f t="shared" si="7"/>
        <v>#DIV/0!</v>
      </c>
      <c r="P68" s="464" t="e">
        <f>SUM($O$15:O68)</f>
        <v>#DIV/0!</v>
      </c>
    </row>
    <row r="69" spans="2:16">
      <c r="B69" s="176">
        <f t="shared" si="2"/>
        <v>44341</v>
      </c>
      <c r="C69" s="209">
        <f t="shared" si="0"/>
        <v>5</v>
      </c>
      <c r="D69" s="208"/>
      <c r="E69" s="208"/>
      <c r="F69" s="208"/>
      <c r="G69" s="625" t="e">
        <f t="shared" si="1"/>
        <v>#DIV/0!</v>
      </c>
      <c r="H69" s="464" t="e">
        <f t="shared" si="3"/>
        <v>#DIV/0!</v>
      </c>
      <c r="I69" s="464" t="e">
        <f>SUM($H$15:H69)</f>
        <v>#DIV/0!</v>
      </c>
      <c r="J69" s="207"/>
      <c r="K69" s="626" t="e">
        <f t="shared" si="4"/>
        <v>#N/A</v>
      </c>
      <c r="L69" s="627" t="e">
        <f t="shared" si="5"/>
        <v>#N/A</v>
      </c>
      <c r="M69" s="628" t="e">
        <f t="shared" si="6"/>
        <v>#N/A</v>
      </c>
      <c r="N69" s="464" t="e">
        <f>SUM($M$15:M69)</f>
        <v>#N/A</v>
      </c>
      <c r="O69" s="464" t="e">
        <f t="shared" si="7"/>
        <v>#DIV/0!</v>
      </c>
      <c r="P69" s="464" t="e">
        <f>SUM($O$15:O69)</f>
        <v>#DIV/0!</v>
      </c>
    </row>
    <row r="70" spans="2:16">
      <c r="B70" s="176">
        <f t="shared" si="2"/>
        <v>44342</v>
      </c>
      <c r="C70" s="209">
        <f t="shared" si="0"/>
        <v>5</v>
      </c>
      <c r="D70" s="208"/>
      <c r="E70" s="208"/>
      <c r="F70" s="208"/>
      <c r="G70" s="625" t="e">
        <f t="shared" si="1"/>
        <v>#DIV/0!</v>
      </c>
      <c r="H70" s="464" t="e">
        <f t="shared" si="3"/>
        <v>#DIV/0!</v>
      </c>
      <c r="I70" s="464" t="e">
        <f>SUM($H$15:H70)</f>
        <v>#DIV/0!</v>
      </c>
      <c r="J70" s="207"/>
      <c r="K70" s="626" t="e">
        <f t="shared" si="4"/>
        <v>#N/A</v>
      </c>
      <c r="L70" s="627" t="e">
        <f t="shared" si="5"/>
        <v>#N/A</v>
      </c>
      <c r="M70" s="628" t="e">
        <f t="shared" si="6"/>
        <v>#N/A</v>
      </c>
      <c r="N70" s="464" t="e">
        <f>SUM($M$15:M70)</f>
        <v>#N/A</v>
      </c>
      <c r="O70" s="464" t="e">
        <f t="shared" si="7"/>
        <v>#DIV/0!</v>
      </c>
      <c r="P70" s="464" t="e">
        <f>SUM($O$15:O70)</f>
        <v>#DIV/0!</v>
      </c>
    </row>
    <row r="71" spans="2:16">
      <c r="B71" s="176">
        <f t="shared" si="2"/>
        <v>44343</v>
      </c>
      <c r="C71" s="209">
        <f t="shared" si="0"/>
        <v>5</v>
      </c>
      <c r="D71" s="208"/>
      <c r="E71" s="208"/>
      <c r="F71" s="208"/>
      <c r="G71" s="625" t="e">
        <f t="shared" si="1"/>
        <v>#DIV/0!</v>
      </c>
      <c r="H71" s="464" t="e">
        <f t="shared" si="3"/>
        <v>#DIV/0!</v>
      </c>
      <c r="I71" s="464" t="e">
        <f>SUM($H$15:H71)</f>
        <v>#DIV/0!</v>
      </c>
      <c r="J71" s="207"/>
      <c r="K71" s="626" t="e">
        <f t="shared" si="4"/>
        <v>#N/A</v>
      </c>
      <c r="L71" s="627" t="e">
        <f t="shared" si="5"/>
        <v>#N/A</v>
      </c>
      <c r="M71" s="628" t="e">
        <f t="shared" si="6"/>
        <v>#N/A</v>
      </c>
      <c r="N71" s="464" t="e">
        <f>SUM($M$15:M71)</f>
        <v>#N/A</v>
      </c>
      <c r="O71" s="464" t="e">
        <f t="shared" si="7"/>
        <v>#DIV/0!</v>
      </c>
      <c r="P71" s="464" t="e">
        <f>SUM($O$15:O71)</f>
        <v>#DIV/0!</v>
      </c>
    </row>
    <row r="72" spans="2:16">
      <c r="B72" s="176">
        <f t="shared" si="2"/>
        <v>44344</v>
      </c>
      <c r="C72" s="209">
        <f t="shared" si="0"/>
        <v>5</v>
      </c>
      <c r="D72" s="208"/>
      <c r="E72" s="208"/>
      <c r="F72" s="208"/>
      <c r="G72" s="625" t="e">
        <f t="shared" si="1"/>
        <v>#DIV/0!</v>
      </c>
      <c r="H72" s="464" t="e">
        <f t="shared" si="3"/>
        <v>#DIV/0!</v>
      </c>
      <c r="I72" s="464" t="e">
        <f>SUM($H$15:H72)</f>
        <v>#DIV/0!</v>
      </c>
      <c r="J72" s="207"/>
      <c r="K72" s="626" t="e">
        <f t="shared" si="4"/>
        <v>#N/A</v>
      </c>
      <c r="L72" s="627" t="e">
        <f t="shared" si="5"/>
        <v>#N/A</v>
      </c>
      <c r="M72" s="628" t="e">
        <f t="shared" si="6"/>
        <v>#N/A</v>
      </c>
      <c r="N72" s="464" t="e">
        <f>SUM($M$15:M72)</f>
        <v>#N/A</v>
      </c>
      <c r="O72" s="464" t="e">
        <f t="shared" si="7"/>
        <v>#DIV/0!</v>
      </c>
      <c r="P72" s="464" t="e">
        <f>SUM($O$15:O72)</f>
        <v>#DIV/0!</v>
      </c>
    </row>
    <row r="73" spans="2:16">
      <c r="B73" s="176">
        <f t="shared" si="2"/>
        <v>44345</v>
      </c>
      <c r="C73" s="209">
        <f t="shared" si="0"/>
        <v>5</v>
      </c>
      <c r="D73" s="208"/>
      <c r="E73" s="208"/>
      <c r="F73" s="208"/>
      <c r="G73" s="625" t="e">
        <f t="shared" si="1"/>
        <v>#DIV/0!</v>
      </c>
      <c r="H73" s="464" t="e">
        <f t="shared" si="3"/>
        <v>#DIV/0!</v>
      </c>
      <c r="I73" s="464" t="e">
        <f>SUM($H$15:H73)</f>
        <v>#DIV/0!</v>
      </c>
      <c r="J73" s="207"/>
      <c r="K73" s="626" t="e">
        <f t="shared" si="4"/>
        <v>#N/A</v>
      </c>
      <c r="L73" s="627" t="e">
        <f t="shared" si="5"/>
        <v>#N/A</v>
      </c>
      <c r="M73" s="628" t="e">
        <f t="shared" si="6"/>
        <v>#N/A</v>
      </c>
      <c r="N73" s="464" t="e">
        <f>SUM($M$15:M73)</f>
        <v>#N/A</v>
      </c>
      <c r="O73" s="464" t="e">
        <f t="shared" si="7"/>
        <v>#DIV/0!</v>
      </c>
      <c r="P73" s="464" t="e">
        <f>SUM($O$15:O73)</f>
        <v>#DIV/0!</v>
      </c>
    </row>
    <row r="74" spans="2:16">
      <c r="B74" s="176">
        <f t="shared" si="2"/>
        <v>44346</v>
      </c>
      <c r="C74" s="209">
        <f t="shared" si="0"/>
        <v>5</v>
      </c>
      <c r="D74" s="208"/>
      <c r="E74" s="208"/>
      <c r="F74" s="208"/>
      <c r="G74" s="625" t="e">
        <f t="shared" si="1"/>
        <v>#DIV/0!</v>
      </c>
      <c r="H74" s="464" t="e">
        <f t="shared" si="3"/>
        <v>#DIV/0!</v>
      </c>
      <c r="I74" s="464" t="e">
        <f>SUM($H$15:H74)</f>
        <v>#DIV/0!</v>
      </c>
      <c r="J74" s="207"/>
      <c r="K74" s="626" t="e">
        <f t="shared" si="4"/>
        <v>#N/A</v>
      </c>
      <c r="L74" s="627" t="e">
        <f t="shared" si="5"/>
        <v>#N/A</v>
      </c>
      <c r="M74" s="628" t="e">
        <f t="shared" si="6"/>
        <v>#N/A</v>
      </c>
      <c r="N74" s="464" t="e">
        <f>SUM($M$15:M74)</f>
        <v>#N/A</v>
      </c>
      <c r="O74" s="464" t="e">
        <f t="shared" si="7"/>
        <v>#DIV/0!</v>
      </c>
      <c r="P74" s="464" t="e">
        <f>SUM($O$15:O74)</f>
        <v>#DIV/0!</v>
      </c>
    </row>
    <row r="75" spans="2:16">
      <c r="B75" s="176">
        <f t="shared" si="2"/>
        <v>44347</v>
      </c>
      <c r="C75" s="209">
        <f t="shared" si="0"/>
        <v>5</v>
      </c>
      <c r="D75" s="208"/>
      <c r="E75" s="208"/>
      <c r="F75" s="208"/>
      <c r="G75" s="625" t="e">
        <f t="shared" si="1"/>
        <v>#DIV/0!</v>
      </c>
      <c r="H75" s="464" t="e">
        <f t="shared" si="3"/>
        <v>#DIV/0!</v>
      </c>
      <c r="I75" s="464" t="e">
        <f>SUM($H$15:H75)</f>
        <v>#DIV/0!</v>
      </c>
      <c r="J75" s="207"/>
      <c r="K75" s="626" t="e">
        <f t="shared" si="4"/>
        <v>#N/A</v>
      </c>
      <c r="L75" s="627" t="e">
        <f t="shared" si="5"/>
        <v>#N/A</v>
      </c>
      <c r="M75" s="628" t="e">
        <f t="shared" si="6"/>
        <v>#N/A</v>
      </c>
      <c r="N75" s="464" t="e">
        <f>SUM($M$15:M75)</f>
        <v>#N/A</v>
      </c>
      <c r="O75" s="464" t="e">
        <f t="shared" si="7"/>
        <v>#DIV/0!</v>
      </c>
      <c r="P75" s="464" t="e">
        <f>SUM($O$15:O75)</f>
        <v>#DIV/0!</v>
      </c>
    </row>
    <row r="76" spans="2:16">
      <c r="B76" s="176">
        <f t="shared" si="2"/>
        <v>44348</v>
      </c>
      <c r="C76" s="209">
        <f t="shared" si="0"/>
        <v>6</v>
      </c>
      <c r="D76" s="208"/>
      <c r="E76" s="208"/>
      <c r="F76" s="208"/>
      <c r="G76" s="625" t="e">
        <f t="shared" si="1"/>
        <v>#DIV/0!</v>
      </c>
      <c r="H76" s="464" t="e">
        <f t="shared" si="3"/>
        <v>#DIV/0!</v>
      </c>
      <c r="I76" s="464" t="e">
        <f>SUM($H$15:H76)</f>
        <v>#DIV/0!</v>
      </c>
      <c r="J76" s="207"/>
      <c r="K76" s="626" t="e">
        <f t="shared" si="4"/>
        <v>#N/A</v>
      </c>
      <c r="L76" s="627" t="e">
        <f t="shared" si="5"/>
        <v>#N/A</v>
      </c>
      <c r="M76" s="628" t="e">
        <f t="shared" si="6"/>
        <v>#N/A</v>
      </c>
      <c r="N76" s="464" t="e">
        <f>SUM($M$15:M76)</f>
        <v>#N/A</v>
      </c>
      <c r="O76" s="464" t="e">
        <f t="shared" si="7"/>
        <v>#DIV/0!</v>
      </c>
      <c r="P76" s="464" t="e">
        <f>SUM($O$15:O76)</f>
        <v>#DIV/0!</v>
      </c>
    </row>
    <row r="77" spans="2:16">
      <c r="B77" s="176">
        <f t="shared" si="2"/>
        <v>44349</v>
      </c>
      <c r="C77" s="209">
        <f t="shared" si="0"/>
        <v>6</v>
      </c>
      <c r="D77" s="208"/>
      <c r="E77" s="208"/>
      <c r="F77" s="208"/>
      <c r="G77" s="625" t="e">
        <f t="shared" si="1"/>
        <v>#DIV/0!</v>
      </c>
      <c r="H77" s="464" t="e">
        <f t="shared" si="3"/>
        <v>#DIV/0!</v>
      </c>
      <c r="I77" s="464" t="e">
        <f>SUM($H$15:H77)</f>
        <v>#DIV/0!</v>
      </c>
      <c r="J77" s="207"/>
      <c r="K77" s="626" t="e">
        <f t="shared" si="4"/>
        <v>#N/A</v>
      </c>
      <c r="L77" s="627" t="e">
        <f t="shared" si="5"/>
        <v>#N/A</v>
      </c>
      <c r="M77" s="628" t="e">
        <f t="shared" si="6"/>
        <v>#N/A</v>
      </c>
      <c r="N77" s="464" t="e">
        <f>SUM($M$15:M77)</f>
        <v>#N/A</v>
      </c>
      <c r="O77" s="464" t="e">
        <f t="shared" si="7"/>
        <v>#DIV/0!</v>
      </c>
      <c r="P77" s="464" t="e">
        <f>SUM($O$15:O77)</f>
        <v>#DIV/0!</v>
      </c>
    </row>
    <row r="78" spans="2:16">
      <c r="B78" s="176">
        <f t="shared" si="2"/>
        <v>44350</v>
      </c>
      <c r="C78" s="209">
        <f t="shared" si="0"/>
        <v>6</v>
      </c>
      <c r="D78" s="208"/>
      <c r="E78" s="208"/>
      <c r="F78" s="208"/>
      <c r="G78" s="625" t="e">
        <f t="shared" si="1"/>
        <v>#DIV/0!</v>
      </c>
      <c r="H78" s="464" t="e">
        <f t="shared" si="3"/>
        <v>#DIV/0!</v>
      </c>
      <c r="I78" s="464" t="e">
        <f>SUM($H$15:H78)</f>
        <v>#DIV/0!</v>
      </c>
      <c r="J78" s="207"/>
      <c r="K78" s="626" t="e">
        <f t="shared" si="4"/>
        <v>#N/A</v>
      </c>
      <c r="L78" s="627" t="e">
        <f t="shared" si="5"/>
        <v>#N/A</v>
      </c>
      <c r="M78" s="628" t="e">
        <f t="shared" si="6"/>
        <v>#N/A</v>
      </c>
      <c r="N78" s="464" t="e">
        <f>SUM($M$15:M78)</f>
        <v>#N/A</v>
      </c>
      <c r="O78" s="464" t="e">
        <f t="shared" si="7"/>
        <v>#DIV/0!</v>
      </c>
      <c r="P78" s="464" t="e">
        <f>SUM($O$15:O78)</f>
        <v>#DIV/0!</v>
      </c>
    </row>
    <row r="79" spans="2:16">
      <c r="B79" s="176">
        <f t="shared" si="2"/>
        <v>44351</v>
      </c>
      <c r="C79" s="209">
        <f t="shared" ref="C79:C142" si="8">MONTH(B79)</f>
        <v>6</v>
      </c>
      <c r="D79" s="208"/>
      <c r="E79" s="208"/>
      <c r="F79" s="208"/>
      <c r="G79" s="625" t="e">
        <f t="shared" si="1"/>
        <v>#DIV/0!</v>
      </c>
      <c r="H79" s="464" t="e">
        <f t="shared" si="3"/>
        <v>#DIV/0!</v>
      </c>
      <c r="I79" s="464" t="e">
        <f>SUM($H$15:H79)</f>
        <v>#DIV/0!</v>
      </c>
      <c r="J79" s="207"/>
      <c r="K79" s="626" t="e">
        <f t="shared" si="4"/>
        <v>#N/A</v>
      </c>
      <c r="L79" s="627" t="e">
        <f t="shared" si="5"/>
        <v>#N/A</v>
      </c>
      <c r="M79" s="628" t="e">
        <f t="shared" si="6"/>
        <v>#N/A</v>
      </c>
      <c r="N79" s="464" t="e">
        <f>SUM($M$15:M79)</f>
        <v>#N/A</v>
      </c>
      <c r="O79" s="464" t="e">
        <f t="shared" ref="O79:O142" si="9">SUM(H79+M79)</f>
        <v>#DIV/0!</v>
      </c>
      <c r="P79" s="464" t="e">
        <f>SUM($O$15:O79)</f>
        <v>#DIV/0!</v>
      </c>
    </row>
    <row r="80" spans="2:16">
      <c r="B80" s="176">
        <f t="shared" ref="B80:B143" si="10">B79+1</f>
        <v>44352</v>
      </c>
      <c r="C80" s="209">
        <f t="shared" si="8"/>
        <v>6</v>
      </c>
      <c r="D80" s="208"/>
      <c r="E80" s="208"/>
      <c r="F80" s="208"/>
      <c r="G80" s="625" t="e">
        <f t="shared" ref="G80:G143" si="11">((E80-F80)/D80)*100</f>
        <v>#DIV/0!</v>
      </c>
      <c r="H80" s="464" t="e">
        <f t="shared" ref="H80:H143" si="12">IF(AND(G80&gt;=0,G80&lt;=5),1200-(G80*800),IF(AND(G80&gt;5,G80&lt;75.667),-2800-(300*(G80-5)),-24000))</f>
        <v>#DIV/0!</v>
      </c>
      <c r="I80" s="464" t="e">
        <f>SUM($H$15:H80)</f>
        <v>#DIV/0!</v>
      </c>
      <c r="J80" s="207"/>
      <c r="K80" s="626" t="e">
        <f t="shared" ref="K80:K143" si="13">IF(ISBLANK(J81),#N/A,J81)</f>
        <v>#N/A</v>
      </c>
      <c r="L80" s="627" t="e">
        <f t="shared" ref="L80:L143" si="14">MAX((J80-K80),(K80-J80))</f>
        <v>#N/A</v>
      </c>
      <c r="M80" s="628" t="e">
        <f t="shared" ref="M80:M143" si="15">IF(AND(L80&gt;=0, L80&lt;=1.5), 3200, IF(AND(L80&gt;1.5,L80&lt;=2.8),3200*((2.8-L80)/1.3),IF(AND(L80&gt;2.8, L80&lt;15), -24000*((2.8-L80)/-12.2), -24000)))</f>
        <v>#N/A</v>
      </c>
      <c r="N80" s="464" t="e">
        <f>SUM($M$15:M80)</f>
        <v>#N/A</v>
      </c>
      <c r="O80" s="464" t="e">
        <f t="shared" si="9"/>
        <v>#DIV/0!</v>
      </c>
      <c r="P80" s="464" t="e">
        <f>SUM($O$15:O80)</f>
        <v>#DIV/0!</v>
      </c>
    </row>
    <row r="81" spans="2:16">
      <c r="B81" s="176">
        <f t="shared" si="10"/>
        <v>44353</v>
      </c>
      <c r="C81" s="209">
        <f t="shared" si="8"/>
        <v>6</v>
      </c>
      <c r="D81" s="208"/>
      <c r="E81" s="208"/>
      <c r="F81" s="208"/>
      <c r="G81" s="625" t="e">
        <f t="shared" si="11"/>
        <v>#DIV/0!</v>
      </c>
      <c r="H81" s="464" t="e">
        <f t="shared" si="12"/>
        <v>#DIV/0!</v>
      </c>
      <c r="I81" s="464" t="e">
        <f>SUM($H$15:H81)</f>
        <v>#DIV/0!</v>
      </c>
      <c r="J81" s="207"/>
      <c r="K81" s="626" t="e">
        <f t="shared" si="13"/>
        <v>#N/A</v>
      </c>
      <c r="L81" s="627" t="e">
        <f t="shared" si="14"/>
        <v>#N/A</v>
      </c>
      <c r="M81" s="628" t="e">
        <f t="shared" si="15"/>
        <v>#N/A</v>
      </c>
      <c r="N81" s="464" t="e">
        <f>SUM($M$15:M81)</f>
        <v>#N/A</v>
      </c>
      <c r="O81" s="464" t="e">
        <f t="shared" si="9"/>
        <v>#DIV/0!</v>
      </c>
      <c r="P81" s="464" t="e">
        <f>SUM($O$15:O81)</f>
        <v>#DIV/0!</v>
      </c>
    </row>
    <row r="82" spans="2:16">
      <c r="B82" s="176">
        <f t="shared" si="10"/>
        <v>44354</v>
      </c>
      <c r="C82" s="209">
        <f t="shared" si="8"/>
        <v>6</v>
      </c>
      <c r="D82" s="208"/>
      <c r="E82" s="208"/>
      <c r="F82" s="208"/>
      <c r="G82" s="625" t="e">
        <f t="shared" si="11"/>
        <v>#DIV/0!</v>
      </c>
      <c r="H82" s="464" t="e">
        <f t="shared" si="12"/>
        <v>#DIV/0!</v>
      </c>
      <c r="I82" s="464" t="e">
        <f>SUM($H$15:H82)</f>
        <v>#DIV/0!</v>
      </c>
      <c r="J82" s="207"/>
      <c r="K82" s="626" t="e">
        <f t="shared" si="13"/>
        <v>#N/A</v>
      </c>
      <c r="L82" s="627" t="e">
        <f t="shared" si="14"/>
        <v>#N/A</v>
      </c>
      <c r="M82" s="628" t="e">
        <f t="shared" si="15"/>
        <v>#N/A</v>
      </c>
      <c r="N82" s="464" t="e">
        <f>SUM($M$15:M82)</f>
        <v>#N/A</v>
      </c>
      <c r="O82" s="464" t="e">
        <f t="shared" si="9"/>
        <v>#DIV/0!</v>
      </c>
      <c r="P82" s="464" t="e">
        <f>SUM($O$15:O82)</f>
        <v>#DIV/0!</v>
      </c>
    </row>
    <row r="83" spans="2:16">
      <c r="B83" s="176">
        <f t="shared" si="10"/>
        <v>44355</v>
      </c>
      <c r="C83" s="209">
        <f t="shared" si="8"/>
        <v>6</v>
      </c>
      <c r="D83" s="208"/>
      <c r="E83" s="208"/>
      <c r="F83" s="208"/>
      <c r="G83" s="625" t="e">
        <f t="shared" si="11"/>
        <v>#DIV/0!</v>
      </c>
      <c r="H83" s="464" t="e">
        <f t="shared" si="12"/>
        <v>#DIV/0!</v>
      </c>
      <c r="I83" s="464" t="e">
        <f>SUM($H$15:H83)</f>
        <v>#DIV/0!</v>
      </c>
      <c r="J83" s="207"/>
      <c r="K83" s="626" t="e">
        <f t="shared" si="13"/>
        <v>#N/A</v>
      </c>
      <c r="L83" s="627" t="e">
        <f t="shared" si="14"/>
        <v>#N/A</v>
      </c>
      <c r="M83" s="628" t="e">
        <f t="shared" si="15"/>
        <v>#N/A</v>
      </c>
      <c r="N83" s="464" t="e">
        <f>SUM($M$15:M83)</f>
        <v>#N/A</v>
      </c>
      <c r="O83" s="464" t="e">
        <f t="shared" si="9"/>
        <v>#DIV/0!</v>
      </c>
      <c r="P83" s="464" t="e">
        <f>SUM($O$15:O83)</f>
        <v>#DIV/0!</v>
      </c>
    </row>
    <row r="84" spans="2:16">
      <c r="B84" s="176">
        <f t="shared" si="10"/>
        <v>44356</v>
      </c>
      <c r="C84" s="209">
        <f t="shared" si="8"/>
        <v>6</v>
      </c>
      <c r="D84" s="208"/>
      <c r="E84" s="208"/>
      <c r="F84" s="208"/>
      <c r="G84" s="625" t="e">
        <f t="shared" si="11"/>
        <v>#DIV/0!</v>
      </c>
      <c r="H84" s="464" t="e">
        <f t="shared" si="12"/>
        <v>#DIV/0!</v>
      </c>
      <c r="I84" s="464" t="e">
        <f>SUM($H$15:H84)</f>
        <v>#DIV/0!</v>
      </c>
      <c r="J84" s="207"/>
      <c r="K84" s="626" t="e">
        <f t="shared" si="13"/>
        <v>#N/A</v>
      </c>
      <c r="L84" s="627" t="e">
        <f t="shared" si="14"/>
        <v>#N/A</v>
      </c>
      <c r="M84" s="628" t="e">
        <f t="shared" si="15"/>
        <v>#N/A</v>
      </c>
      <c r="N84" s="464" t="e">
        <f>SUM($M$15:M84)</f>
        <v>#N/A</v>
      </c>
      <c r="O84" s="464" t="e">
        <f t="shared" si="9"/>
        <v>#DIV/0!</v>
      </c>
      <c r="P84" s="464" t="e">
        <f>SUM($O$15:O84)</f>
        <v>#DIV/0!</v>
      </c>
    </row>
    <row r="85" spans="2:16">
      <c r="B85" s="176">
        <f t="shared" si="10"/>
        <v>44357</v>
      </c>
      <c r="C85" s="209">
        <f t="shared" si="8"/>
        <v>6</v>
      </c>
      <c r="D85" s="208"/>
      <c r="E85" s="208"/>
      <c r="F85" s="208"/>
      <c r="G85" s="625" t="e">
        <f t="shared" si="11"/>
        <v>#DIV/0!</v>
      </c>
      <c r="H85" s="464" t="e">
        <f t="shared" si="12"/>
        <v>#DIV/0!</v>
      </c>
      <c r="I85" s="464" t="e">
        <f>SUM($H$15:H85)</f>
        <v>#DIV/0!</v>
      </c>
      <c r="J85" s="207"/>
      <c r="K85" s="626" t="e">
        <f t="shared" si="13"/>
        <v>#N/A</v>
      </c>
      <c r="L85" s="627" t="e">
        <f t="shared" si="14"/>
        <v>#N/A</v>
      </c>
      <c r="M85" s="628" t="e">
        <f t="shared" si="15"/>
        <v>#N/A</v>
      </c>
      <c r="N85" s="464" t="e">
        <f>SUM($M$15:M85)</f>
        <v>#N/A</v>
      </c>
      <c r="O85" s="464" t="e">
        <f t="shared" si="9"/>
        <v>#DIV/0!</v>
      </c>
      <c r="P85" s="464" t="e">
        <f>SUM($O$15:O85)</f>
        <v>#DIV/0!</v>
      </c>
    </row>
    <row r="86" spans="2:16">
      <c r="B86" s="176">
        <f t="shared" si="10"/>
        <v>44358</v>
      </c>
      <c r="C86" s="209">
        <f t="shared" si="8"/>
        <v>6</v>
      </c>
      <c r="D86" s="208"/>
      <c r="E86" s="208"/>
      <c r="F86" s="208"/>
      <c r="G86" s="625" t="e">
        <f t="shared" si="11"/>
        <v>#DIV/0!</v>
      </c>
      <c r="H86" s="464" t="e">
        <f t="shared" si="12"/>
        <v>#DIV/0!</v>
      </c>
      <c r="I86" s="464" t="e">
        <f>SUM($H$15:H86)</f>
        <v>#DIV/0!</v>
      </c>
      <c r="J86" s="207"/>
      <c r="K86" s="626" t="e">
        <f t="shared" si="13"/>
        <v>#N/A</v>
      </c>
      <c r="L86" s="627" t="e">
        <f t="shared" si="14"/>
        <v>#N/A</v>
      </c>
      <c r="M86" s="628" t="e">
        <f t="shared" si="15"/>
        <v>#N/A</v>
      </c>
      <c r="N86" s="464" t="e">
        <f>SUM($M$15:M86)</f>
        <v>#N/A</v>
      </c>
      <c r="O86" s="464" t="e">
        <f t="shared" si="9"/>
        <v>#DIV/0!</v>
      </c>
      <c r="P86" s="464" t="e">
        <f>SUM($O$15:O86)</f>
        <v>#DIV/0!</v>
      </c>
    </row>
    <row r="87" spans="2:16">
      <c r="B87" s="176">
        <f t="shared" si="10"/>
        <v>44359</v>
      </c>
      <c r="C87" s="209">
        <f t="shared" si="8"/>
        <v>6</v>
      </c>
      <c r="D87" s="208"/>
      <c r="E87" s="208"/>
      <c r="F87" s="208"/>
      <c r="G87" s="625" t="e">
        <f t="shared" si="11"/>
        <v>#DIV/0!</v>
      </c>
      <c r="H87" s="464" t="e">
        <f t="shared" si="12"/>
        <v>#DIV/0!</v>
      </c>
      <c r="I87" s="464" t="e">
        <f>SUM($H$15:H87)</f>
        <v>#DIV/0!</v>
      </c>
      <c r="J87" s="207"/>
      <c r="K87" s="626" t="e">
        <f t="shared" si="13"/>
        <v>#N/A</v>
      </c>
      <c r="L87" s="627" t="e">
        <f t="shared" si="14"/>
        <v>#N/A</v>
      </c>
      <c r="M87" s="628" t="e">
        <f t="shared" si="15"/>
        <v>#N/A</v>
      </c>
      <c r="N87" s="464" t="e">
        <f>SUM($M$15:M87)</f>
        <v>#N/A</v>
      </c>
      <c r="O87" s="464" t="e">
        <f t="shared" si="9"/>
        <v>#DIV/0!</v>
      </c>
      <c r="P87" s="464" t="e">
        <f>SUM($O$15:O87)</f>
        <v>#DIV/0!</v>
      </c>
    </row>
    <row r="88" spans="2:16">
      <c r="B88" s="176">
        <f t="shared" si="10"/>
        <v>44360</v>
      </c>
      <c r="C88" s="209">
        <f t="shared" si="8"/>
        <v>6</v>
      </c>
      <c r="D88" s="208"/>
      <c r="E88" s="208"/>
      <c r="F88" s="208"/>
      <c r="G88" s="625" t="e">
        <f t="shared" si="11"/>
        <v>#DIV/0!</v>
      </c>
      <c r="H88" s="464" t="e">
        <f t="shared" si="12"/>
        <v>#DIV/0!</v>
      </c>
      <c r="I88" s="464" t="e">
        <f>SUM($H$15:H88)</f>
        <v>#DIV/0!</v>
      </c>
      <c r="J88" s="207"/>
      <c r="K88" s="626" t="e">
        <f t="shared" si="13"/>
        <v>#N/A</v>
      </c>
      <c r="L88" s="627" t="e">
        <f t="shared" si="14"/>
        <v>#N/A</v>
      </c>
      <c r="M88" s="628" t="e">
        <f t="shared" si="15"/>
        <v>#N/A</v>
      </c>
      <c r="N88" s="464" t="e">
        <f>SUM($M$15:M88)</f>
        <v>#N/A</v>
      </c>
      <c r="O88" s="464" t="e">
        <f t="shared" si="9"/>
        <v>#DIV/0!</v>
      </c>
      <c r="P88" s="464" t="e">
        <f>SUM($O$15:O88)</f>
        <v>#DIV/0!</v>
      </c>
    </row>
    <row r="89" spans="2:16">
      <c r="B89" s="176">
        <f t="shared" si="10"/>
        <v>44361</v>
      </c>
      <c r="C89" s="209">
        <f t="shared" si="8"/>
        <v>6</v>
      </c>
      <c r="D89" s="208"/>
      <c r="E89" s="208"/>
      <c r="F89" s="208"/>
      <c r="G89" s="625" t="e">
        <f t="shared" si="11"/>
        <v>#DIV/0!</v>
      </c>
      <c r="H89" s="464" t="e">
        <f t="shared" si="12"/>
        <v>#DIV/0!</v>
      </c>
      <c r="I89" s="464" t="e">
        <f>SUM($H$15:H89)</f>
        <v>#DIV/0!</v>
      </c>
      <c r="J89" s="207"/>
      <c r="K89" s="626" t="e">
        <f t="shared" si="13"/>
        <v>#N/A</v>
      </c>
      <c r="L89" s="627" t="e">
        <f t="shared" si="14"/>
        <v>#N/A</v>
      </c>
      <c r="M89" s="628" t="e">
        <f t="shared" si="15"/>
        <v>#N/A</v>
      </c>
      <c r="N89" s="464" t="e">
        <f>SUM($M$15:M89)</f>
        <v>#N/A</v>
      </c>
      <c r="O89" s="464" t="e">
        <f t="shared" si="9"/>
        <v>#DIV/0!</v>
      </c>
      <c r="P89" s="464" t="e">
        <f>SUM($O$15:O89)</f>
        <v>#DIV/0!</v>
      </c>
    </row>
    <row r="90" spans="2:16">
      <c r="B90" s="176">
        <f t="shared" si="10"/>
        <v>44362</v>
      </c>
      <c r="C90" s="209">
        <f t="shared" si="8"/>
        <v>6</v>
      </c>
      <c r="D90" s="208"/>
      <c r="E90" s="208"/>
      <c r="F90" s="208"/>
      <c r="G90" s="625" t="e">
        <f t="shared" si="11"/>
        <v>#DIV/0!</v>
      </c>
      <c r="H90" s="464" t="e">
        <f t="shared" si="12"/>
        <v>#DIV/0!</v>
      </c>
      <c r="I90" s="464" t="e">
        <f>SUM($H$15:H90)</f>
        <v>#DIV/0!</v>
      </c>
      <c r="J90" s="207"/>
      <c r="K90" s="626" t="e">
        <f t="shared" si="13"/>
        <v>#N/A</v>
      </c>
      <c r="L90" s="627" t="e">
        <f t="shared" si="14"/>
        <v>#N/A</v>
      </c>
      <c r="M90" s="628" t="e">
        <f t="shared" si="15"/>
        <v>#N/A</v>
      </c>
      <c r="N90" s="464" t="e">
        <f>SUM($M$15:M90)</f>
        <v>#N/A</v>
      </c>
      <c r="O90" s="464" t="e">
        <f t="shared" si="9"/>
        <v>#DIV/0!</v>
      </c>
      <c r="P90" s="464" t="e">
        <f>SUM($O$15:O90)</f>
        <v>#DIV/0!</v>
      </c>
    </row>
    <row r="91" spans="2:16">
      <c r="B91" s="176">
        <f t="shared" si="10"/>
        <v>44363</v>
      </c>
      <c r="C91" s="209">
        <f t="shared" si="8"/>
        <v>6</v>
      </c>
      <c r="D91" s="208"/>
      <c r="E91" s="208"/>
      <c r="F91" s="208"/>
      <c r="G91" s="625" t="e">
        <f t="shared" si="11"/>
        <v>#DIV/0!</v>
      </c>
      <c r="H91" s="464" t="e">
        <f t="shared" si="12"/>
        <v>#DIV/0!</v>
      </c>
      <c r="I91" s="464" t="e">
        <f>SUM($H$15:H91)</f>
        <v>#DIV/0!</v>
      </c>
      <c r="J91" s="207"/>
      <c r="K91" s="626" t="e">
        <f t="shared" si="13"/>
        <v>#N/A</v>
      </c>
      <c r="L91" s="627" t="e">
        <f t="shared" si="14"/>
        <v>#N/A</v>
      </c>
      <c r="M91" s="628" t="e">
        <f t="shared" si="15"/>
        <v>#N/A</v>
      </c>
      <c r="N91" s="464" t="e">
        <f>SUM($M$15:M91)</f>
        <v>#N/A</v>
      </c>
      <c r="O91" s="464" t="e">
        <f t="shared" si="9"/>
        <v>#DIV/0!</v>
      </c>
      <c r="P91" s="464" t="e">
        <f>SUM($O$15:O91)</f>
        <v>#DIV/0!</v>
      </c>
    </row>
    <row r="92" spans="2:16">
      <c r="B92" s="176">
        <f t="shared" si="10"/>
        <v>44364</v>
      </c>
      <c r="C92" s="209">
        <f t="shared" si="8"/>
        <v>6</v>
      </c>
      <c r="D92" s="208"/>
      <c r="E92" s="208"/>
      <c r="F92" s="208"/>
      <c r="G92" s="625" t="e">
        <f t="shared" si="11"/>
        <v>#DIV/0!</v>
      </c>
      <c r="H92" s="464" t="e">
        <f t="shared" si="12"/>
        <v>#DIV/0!</v>
      </c>
      <c r="I92" s="464" t="e">
        <f>SUM($H$15:H92)</f>
        <v>#DIV/0!</v>
      </c>
      <c r="J92" s="207"/>
      <c r="K92" s="626" t="e">
        <f t="shared" si="13"/>
        <v>#N/A</v>
      </c>
      <c r="L92" s="627" t="e">
        <f t="shared" si="14"/>
        <v>#N/A</v>
      </c>
      <c r="M92" s="628" t="e">
        <f t="shared" si="15"/>
        <v>#N/A</v>
      </c>
      <c r="N92" s="464" t="e">
        <f>SUM($M$15:M92)</f>
        <v>#N/A</v>
      </c>
      <c r="O92" s="464" t="e">
        <f t="shared" si="9"/>
        <v>#DIV/0!</v>
      </c>
      <c r="P92" s="464" t="e">
        <f>SUM($O$15:O92)</f>
        <v>#DIV/0!</v>
      </c>
    </row>
    <row r="93" spans="2:16">
      <c r="B93" s="176">
        <f t="shared" si="10"/>
        <v>44365</v>
      </c>
      <c r="C93" s="209">
        <f t="shared" si="8"/>
        <v>6</v>
      </c>
      <c r="D93" s="208"/>
      <c r="E93" s="208"/>
      <c r="F93" s="208"/>
      <c r="G93" s="625" t="e">
        <f t="shared" si="11"/>
        <v>#DIV/0!</v>
      </c>
      <c r="H93" s="464" t="e">
        <f t="shared" si="12"/>
        <v>#DIV/0!</v>
      </c>
      <c r="I93" s="464" t="e">
        <f>SUM($H$15:H93)</f>
        <v>#DIV/0!</v>
      </c>
      <c r="J93" s="207"/>
      <c r="K93" s="626" t="e">
        <f t="shared" si="13"/>
        <v>#N/A</v>
      </c>
      <c r="L93" s="627" t="e">
        <f t="shared" si="14"/>
        <v>#N/A</v>
      </c>
      <c r="M93" s="628" t="e">
        <f t="shared" si="15"/>
        <v>#N/A</v>
      </c>
      <c r="N93" s="464" t="e">
        <f>SUM($M$15:M93)</f>
        <v>#N/A</v>
      </c>
      <c r="O93" s="464" t="e">
        <f t="shared" si="9"/>
        <v>#DIV/0!</v>
      </c>
      <c r="P93" s="464" t="e">
        <f>SUM($O$15:O93)</f>
        <v>#DIV/0!</v>
      </c>
    </row>
    <row r="94" spans="2:16">
      <c r="B94" s="176">
        <f t="shared" si="10"/>
        <v>44366</v>
      </c>
      <c r="C94" s="209">
        <f t="shared" si="8"/>
        <v>6</v>
      </c>
      <c r="D94" s="208"/>
      <c r="E94" s="208"/>
      <c r="F94" s="208"/>
      <c r="G94" s="625" t="e">
        <f t="shared" si="11"/>
        <v>#DIV/0!</v>
      </c>
      <c r="H94" s="464" t="e">
        <f t="shared" si="12"/>
        <v>#DIV/0!</v>
      </c>
      <c r="I94" s="464" t="e">
        <f>SUM($H$15:H94)</f>
        <v>#DIV/0!</v>
      </c>
      <c r="J94" s="207"/>
      <c r="K94" s="626" t="e">
        <f t="shared" si="13"/>
        <v>#N/A</v>
      </c>
      <c r="L94" s="627" t="e">
        <f t="shared" si="14"/>
        <v>#N/A</v>
      </c>
      <c r="M94" s="628" t="e">
        <f t="shared" si="15"/>
        <v>#N/A</v>
      </c>
      <c r="N94" s="464" t="e">
        <f>SUM($M$15:M94)</f>
        <v>#N/A</v>
      </c>
      <c r="O94" s="464" t="e">
        <f t="shared" si="9"/>
        <v>#DIV/0!</v>
      </c>
      <c r="P94" s="464" t="e">
        <f>SUM($O$15:O94)</f>
        <v>#DIV/0!</v>
      </c>
    </row>
    <row r="95" spans="2:16">
      <c r="B95" s="176">
        <f t="shared" si="10"/>
        <v>44367</v>
      </c>
      <c r="C95" s="209">
        <f t="shared" si="8"/>
        <v>6</v>
      </c>
      <c r="D95" s="208"/>
      <c r="E95" s="208"/>
      <c r="F95" s="208"/>
      <c r="G95" s="625" t="e">
        <f t="shared" si="11"/>
        <v>#DIV/0!</v>
      </c>
      <c r="H95" s="464" t="e">
        <f t="shared" si="12"/>
        <v>#DIV/0!</v>
      </c>
      <c r="I95" s="464" t="e">
        <f>SUM($H$15:H95)</f>
        <v>#DIV/0!</v>
      </c>
      <c r="J95" s="207"/>
      <c r="K95" s="626" t="e">
        <f t="shared" si="13"/>
        <v>#N/A</v>
      </c>
      <c r="L95" s="627" t="e">
        <f t="shared" si="14"/>
        <v>#N/A</v>
      </c>
      <c r="M95" s="628" t="e">
        <f t="shared" si="15"/>
        <v>#N/A</v>
      </c>
      <c r="N95" s="464" t="e">
        <f>SUM($M$15:M95)</f>
        <v>#N/A</v>
      </c>
      <c r="O95" s="464" t="e">
        <f t="shared" si="9"/>
        <v>#DIV/0!</v>
      </c>
      <c r="P95" s="464" t="e">
        <f>SUM($O$15:O95)</f>
        <v>#DIV/0!</v>
      </c>
    </row>
    <row r="96" spans="2:16">
      <c r="B96" s="176">
        <f t="shared" si="10"/>
        <v>44368</v>
      </c>
      <c r="C96" s="209">
        <f t="shared" si="8"/>
        <v>6</v>
      </c>
      <c r="D96" s="208"/>
      <c r="E96" s="208"/>
      <c r="F96" s="208"/>
      <c r="G96" s="625" t="e">
        <f t="shared" si="11"/>
        <v>#DIV/0!</v>
      </c>
      <c r="H96" s="464" t="e">
        <f t="shared" si="12"/>
        <v>#DIV/0!</v>
      </c>
      <c r="I96" s="464" t="e">
        <f>SUM($H$15:H96)</f>
        <v>#DIV/0!</v>
      </c>
      <c r="J96" s="207"/>
      <c r="K96" s="626" t="e">
        <f t="shared" si="13"/>
        <v>#N/A</v>
      </c>
      <c r="L96" s="627" t="e">
        <f t="shared" si="14"/>
        <v>#N/A</v>
      </c>
      <c r="M96" s="628" t="e">
        <f t="shared" si="15"/>
        <v>#N/A</v>
      </c>
      <c r="N96" s="464" t="e">
        <f>SUM($M$15:M96)</f>
        <v>#N/A</v>
      </c>
      <c r="O96" s="464" t="e">
        <f t="shared" si="9"/>
        <v>#DIV/0!</v>
      </c>
      <c r="P96" s="464" t="e">
        <f>SUM($O$15:O96)</f>
        <v>#DIV/0!</v>
      </c>
    </row>
    <row r="97" spans="2:16">
      <c r="B97" s="176">
        <f t="shared" si="10"/>
        <v>44369</v>
      </c>
      <c r="C97" s="209">
        <f t="shared" si="8"/>
        <v>6</v>
      </c>
      <c r="D97" s="208"/>
      <c r="E97" s="208"/>
      <c r="F97" s="208"/>
      <c r="G97" s="625" t="e">
        <f t="shared" si="11"/>
        <v>#DIV/0!</v>
      </c>
      <c r="H97" s="464" t="e">
        <f t="shared" si="12"/>
        <v>#DIV/0!</v>
      </c>
      <c r="I97" s="464" t="e">
        <f>SUM($H$15:H97)</f>
        <v>#DIV/0!</v>
      </c>
      <c r="J97" s="207"/>
      <c r="K97" s="626" t="e">
        <f t="shared" si="13"/>
        <v>#N/A</v>
      </c>
      <c r="L97" s="627" t="e">
        <f t="shared" si="14"/>
        <v>#N/A</v>
      </c>
      <c r="M97" s="628" t="e">
        <f t="shared" si="15"/>
        <v>#N/A</v>
      </c>
      <c r="N97" s="464" t="e">
        <f>SUM($M$15:M97)</f>
        <v>#N/A</v>
      </c>
      <c r="O97" s="464" t="e">
        <f t="shared" si="9"/>
        <v>#DIV/0!</v>
      </c>
      <c r="P97" s="464" t="e">
        <f>SUM($O$15:O97)</f>
        <v>#DIV/0!</v>
      </c>
    </row>
    <row r="98" spans="2:16">
      <c r="B98" s="176">
        <f t="shared" si="10"/>
        <v>44370</v>
      </c>
      <c r="C98" s="209">
        <f t="shared" si="8"/>
        <v>6</v>
      </c>
      <c r="D98" s="208"/>
      <c r="E98" s="208"/>
      <c r="F98" s="208"/>
      <c r="G98" s="625" t="e">
        <f t="shared" si="11"/>
        <v>#DIV/0!</v>
      </c>
      <c r="H98" s="464" t="e">
        <f t="shared" si="12"/>
        <v>#DIV/0!</v>
      </c>
      <c r="I98" s="464" t="e">
        <f>SUM($H$15:H98)</f>
        <v>#DIV/0!</v>
      </c>
      <c r="J98" s="207"/>
      <c r="K98" s="626" t="e">
        <f t="shared" si="13"/>
        <v>#N/A</v>
      </c>
      <c r="L98" s="627" t="e">
        <f t="shared" si="14"/>
        <v>#N/A</v>
      </c>
      <c r="M98" s="628" t="e">
        <f t="shared" si="15"/>
        <v>#N/A</v>
      </c>
      <c r="N98" s="464" t="e">
        <f>SUM($M$15:M98)</f>
        <v>#N/A</v>
      </c>
      <c r="O98" s="464" t="e">
        <f t="shared" si="9"/>
        <v>#DIV/0!</v>
      </c>
      <c r="P98" s="464" t="e">
        <f>SUM($O$15:O98)</f>
        <v>#DIV/0!</v>
      </c>
    </row>
    <row r="99" spans="2:16">
      <c r="B99" s="176">
        <f t="shared" si="10"/>
        <v>44371</v>
      </c>
      <c r="C99" s="209">
        <f t="shared" si="8"/>
        <v>6</v>
      </c>
      <c r="D99" s="208"/>
      <c r="E99" s="208"/>
      <c r="F99" s="208"/>
      <c r="G99" s="625" t="e">
        <f t="shared" si="11"/>
        <v>#DIV/0!</v>
      </c>
      <c r="H99" s="464" t="e">
        <f t="shared" si="12"/>
        <v>#DIV/0!</v>
      </c>
      <c r="I99" s="464" t="e">
        <f>SUM($H$15:H99)</f>
        <v>#DIV/0!</v>
      </c>
      <c r="J99" s="207"/>
      <c r="K99" s="626" t="e">
        <f t="shared" si="13"/>
        <v>#N/A</v>
      </c>
      <c r="L99" s="627" t="e">
        <f t="shared" si="14"/>
        <v>#N/A</v>
      </c>
      <c r="M99" s="628" t="e">
        <f t="shared" si="15"/>
        <v>#N/A</v>
      </c>
      <c r="N99" s="464" t="e">
        <f>SUM($M$15:M99)</f>
        <v>#N/A</v>
      </c>
      <c r="O99" s="464" t="e">
        <f t="shared" si="9"/>
        <v>#DIV/0!</v>
      </c>
      <c r="P99" s="464" t="e">
        <f>SUM($O$15:O99)</f>
        <v>#DIV/0!</v>
      </c>
    </row>
    <row r="100" spans="2:16">
      <c r="B100" s="176">
        <f t="shared" si="10"/>
        <v>44372</v>
      </c>
      <c r="C100" s="209">
        <f t="shared" si="8"/>
        <v>6</v>
      </c>
      <c r="D100" s="208"/>
      <c r="E100" s="208"/>
      <c r="F100" s="208"/>
      <c r="G100" s="625" t="e">
        <f t="shared" si="11"/>
        <v>#DIV/0!</v>
      </c>
      <c r="H100" s="464" t="e">
        <f t="shared" si="12"/>
        <v>#DIV/0!</v>
      </c>
      <c r="I100" s="464" t="e">
        <f>SUM($H$15:H100)</f>
        <v>#DIV/0!</v>
      </c>
      <c r="J100" s="207"/>
      <c r="K100" s="626" t="e">
        <f t="shared" si="13"/>
        <v>#N/A</v>
      </c>
      <c r="L100" s="627" t="e">
        <f t="shared" si="14"/>
        <v>#N/A</v>
      </c>
      <c r="M100" s="628" t="e">
        <f t="shared" si="15"/>
        <v>#N/A</v>
      </c>
      <c r="N100" s="464" t="e">
        <f>SUM($M$15:M100)</f>
        <v>#N/A</v>
      </c>
      <c r="O100" s="464" t="e">
        <f t="shared" si="9"/>
        <v>#DIV/0!</v>
      </c>
      <c r="P100" s="464" t="e">
        <f>SUM($O$15:O100)</f>
        <v>#DIV/0!</v>
      </c>
    </row>
    <row r="101" spans="2:16">
      <c r="B101" s="176">
        <f t="shared" si="10"/>
        <v>44373</v>
      </c>
      <c r="C101" s="209">
        <f t="shared" si="8"/>
        <v>6</v>
      </c>
      <c r="D101" s="208"/>
      <c r="E101" s="208"/>
      <c r="F101" s="208"/>
      <c r="G101" s="625" t="e">
        <f t="shared" si="11"/>
        <v>#DIV/0!</v>
      </c>
      <c r="H101" s="464" t="e">
        <f t="shared" si="12"/>
        <v>#DIV/0!</v>
      </c>
      <c r="I101" s="464" t="e">
        <f>SUM($H$15:H101)</f>
        <v>#DIV/0!</v>
      </c>
      <c r="J101" s="207"/>
      <c r="K101" s="626" t="e">
        <f t="shared" si="13"/>
        <v>#N/A</v>
      </c>
      <c r="L101" s="627" t="e">
        <f t="shared" si="14"/>
        <v>#N/A</v>
      </c>
      <c r="M101" s="628" t="e">
        <f t="shared" si="15"/>
        <v>#N/A</v>
      </c>
      <c r="N101" s="464" t="e">
        <f>SUM($M$15:M101)</f>
        <v>#N/A</v>
      </c>
      <c r="O101" s="464" t="e">
        <f t="shared" si="9"/>
        <v>#DIV/0!</v>
      </c>
      <c r="P101" s="464" t="e">
        <f>SUM($O$15:O101)</f>
        <v>#DIV/0!</v>
      </c>
    </row>
    <row r="102" spans="2:16">
      <c r="B102" s="176">
        <f t="shared" si="10"/>
        <v>44374</v>
      </c>
      <c r="C102" s="209">
        <f t="shared" si="8"/>
        <v>6</v>
      </c>
      <c r="D102" s="208"/>
      <c r="E102" s="208"/>
      <c r="F102" s="208"/>
      <c r="G102" s="625" t="e">
        <f t="shared" si="11"/>
        <v>#DIV/0!</v>
      </c>
      <c r="H102" s="464" t="e">
        <f t="shared" si="12"/>
        <v>#DIV/0!</v>
      </c>
      <c r="I102" s="464" t="e">
        <f>SUM($H$15:H102)</f>
        <v>#DIV/0!</v>
      </c>
      <c r="J102" s="207"/>
      <c r="K102" s="626" t="e">
        <f t="shared" si="13"/>
        <v>#N/A</v>
      </c>
      <c r="L102" s="627" t="e">
        <f t="shared" si="14"/>
        <v>#N/A</v>
      </c>
      <c r="M102" s="628" t="e">
        <f t="shared" si="15"/>
        <v>#N/A</v>
      </c>
      <c r="N102" s="464" t="e">
        <f>SUM($M$15:M102)</f>
        <v>#N/A</v>
      </c>
      <c r="O102" s="464" t="e">
        <f t="shared" si="9"/>
        <v>#DIV/0!</v>
      </c>
      <c r="P102" s="464" t="e">
        <f>SUM($O$15:O102)</f>
        <v>#DIV/0!</v>
      </c>
    </row>
    <row r="103" spans="2:16">
      <c r="B103" s="176">
        <f t="shared" si="10"/>
        <v>44375</v>
      </c>
      <c r="C103" s="209">
        <f t="shared" si="8"/>
        <v>6</v>
      </c>
      <c r="D103" s="208"/>
      <c r="E103" s="208"/>
      <c r="F103" s="208"/>
      <c r="G103" s="625" t="e">
        <f t="shared" si="11"/>
        <v>#DIV/0!</v>
      </c>
      <c r="H103" s="464" t="e">
        <f t="shared" si="12"/>
        <v>#DIV/0!</v>
      </c>
      <c r="I103" s="464" t="e">
        <f>SUM($H$15:H103)</f>
        <v>#DIV/0!</v>
      </c>
      <c r="J103" s="207"/>
      <c r="K103" s="626" t="e">
        <f t="shared" si="13"/>
        <v>#N/A</v>
      </c>
      <c r="L103" s="627" t="e">
        <f t="shared" si="14"/>
        <v>#N/A</v>
      </c>
      <c r="M103" s="628" t="e">
        <f t="shared" si="15"/>
        <v>#N/A</v>
      </c>
      <c r="N103" s="464" t="e">
        <f>SUM($M$15:M103)</f>
        <v>#N/A</v>
      </c>
      <c r="O103" s="464" t="e">
        <f t="shared" si="9"/>
        <v>#DIV/0!</v>
      </c>
      <c r="P103" s="464" t="e">
        <f>SUM($O$15:O103)</f>
        <v>#DIV/0!</v>
      </c>
    </row>
    <row r="104" spans="2:16">
      <c r="B104" s="176">
        <f t="shared" si="10"/>
        <v>44376</v>
      </c>
      <c r="C104" s="209">
        <f t="shared" si="8"/>
        <v>6</v>
      </c>
      <c r="D104" s="208"/>
      <c r="E104" s="208"/>
      <c r="F104" s="208"/>
      <c r="G104" s="625" t="e">
        <f t="shared" si="11"/>
        <v>#DIV/0!</v>
      </c>
      <c r="H104" s="464" t="e">
        <f t="shared" si="12"/>
        <v>#DIV/0!</v>
      </c>
      <c r="I104" s="464" t="e">
        <f>SUM($H$15:H104)</f>
        <v>#DIV/0!</v>
      </c>
      <c r="J104" s="207"/>
      <c r="K104" s="626" t="e">
        <f t="shared" si="13"/>
        <v>#N/A</v>
      </c>
      <c r="L104" s="627" t="e">
        <f t="shared" si="14"/>
        <v>#N/A</v>
      </c>
      <c r="M104" s="628" t="e">
        <f t="shared" si="15"/>
        <v>#N/A</v>
      </c>
      <c r="N104" s="464" t="e">
        <f>SUM($M$15:M104)</f>
        <v>#N/A</v>
      </c>
      <c r="O104" s="464" t="e">
        <f t="shared" si="9"/>
        <v>#DIV/0!</v>
      </c>
      <c r="P104" s="464" t="e">
        <f>SUM($O$15:O104)</f>
        <v>#DIV/0!</v>
      </c>
    </row>
    <row r="105" spans="2:16">
      <c r="B105" s="176">
        <f t="shared" si="10"/>
        <v>44377</v>
      </c>
      <c r="C105" s="209">
        <f t="shared" si="8"/>
        <v>6</v>
      </c>
      <c r="D105" s="208"/>
      <c r="E105" s="208"/>
      <c r="F105" s="208"/>
      <c r="G105" s="625" t="e">
        <f t="shared" si="11"/>
        <v>#DIV/0!</v>
      </c>
      <c r="H105" s="464" t="e">
        <f t="shared" si="12"/>
        <v>#DIV/0!</v>
      </c>
      <c r="I105" s="464" t="e">
        <f>SUM($H$15:H105)</f>
        <v>#DIV/0!</v>
      </c>
      <c r="J105" s="207"/>
      <c r="K105" s="626" t="e">
        <f t="shared" si="13"/>
        <v>#N/A</v>
      </c>
      <c r="L105" s="627" t="e">
        <f t="shared" si="14"/>
        <v>#N/A</v>
      </c>
      <c r="M105" s="628" t="e">
        <f t="shared" si="15"/>
        <v>#N/A</v>
      </c>
      <c r="N105" s="464" t="e">
        <f>SUM($M$15:M105)</f>
        <v>#N/A</v>
      </c>
      <c r="O105" s="464" t="e">
        <f t="shared" si="9"/>
        <v>#DIV/0!</v>
      </c>
      <c r="P105" s="464" t="e">
        <f>SUM($O$15:O105)</f>
        <v>#DIV/0!</v>
      </c>
    </row>
    <row r="106" spans="2:16">
      <c r="B106" s="176">
        <f t="shared" si="10"/>
        <v>44378</v>
      </c>
      <c r="C106" s="209">
        <f t="shared" si="8"/>
        <v>7</v>
      </c>
      <c r="D106" s="208"/>
      <c r="E106" s="208"/>
      <c r="F106" s="208"/>
      <c r="G106" s="625" t="e">
        <f t="shared" si="11"/>
        <v>#DIV/0!</v>
      </c>
      <c r="H106" s="464" t="e">
        <f t="shared" si="12"/>
        <v>#DIV/0!</v>
      </c>
      <c r="I106" s="464" t="e">
        <f>SUM($H$15:H106)</f>
        <v>#DIV/0!</v>
      </c>
      <c r="J106" s="207"/>
      <c r="K106" s="626" t="e">
        <f t="shared" si="13"/>
        <v>#N/A</v>
      </c>
      <c r="L106" s="627" t="e">
        <f t="shared" si="14"/>
        <v>#N/A</v>
      </c>
      <c r="M106" s="628" t="e">
        <f t="shared" si="15"/>
        <v>#N/A</v>
      </c>
      <c r="N106" s="464" t="e">
        <f>SUM($M$15:M106)</f>
        <v>#N/A</v>
      </c>
      <c r="O106" s="464" t="e">
        <f t="shared" si="9"/>
        <v>#DIV/0!</v>
      </c>
      <c r="P106" s="464" t="e">
        <f>SUM($O$15:O106)</f>
        <v>#DIV/0!</v>
      </c>
    </row>
    <row r="107" spans="2:16">
      <c r="B107" s="176">
        <f t="shared" si="10"/>
        <v>44379</v>
      </c>
      <c r="C107" s="209">
        <f t="shared" si="8"/>
        <v>7</v>
      </c>
      <c r="D107" s="208"/>
      <c r="E107" s="208"/>
      <c r="F107" s="208"/>
      <c r="G107" s="625" t="e">
        <f t="shared" si="11"/>
        <v>#DIV/0!</v>
      </c>
      <c r="H107" s="464" t="e">
        <f t="shared" si="12"/>
        <v>#DIV/0!</v>
      </c>
      <c r="I107" s="464" t="e">
        <f>SUM($H$15:H107)</f>
        <v>#DIV/0!</v>
      </c>
      <c r="J107" s="207"/>
      <c r="K107" s="626" t="e">
        <f t="shared" si="13"/>
        <v>#N/A</v>
      </c>
      <c r="L107" s="627" t="e">
        <f t="shared" si="14"/>
        <v>#N/A</v>
      </c>
      <c r="M107" s="628" t="e">
        <f t="shared" si="15"/>
        <v>#N/A</v>
      </c>
      <c r="N107" s="464" t="e">
        <f>SUM($M$15:M107)</f>
        <v>#N/A</v>
      </c>
      <c r="O107" s="464" t="e">
        <f t="shared" si="9"/>
        <v>#DIV/0!</v>
      </c>
      <c r="P107" s="464" t="e">
        <f>SUM($O$15:O107)</f>
        <v>#DIV/0!</v>
      </c>
    </row>
    <row r="108" spans="2:16">
      <c r="B108" s="176">
        <f t="shared" si="10"/>
        <v>44380</v>
      </c>
      <c r="C108" s="209">
        <f t="shared" si="8"/>
        <v>7</v>
      </c>
      <c r="D108" s="208"/>
      <c r="E108" s="208"/>
      <c r="F108" s="208"/>
      <c r="G108" s="625" t="e">
        <f t="shared" si="11"/>
        <v>#DIV/0!</v>
      </c>
      <c r="H108" s="464" t="e">
        <f t="shared" si="12"/>
        <v>#DIV/0!</v>
      </c>
      <c r="I108" s="464" t="e">
        <f>SUM($H$15:H108)</f>
        <v>#DIV/0!</v>
      </c>
      <c r="J108" s="207"/>
      <c r="K108" s="626" t="e">
        <f t="shared" si="13"/>
        <v>#N/A</v>
      </c>
      <c r="L108" s="627" t="e">
        <f t="shared" si="14"/>
        <v>#N/A</v>
      </c>
      <c r="M108" s="628" t="e">
        <f t="shared" si="15"/>
        <v>#N/A</v>
      </c>
      <c r="N108" s="464" t="e">
        <f>SUM($M$15:M108)</f>
        <v>#N/A</v>
      </c>
      <c r="O108" s="464" t="e">
        <f t="shared" si="9"/>
        <v>#DIV/0!</v>
      </c>
      <c r="P108" s="464" t="e">
        <f>SUM($O$15:O108)</f>
        <v>#DIV/0!</v>
      </c>
    </row>
    <row r="109" spans="2:16">
      <c r="B109" s="176">
        <f t="shared" si="10"/>
        <v>44381</v>
      </c>
      <c r="C109" s="209">
        <f t="shared" si="8"/>
        <v>7</v>
      </c>
      <c r="D109" s="208"/>
      <c r="E109" s="208"/>
      <c r="F109" s="208"/>
      <c r="G109" s="625" t="e">
        <f t="shared" si="11"/>
        <v>#DIV/0!</v>
      </c>
      <c r="H109" s="464" t="e">
        <f t="shared" si="12"/>
        <v>#DIV/0!</v>
      </c>
      <c r="I109" s="464" t="e">
        <f>SUM($H$15:H109)</f>
        <v>#DIV/0!</v>
      </c>
      <c r="J109" s="207"/>
      <c r="K109" s="626" t="e">
        <f t="shared" si="13"/>
        <v>#N/A</v>
      </c>
      <c r="L109" s="627" t="e">
        <f t="shared" si="14"/>
        <v>#N/A</v>
      </c>
      <c r="M109" s="628" t="e">
        <f t="shared" si="15"/>
        <v>#N/A</v>
      </c>
      <c r="N109" s="464" t="e">
        <f>SUM($M$15:M109)</f>
        <v>#N/A</v>
      </c>
      <c r="O109" s="464" t="e">
        <f t="shared" si="9"/>
        <v>#DIV/0!</v>
      </c>
      <c r="P109" s="464" t="e">
        <f>SUM($O$15:O109)</f>
        <v>#DIV/0!</v>
      </c>
    </row>
    <row r="110" spans="2:16">
      <c r="B110" s="176">
        <f t="shared" si="10"/>
        <v>44382</v>
      </c>
      <c r="C110" s="209">
        <f t="shared" si="8"/>
        <v>7</v>
      </c>
      <c r="D110" s="208"/>
      <c r="E110" s="208"/>
      <c r="F110" s="208"/>
      <c r="G110" s="625" t="e">
        <f t="shared" si="11"/>
        <v>#DIV/0!</v>
      </c>
      <c r="H110" s="464" t="e">
        <f t="shared" si="12"/>
        <v>#DIV/0!</v>
      </c>
      <c r="I110" s="464" t="e">
        <f>SUM($H$15:H110)</f>
        <v>#DIV/0!</v>
      </c>
      <c r="J110" s="207"/>
      <c r="K110" s="626" t="e">
        <f t="shared" si="13"/>
        <v>#N/A</v>
      </c>
      <c r="L110" s="627" t="e">
        <f t="shared" si="14"/>
        <v>#N/A</v>
      </c>
      <c r="M110" s="628" t="e">
        <f t="shared" si="15"/>
        <v>#N/A</v>
      </c>
      <c r="N110" s="464" t="e">
        <f>SUM($M$15:M110)</f>
        <v>#N/A</v>
      </c>
      <c r="O110" s="464" t="e">
        <f t="shared" si="9"/>
        <v>#DIV/0!</v>
      </c>
      <c r="P110" s="464" t="e">
        <f>SUM($O$15:O110)</f>
        <v>#DIV/0!</v>
      </c>
    </row>
    <row r="111" spans="2:16">
      <c r="B111" s="176">
        <f t="shared" si="10"/>
        <v>44383</v>
      </c>
      <c r="C111" s="209">
        <f t="shared" si="8"/>
        <v>7</v>
      </c>
      <c r="D111" s="208"/>
      <c r="E111" s="208"/>
      <c r="F111" s="208"/>
      <c r="G111" s="625" t="e">
        <f t="shared" si="11"/>
        <v>#DIV/0!</v>
      </c>
      <c r="H111" s="464" t="e">
        <f t="shared" si="12"/>
        <v>#DIV/0!</v>
      </c>
      <c r="I111" s="464" t="e">
        <f>SUM($H$15:H111)</f>
        <v>#DIV/0!</v>
      </c>
      <c r="J111" s="207"/>
      <c r="K111" s="626" t="e">
        <f t="shared" si="13"/>
        <v>#N/A</v>
      </c>
      <c r="L111" s="627" t="e">
        <f t="shared" si="14"/>
        <v>#N/A</v>
      </c>
      <c r="M111" s="628" t="e">
        <f t="shared" si="15"/>
        <v>#N/A</v>
      </c>
      <c r="N111" s="464" t="e">
        <f>SUM($M$15:M111)</f>
        <v>#N/A</v>
      </c>
      <c r="O111" s="464" t="e">
        <f t="shared" si="9"/>
        <v>#DIV/0!</v>
      </c>
      <c r="P111" s="464" t="e">
        <f>SUM($O$15:O111)</f>
        <v>#DIV/0!</v>
      </c>
    </row>
    <row r="112" spans="2:16">
      <c r="B112" s="176">
        <f t="shared" si="10"/>
        <v>44384</v>
      </c>
      <c r="C112" s="209">
        <f t="shared" si="8"/>
        <v>7</v>
      </c>
      <c r="D112" s="208"/>
      <c r="E112" s="208"/>
      <c r="F112" s="208"/>
      <c r="G112" s="625" t="e">
        <f t="shared" si="11"/>
        <v>#DIV/0!</v>
      </c>
      <c r="H112" s="464" t="e">
        <f t="shared" si="12"/>
        <v>#DIV/0!</v>
      </c>
      <c r="I112" s="464" t="e">
        <f>SUM($H$15:H112)</f>
        <v>#DIV/0!</v>
      </c>
      <c r="J112" s="207"/>
      <c r="K112" s="626" t="e">
        <f t="shared" si="13"/>
        <v>#N/A</v>
      </c>
      <c r="L112" s="627" t="e">
        <f t="shared" si="14"/>
        <v>#N/A</v>
      </c>
      <c r="M112" s="628" t="e">
        <f t="shared" si="15"/>
        <v>#N/A</v>
      </c>
      <c r="N112" s="464" t="e">
        <f>SUM($M$15:M112)</f>
        <v>#N/A</v>
      </c>
      <c r="O112" s="464" t="e">
        <f t="shared" si="9"/>
        <v>#DIV/0!</v>
      </c>
      <c r="P112" s="464" t="e">
        <f>SUM($O$15:O112)</f>
        <v>#DIV/0!</v>
      </c>
    </row>
    <row r="113" spans="2:16">
      <c r="B113" s="176">
        <f t="shared" si="10"/>
        <v>44385</v>
      </c>
      <c r="C113" s="209">
        <f t="shared" si="8"/>
        <v>7</v>
      </c>
      <c r="D113" s="208"/>
      <c r="E113" s="208"/>
      <c r="F113" s="208"/>
      <c r="G113" s="625" t="e">
        <f t="shared" si="11"/>
        <v>#DIV/0!</v>
      </c>
      <c r="H113" s="464" t="e">
        <f t="shared" si="12"/>
        <v>#DIV/0!</v>
      </c>
      <c r="I113" s="464" t="e">
        <f>SUM($H$15:H113)</f>
        <v>#DIV/0!</v>
      </c>
      <c r="J113" s="207"/>
      <c r="K113" s="626" t="e">
        <f t="shared" si="13"/>
        <v>#N/A</v>
      </c>
      <c r="L113" s="627" t="e">
        <f t="shared" si="14"/>
        <v>#N/A</v>
      </c>
      <c r="M113" s="628" t="e">
        <f t="shared" si="15"/>
        <v>#N/A</v>
      </c>
      <c r="N113" s="464" t="e">
        <f>SUM($M$15:M113)</f>
        <v>#N/A</v>
      </c>
      <c r="O113" s="464" t="e">
        <f t="shared" si="9"/>
        <v>#DIV/0!</v>
      </c>
      <c r="P113" s="464" t="e">
        <f>SUM($O$15:O113)</f>
        <v>#DIV/0!</v>
      </c>
    </row>
    <row r="114" spans="2:16">
      <c r="B114" s="176">
        <f t="shared" si="10"/>
        <v>44386</v>
      </c>
      <c r="C114" s="209">
        <f t="shared" si="8"/>
        <v>7</v>
      </c>
      <c r="D114" s="208"/>
      <c r="E114" s="208"/>
      <c r="F114" s="208"/>
      <c r="G114" s="625" t="e">
        <f t="shared" si="11"/>
        <v>#DIV/0!</v>
      </c>
      <c r="H114" s="464" t="e">
        <f t="shared" si="12"/>
        <v>#DIV/0!</v>
      </c>
      <c r="I114" s="464" t="e">
        <f>SUM($H$15:H114)</f>
        <v>#DIV/0!</v>
      </c>
      <c r="J114" s="207"/>
      <c r="K114" s="626" t="e">
        <f t="shared" si="13"/>
        <v>#N/A</v>
      </c>
      <c r="L114" s="627" t="e">
        <f t="shared" si="14"/>
        <v>#N/A</v>
      </c>
      <c r="M114" s="628" t="e">
        <f t="shared" si="15"/>
        <v>#N/A</v>
      </c>
      <c r="N114" s="464" t="e">
        <f>SUM($M$15:M114)</f>
        <v>#N/A</v>
      </c>
      <c r="O114" s="464" t="e">
        <f t="shared" si="9"/>
        <v>#DIV/0!</v>
      </c>
      <c r="P114" s="464" t="e">
        <f>SUM($O$15:O114)</f>
        <v>#DIV/0!</v>
      </c>
    </row>
    <row r="115" spans="2:16">
      <c r="B115" s="176">
        <f t="shared" si="10"/>
        <v>44387</v>
      </c>
      <c r="C115" s="209">
        <f t="shared" si="8"/>
        <v>7</v>
      </c>
      <c r="D115" s="208"/>
      <c r="E115" s="208"/>
      <c r="F115" s="208"/>
      <c r="G115" s="625" t="e">
        <f t="shared" si="11"/>
        <v>#DIV/0!</v>
      </c>
      <c r="H115" s="464" t="e">
        <f t="shared" si="12"/>
        <v>#DIV/0!</v>
      </c>
      <c r="I115" s="464" t="e">
        <f>SUM($H$15:H115)</f>
        <v>#DIV/0!</v>
      </c>
      <c r="J115" s="207"/>
      <c r="K115" s="626" t="e">
        <f t="shared" si="13"/>
        <v>#N/A</v>
      </c>
      <c r="L115" s="627" t="e">
        <f t="shared" si="14"/>
        <v>#N/A</v>
      </c>
      <c r="M115" s="628" t="e">
        <f t="shared" si="15"/>
        <v>#N/A</v>
      </c>
      <c r="N115" s="464" t="e">
        <f>SUM($M$15:M115)</f>
        <v>#N/A</v>
      </c>
      <c r="O115" s="464" t="e">
        <f t="shared" si="9"/>
        <v>#DIV/0!</v>
      </c>
      <c r="P115" s="464" t="e">
        <f>SUM($O$15:O115)</f>
        <v>#DIV/0!</v>
      </c>
    </row>
    <row r="116" spans="2:16">
      <c r="B116" s="176">
        <f t="shared" si="10"/>
        <v>44388</v>
      </c>
      <c r="C116" s="209">
        <f t="shared" si="8"/>
        <v>7</v>
      </c>
      <c r="D116" s="208"/>
      <c r="E116" s="208"/>
      <c r="F116" s="208"/>
      <c r="G116" s="625" t="e">
        <f t="shared" si="11"/>
        <v>#DIV/0!</v>
      </c>
      <c r="H116" s="464" t="e">
        <f t="shared" si="12"/>
        <v>#DIV/0!</v>
      </c>
      <c r="I116" s="464" t="e">
        <f>SUM($H$15:H116)</f>
        <v>#DIV/0!</v>
      </c>
      <c r="J116" s="207"/>
      <c r="K116" s="626" t="e">
        <f t="shared" si="13"/>
        <v>#N/A</v>
      </c>
      <c r="L116" s="627" t="e">
        <f t="shared" si="14"/>
        <v>#N/A</v>
      </c>
      <c r="M116" s="628" t="e">
        <f t="shared" si="15"/>
        <v>#N/A</v>
      </c>
      <c r="N116" s="464" t="e">
        <f>SUM($M$15:M116)</f>
        <v>#N/A</v>
      </c>
      <c r="O116" s="464" t="e">
        <f t="shared" si="9"/>
        <v>#DIV/0!</v>
      </c>
      <c r="P116" s="464" t="e">
        <f>SUM($O$15:O116)</f>
        <v>#DIV/0!</v>
      </c>
    </row>
    <row r="117" spans="2:16">
      <c r="B117" s="176">
        <f t="shared" si="10"/>
        <v>44389</v>
      </c>
      <c r="C117" s="209">
        <f t="shared" si="8"/>
        <v>7</v>
      </c>
      <c r="D117" s="208"/>
      <c r="E117" s="208"/>
      <c r="F117" s="208"/>
      <c r="G117" s="625" t="e">
        <f t="shared" si="11"/>
        <v>#DIV/0!</v>
      </c>
      <c r="H117" s="464" t="e">
        <f t="shared" si="12"/>
        <v>#DIV/0!</v>
      </c>
      <c r="I117" s="464" t="e">
        <f>SUM($H$15:H117)</f>
        <v>#DIV/0!</v>
      </c>
      <c r="J117" s="207"/>
      <c r="K117" s="626" t="e">
        <f t="shared" si="13"/>
        <v>#N/A</v>
      </c>
      <c r="L117" s="627" t="e">
        <f t="shared" si="14"/>
        <v>#N/A</v>
      </c>
      <c r="M117" s="628" t="e">
        <f t="shared" si="15"/>
        <v>#N/A</v>
      </c>
      <c r="N117" s="464" t="e">
        <f>SUM($M$15:M117)</f>
        <v>#N/A</v>
      </c>
      <c r="O117" s="464" t="e">
        <f t="shared" si="9"/>
        <v>#DIV/0!</v>
      </c>
      <c r="P117" s="464" t="e">
        <f>SUM($O$15:O117)</f>
        <v>#DIV/0!</v>
      </c>
    </row>
    <row r="118" spans="2:16">
      <c r="B118" s="176">
        <f t="shared" si="10"/>
        <v>44390</v>
      </c>
      <c r="C118" s="209">
        <f t="shared" si="8"/>
        <v>7</v>
      </c>
      <c r="D118" s="208"/>
      <c r="E118" s="208"/>
      <c r="F118" s="208"/>
      <c r="G118" s="625" t="e">
        <f t="shared" si="11"/>
        <v>#DIV/0!</v>
      </c>
      <c r="H118" s="464" t="e">
        <f t="shared" si="12"/>
        <v>#DIV/0!</v>
      </c>
      <c r="I118" s="464" t="e">
        <f>SUM($H$15:H118)</f>
        <v>#DIV/0!</v>
      </c>
      <c r="J118" s="207"/>
      <c r="K118" s="626" t="e">
        <f t="shared" si="13"/>
        <v>#N/A</v>
      </c>
      <c r="L118" s="627" t="e">
        <f t="shared" si="14"/>
        <v>#N/A</v>
      </c>
      <c r="M118" s="628" t="e">
        <f t="shared" si="15"/>
        <v>#N/A</v>
      </c>
      <c r="N118" s="464" t="e">
        <f>SUM($M$15:M118)</f>
        <v>#N/A</v>
      </c>
      <c r="O118" s="464" t="e">
        <f t="shared" si="9"/>
        <v>#DIV/0!</v>
      </c>
      <c r="P118" s="464" t="e">
        <f>SUM($O$15:O118)</f>
        <v>#DIV/0!</v>
      </c>
    </row>
    <row r="119" spans="2:16">
      <c r="B119" s="176">
        <f t="shared" si="10"/>
        <v>44391</v>
      </c>
      <c r="C119" s="209">
        <f t="shared" si="8"/>
        <v>7</v>
      </c>
      <c r="D119" s="208"/>
      <c r="E119" s="208"/>
      <c r="F119" s="208"/>
      <c r="G119" s="625" t="e">
        <f t="shared" si="11"/>
        <v>#DIV/0!</v>
      </c>
      <c r="H119" s="464" t="e">
        <f t="shared" si="12"/>
        <v>#DIV/0!</v>
      </c>
      <c r="I119" s="464" t="e">
        <f>SUM($H$15:H119)</f>
        <v>#DIV/0!</v>
      </c>
      <c r="J119" s="207"/>
      <c r="K119" s="626" t="e">
        <f t="shared" si="13"/>
        <v>#N/A</v>
      </c>
      <c r="L119" s="627" t="e">
        <f t="shared" si="14"/>
        <v>#N/A</v>
      </c>
      <c r="M119" s="628" t="e">
        <f t="shared" si="15"/>
        <v>#N/A</v>
      </c>
      <c r="N119" s="464" t="e">
        <f>SUM($M$15:M119)</f>
        <v>#N/A</v>
      </c>
      <c r="O119" s="464" t="e">
        <f t="shared" si="9"/>
        <v>#DIV/0!</v>
      </c>
      <c r="P119" s="464" t="e">
        <f>SUM($O$15:O119)</f>
        <v>#DIV/0!</v>
      </c>
    </row>
    <row r="120" spans="2:16">
      <c r="B120" s="176">
        <f t="shared" si="10"/>
        <v>44392</v>
      </c>
      <c r="C120" s="209">
        <f t="shared" si="8"/>
        <v>7</v>
      </c>
      <c r="D120" s="208"/>
      <c r="E120" s="208"/>
      <c r="F120" s="208"/>
      <c r="G120" s="625" t="e">
        <f t="shared" si="11"/>
        <v>#DIV/0!</v>
      </c>
      <c r="H120" s="464" t="e">
        <f t="shared" si="12"/>
        <v>#DIV/0!</v>
      </c>
      <c r="I120" s="464" t="e">
        <f>SUM($H$15:H120)</f>
        <v>#DIV/0!</v>
      </c>
      <c r="J120" s="207"/>
      <c r="K120" s="626" t="e">
        <f t="shared" si="13"/>
        <v>#N/A</v>
      </c>
      <c r="L120" s="627" t="e">
        <f t="shared" si="14"/>
        <v>#N/A</v>
      </c>
      <c r="M120" s="628" t="e">
        <f t="shared" si="15"/>
        <v>#N/A</v>
      </c>
      <c r="N120" s="464" t="e">
        <f>SUM($M$15:M120)</f>
        <v>#N/A</v>
      </c>
      <c r="O120" s="464" t="e">
        <f t="shared" si="9"/>
        <v>#DIV/0!</v>
      </c>
      <c r="P120" s="464" t="e">
        <f>SUM($O$15:O120)</f>
        <v>#DIV/0!</v>
      </c>
    </row>
    <row r="121" spans="2:16">
      <c r="B121" s="176">
        <f t="shared" si="10"/>
        <v>44393</v>
      </c>
      <c r="C121" s="209">
        <f t="shared" si="8"/>
        <v>7</v>
      </c>
      <c r="D121" s="208"/>
      <c r="E121" s="208"/>
      <c r="F121" s="208"/>
      <c r="G121" s="625" t="e">
        <f t="shared" si="11"/>
        <v>#DIV/0!</v>
      </c>
      <c r="H121" s="464" t="e">
        <f t="shared" si="12"/>
        <v>#DIV/0!</v>
      </c>
      <c r="I121" s="464" t="e">
        <f>SUM($H$15:H121)</f>
        <v>#DIV/0!</v>
      </c>
      <c r="J121" s="207"/>
      <c r="K121" s="626" t="e">
        <f t="shared" si="13"/>
        <v>#N/A</v>
      </c>
      <c r="L121" s="627" t="e">
        <f t="shared" si="14"/>
        <v>#N/A</v>
      </c>
      <c r="M121" s="628" t="e">
        <f t="shared" si="15"/>
        <v>#N/A</v>
      </c>
      <c r="N121" s="464" t="e">
        <f>SUM($M$15:M121)</f>
        <v>#N/A</v>
      </c>
      <c r="O121" s="464" t="e">
        <f t="shared" si="9"/>
        <v>#DIV/0!</v>
      </c>
      <c r="P121" s="464" t="e">
        <f>SUM($O$15:O121)</f>
        <v>#DIV/0!</v>
      </c>
    </row>
    <row r="122" spans="2:16">
      <c r="B122" s="176">
        <f t="shared" si="10"/>
        <v>44394</v>
      </c>
      <c r="C122" s="209">
        <f t="shared" si="8"/>
        <v>7</v>
      </c>
      <c r="D122" s="208"/>
      <c r="E122" s="208"/>
      <c r="F122" s="208"/>
      <c r="G122" s="625" t="e">
        <f t="shared" si="11"/>
        <v>#DIV/0!</v>
      </c>
      <c r="H122" s="464" t="e">
        <f t="shared" si="12"/>
        <v>#DIV/0!</v>
      </c>
      <c r="I122" s="464" t="e">
        <f>SUM($H$15:H122)</f>
        <v>#DIV/0!</v>
      </c>
      <c r="J122" s="207"/>
      <c r="K122" s="626" t="e">
        <f t="shared" si="13"/>
        <v>#N/A</v>
      </c>
      <c r="L122" s="627" t="e">
        <f t="shared" si="14"/>
        <v>#N/A</v>
      </c>
      <c r="M122" s="628" t="e">
        <f t="shared" si="15"/>
        <v>#N/A</v>
      </c>
      <c r="N122" s="464" t="e">
        <f>SUM($M$15:M122)</f>
        <v>#N/A</v>
      </c>
      <c r="O122" s="464" t="e">
        <f t="shared" si="9"/>
        <v>#DIV/0!</v>
      </c>
      <c r="P122" s="464" t="e">
        <f>SUM($O$15:O122)</f>
        <v>#DIV/0!</v>
      </c>
    </row>
    <row r="123" spans="2:16">
      <c r="B123" s="176">
        <f t="shared" si="10"/>
        <v>44395</v>
      </c>
      <c r="C123" s="209">
        <f t="shared" si="8"/>
        <v>7</v>
      </c>
      <c r="D123" s="208"/>
      <c r="E123" s="208"/>
      <c r="F123" s="208"/>
      <c r="G123" s="625" t="e">
        <f t="shared" si="11"/>
        <v>#DIV/0!</v>
      </c>
      <c r="H123" s="464" t="e">
        <f t="shared" si="12"/>
        <v>#DIV/0!</v>
      </c>
      <c r="I123" s="464" t="e">
        <f>SUM($H$15:H123)</f>
        <v>#DIV/0!</v>
      </c>
      <c r="J123" s="207"/>
      <c r="K123" s="626" t="e">
        <f t="shared" si="13"/>
        <v>#N/A</v>
      </c>
      <c r="L123" s="627" t="e">
        <f t="shared" si="14"/>
        <v>#N/A</v>
      </c>
      <c r="M123" s="628" t="e">
        <f t="shared" si="15"/>
        <v>#N/A</v>
      </c>
      <c r="N123" s="464" t="e">
        <f>SUM($M$15:M123)</f>
        <v>#N/A</v>
      </c>
      <c r="O123" s="464" t="e">
        <f t="shared" si="9"/>
        <v>#DIV/0!</v>
      </c>
      <c r="P123" s="464" t="e">
        <f>SUM($O$15:O123)</f>
        <v>#DIV/0!</v>
      </c>
    </row>
    <row r="124" spans="2:16">
      <c r="B124" s="176">
        <f t="shared" si="10"/>
        <v>44396</v>
      </c>
      <c r="C124" s="209">
        <f t="shared" si="8"/>
        <v>7</v>
      </c>
      <c r="D124" s="208"/>
      <c r="E124" s="208"/>
      <c r="F124" s="208"/>
      <c r="G124" s="625" t="e">
        <f t="shared" si="11"/>
        <v>#DIV/0!</v>
      </c>
      <c r="H124" s="464" t="e">
        <f t="shared" si="12"/>
        <v>#DIV/0!</v>
      </c>
      <c r="I124" s="464" t="e">
        <f>SUM($H$15:H124)</f>
        <v>#DIV/0!</v>
      </c>
      <c r="J124" s="207"/>
      <c r="K124" s="626" t="e">
        <f t="shared" si="13"/>
        <v>#N/A</v>
      </c>
      <c r="L124" s="627" t="e">
        <f t="shared" si="14"/>
        <v>#N/A</v>
      </c>
      <c r="M124" s="628" t="e">
        <f t="shared" si="15"/>
        <v>#N/A</v>
      </c>
      <c r="N124" s="464" t="e">
        <f>SUM($M$15:M124)</f>
        <v>#N/A</v>
      </c>
      <c r="O124" s="464" t="e">
        <f t="shared" si="9"/>
        <v>#DIV/0!</v>
      </c>
      <c r="P124" s="464" t="e">
        <f>SUM($O$15:O124)</f>
        <v>#DIV/0!</v>
      </c>
    </row>
    <row r="125" spans="2:16">
      <c r="B125" s="176">
        <f t="shared" si="10"/>
        <v>44397</v>
      </c>
      <c r="C125" s="209">
        <f t="shared" si="8"/>
        <v>7</v>
      </c>
      <c r="D125" s="208"/>
      <c r="E125" s="208"/>
      <c r="F125" s="208"/>
      <c r="G125" s="625" t="e">
        <f t="shared" si="11"/>
        <v>#DIV/0!</v>
      </c>
      <c r="H125" s="464" t="e">
        <f t="shared" si="12"/>
        <v>#DIV/0!</v>
      </c>
      <c r="I125" s="464" t="e">
        <f>SUM($H$15:H125)</f>
        <v>#DIV/0!</v>
      </c>
      <c r="J125" s="207"/>
      <c r="K125" s="626" t="e">
        <f t="shared" si="13"/>
        <v>#N/A</v>
      </c>
      <c r="L125" s="627" t="e">
        <f t="shared" si="14"/>
        <v>#N/A</v>
      </c>
      <c r="M125" s="628" t="e">
        <f t="shared" si="15"/>
        <v>#N/A</v>
      </c>
      <c r="N125" s="464" t="e">
        <f>SUM($M$15:M125)</f>
        <v>#N/A</v>
      </c>
      <c r="O125" s="464" t="e">
        <f t="shared" si="9"/>
        <v>#DIV/0!</v>
      </c>
      <c r="P125" s="464" t="e">
        <f>SUM($O$15:O125)</f>
        <v>#DIV/0!</v>
      </c>
    </row>
    <row r="126" spans="2:16">
      <c r="B126" s="176">
        <f t="shared" si="10"/>
        <v>44398</v>
      </c>
      <c r="C126" s="209">
        <f t="shared" si="8"/>
        <v>7</v>
      </c>
      <c r="D126" s="208"/>
      <c r="E126" s="208"/>
      <c r="F126" s="208"/>
      <c r="G126" s="625" t="e">
        <f t="shared" si="11"/>
        <v>#DIV/0!</v>
      </c>
      <c r="H126" s="464" t="e">
        <f t="shared" si="12"/>
        <v>#DIV/0!</v>
      </c>
      <c r="I126" s="464" t="e">
        <f>SUM($H$15:H126)</f>
        <v>#DIV/0!</v>
      </c>
      <c r="J126" s="207"/>
      <c r="K126" s="626" t="e">
        <f t="shared" si="13"/>
        <v>#N/A</v>
      </c>
      <c r="L126" s="627" t="e">
        <f t="shared" si="14"/>
        <v>#N/A</v>
      </c>
      <c r="M126" s="628" t="e">
        <f t="shared" si="15"/>
        <v>#N/A</v>
      </c>
      <c r="N126" s="464" t="e">
        <f>SUM($M$15:M126)</f>
        <v>#N/A</v>
      </c>
      <c r="O126" s="464" t="e">
        <f t="shared" si="9"/>
        <v>#DIV/0!</v>
      </c>
      <c r="P126" s="464" t="e">
        <f>SUM($O$15:O126)</f>
        <v>#DIV/0!</v>
      </c>
    </row>
    <row r="127" spans="2:16">
      <c r="B127" s="176">
        <f t="shared" si="10"/>
        <v>44399</v>
      </c>
      <c r="C127" s="209">
        <f t="shared" si="8"/>
        <v>7</v>
      </c>
      <c r="D127" s="208"/>
      <c r="E127" s="208"/>
      <c r="F127" s="208"/>
      <c r="G127" s="625" t="e">
        <f t="shared" si="11"/>
        <v>#DIV/0!</v>
      </c>
      <c r="H127" s="464" t="e">
        <f t="shared" si="12"/>
        <v>#DIV/0!</v>
      </c>
      <c r="I127" s="464" t="e">
        <f>SUM($H$15:H127)</f>
        <v>#DIV/0!</v>
      </c>
      <c r="J127" s="207"/>
      <c r="K127" s="626" t="e">
        <f t="shared" si="13"/>
        <v>#N/A</v>
      </c>
      <c r="L127" s="627" t="e">
        <f t="shared" si="14"/>
        <v>#N/A</v>
      </c>
      <c r="M127" s="628" t="e">
        <f t="shared" si="15"/>
        <v>#N/A</v>
      </c>
      <c r="N127" s="464" t="e">
        <f>SUM($M$15:M127)</f>
        <v>#N/A</v>
      </c>
      <c r="O127" s="464" t="e">
        <f t="shared" si="9"/>
        <v>#DIV/0!</v>
      </c>
      <c r="P127" s="464" t="e">
        <f>SUM($O$15:O127)</f>
        <v>#DIV/0!</v>
      </c>
    </row>
    <row r="128" spans="2:16">
      <c r="B128" s="176">
        <f t="shared" si="10"/>
        <v>44400</v>
      </c>
      <c r="C128" s="209">
        <f t="shared" si="8"/>
        <v>7</v>
      </c>
      <c r="D128" s="208"/>
      <c r="E128" s="208"/>
      <c r="F128" s="208"/>
      <c r="G128" s="625" t="e">
        <f t="shared" si="11"/>
        <v>#DIV/0!</v>
      </c>
      <c r="H128" s="464" t="e">
        <f t="shared" si="12"/>
        <v>#DIV/0!</v>
      </c>
      <c r="I128" s="464" t="e">
        <f>SUM($H$15:H128)</f>
        <v>#DIV/0!</v>
      </c>
      <c r="J128" s="207"/>
      <c r="K128" s="626" t="e">
        <f t="shared" si="13"/>
        <v>#N/A</v>
      </c>
      <c r="L128" s="627" t="e">
        <f t="shared" si="14"/>
        <v>#N/A</v>
      </c>
      <c r="M128" s="628" t="e">
        <f t="shared" si="15"/>
        <v>#N/A</v>
      </c>
      <c r="N128" s="464" t="e">
        <f>SUM($M$15:M128)</f>
        <v>#N/A</v>
      </c>
      <c r="O128" s="464" t="e">
        <f t="shared" si="9"/>
        <v>#DIV/0!</v>
      </c>
      <c r="P128" s="464" t="e">
        <f>SUM($O$15:O128)</f>
        <v>#DIV/0!</v>
      </c>
    </row>
    <row r="129" spans="2:16">
      <c r="B129" s="176">
        <f t="shared" si="10"/>
        <v>44401</v>
      </c>
      <c r="C129" s="209">
        <f t="shared" si="8"/>
        <v>7</v>
      </c>
      <c r="D129" s="208"/>
      <c r="E129" s="208"/>
      <c r="F129" s="208"/>
      <c r="G129" s="625" t="e">
        <f t="shared" si="11"/>
        <v>#DIV/0!</v>
      </c>
      <c r="H129" s="464" t="e">
        <f t="shared" si="12"/>
        <v>#DIV/0!</v>
      </c>
      <c r="I129" s="464" t="e">
        <f>SUM($H$15:H129)</f>
        <v>#DIV/0!</v>
      </c>
      <c r="J129" s="207"/>
      <c r="K129" s="626" t="e">
        <f t="shared" si="13"/>
        <v>#N/A</v>
      </c>
      <c r="L129" s="627" t="e">
        <f t="shared" si="14"/>
        <v>#N/A</v>
      </c>
      <c r="M129" s="628" t="e">
        <f t="shared" si="15"/>
        <v>#N/A</v>
      </c>
      <c r="N129" s="464" t="e">
        <f>SUM($M$15:M129)</f>
        <v>#N/A</v>
      </c>
      <c r="O129" s="464" t="e">
        <f t="shared" si="9"/>
        <v>#DIV/0!</v>
      </c>
      <c r="P129" s="464" t="e">
        <f>SUM($O$15:O129)</f>
        <v>#DIV/0!</v>
      </c>
    </row>
    <row r="130" spans="2:16">
      <c r="B130" s="176">
        <f t="shared" si="10"/>
        <v>44402</v>
      </c>
      <c r="C130" s="209">
        <f t="shared" si="8"/>
        <v>7</v>
      </c>
      <c r="D130" s="208"/>
      <c r="E130" s="208"/>
      <c r="F130" s="208"/>
      <c r="G130" s="625" t="e">
        <f t="shared" si="11"/>
        <v>#DIV/0!</v>
      </c>
      <c r="H130" s="464" t="e">
        <f t="shared" si="12"/>
        <v>#DIV/0!</v>
      </c>
      <c r="I130" s="464" t="e">
        <f>SUM($H$15:H130)</f>
        <v>#DIV/0!</v>
      </c>
      <c r="J130" s="207"/>
      <c r="K130" s="626" t="e">
        <f t="shared" si="13"/>
        <v>#N/A</v>
      </c>
      <c r="L130" s="627" t="e">
        <f t="shared" si="14"/>
        <v>#N/A</v>
      </c>
      <c r="M130" s="628" t="e">
        <f t="shared" si="15"/>
        <v>#N/A</v>
      </c>
      <c r="N130" s="464" t="e">
        <f>SUM($M$15:M130)</f>
        <v>#N/A</v>
      </c>
      <c r="O130" s="464" t="e">
        <f t="shared" si="9"/>
        <v>#DIV/0!</v>
      </c>
      <c r="P130" s="464" t="e">
        <f>SUM($O$15:O130)</f>
        <v>#DIV/0!</v>
      </c>
    </row>
    <row r="131" spans="2:16">
      <c r="B131" s="176">
        <f t="shared" si="10"/>
        <v>44403</v>
      </c>
      <c r="C131" s="209">
        <f t="shared" si="8"/>
        <v>7</v>
      </c>
      <c r="D131" s="208"/>
      <c r="E131" s="208"/>
      <c r="F131" s="208"/>
      <c r="G131" s="625" t="e">
        <f t="shared" si="11"/>
        <v>#DIV/0!</v>
      </c>
      <c r="H131" s="464" t="e">
        <f t="shared" si="12"/>
        <v>#DIV/0!</v>
      </c>
      <c r="I131" s="464" t="e">
        <f>SUM($H$15:H131)</f>
        <v>#DIV/0!</v>
      </c>
      <c r="J131" s="207"/>
      <c r="K131" s="626" t="e">
        <f t="shared" si="13"/>
        <v>#N/A</v>
      </c>
      <c r="L131" s="627" t="e">
        <f t="shared" si="14"/>
        <v>#N/A</v>
      </c>
      <c r="M131" s="628" t="e">
        <f t="shared" si="15"/>
        <v>#N/A</v>
      </c>
      <c r="N131" s="464" t="e">
        <f>SUM($M$15:M131)</f>
        <v>#N/A</v>
      </c>
      <c r="O131" s="464" t="e">
        <f t="shared" si="9"/>
        <v>#DIV/0!</v>
      </c>
      <c r="P131" s="464" t="e">
        <f>SUM($O$15:O131)</f>
        <v>#DIV/0!</v>
      </c>
    </row>
    <row r="132" spans="2:16">
      <c r="B132" s="176">
        <f t="shared" si="10"/>
        <v>44404</v>
      </c>
      <c r="C132" s="209">
        <f t="shared" si="8"/>
        <v>7</v>
      </c>
      <c r="D132" s="208"/>
      <c r="E132" s="208"/>
      <c r="F132" s="208"/>
      <c r="G132" s="625" t="e">
        <f t="shared" si="11"/>
        <v>#DIV/0!</v>
      </c>
      <c r="H132" s="464" t="e">
        <f t="shared" si="12"/>
        <v>#DIV/0!</v>
      </c>
      <c r="I132" s="464" t="e">
        <f>SUM($H$15:H132)</f>
        <v>#DIV/0!</v>
      </c>
      <c r="J132" s="207"/>
      <c r="K132" s="626" t="e">
        <f t="shared" si="13"/>
        <v>#N/A</v>
      </c>
      <c r="L132" s="627" t="e">
        <f t="shared" si="14"/>
        <v>#N/A</v>
      </c>
      <c r="M132" s="628" t="e">
        <f t="shared" si="15"/>
        <v>#N/A</v>
      </c>
      <c r="N132" s="464" t="e">
        <f>SUM($M$15:M132)</f>
        <v>#N/A</v>
      </c>
      <c r="O132" s="464" t="e">
        <f t="shared" si="9"/>
        <v>#DIV/0!</v>
      </c>
      <c r="P132" s="464" t="e">
        <f>SUM($O$15:O132)</f>
        <v>#DIV/0!</v>
      </c>
    </row>
    <row r="133" spans="2:16">
      <c r="B133" s="176">
        <f t="shared" si="10"/>
        <v>44405</v>
      </c>
      <c r="C133" s="209">
        <f t="shared" si="8"/>
        <v>7</v>
      </c>
      <c r="D133" s="208"/>
      <c r="E133" s="208"/>
      <c r="F133" s="208"/>
      <c r="G133" s="625" t="e">
        <f t="shared" si="11"/>
        <v>#DIV/0!</v>
      </c>
      <c r="H133" s="464" t="e">
        <f t="shared" si="12"/>
        <v>#DIV/0!</v>
      </c>
      <c r="I133" s="464" t="e">
        <f>SUM($H$15:H133)</f>
        <v>#DIV/0!</v>
      </c>
      <c r="J133" s="207"/>
      <c r="K133" s="626" t="e">
        <f t="shared" si="13"/>
        <v>#N/A</v>
      </c>
      <c r="L133" s="627" t="e">
        <f t="shared" si="14"/>
        <v>#N/A</v>
      </c>
      <c r="M133" s="628" t="e">
        <f t="shared" si="15"/>
        <v>#N/A</v>
      </c>
      <c r="N133" s="464" t="e">
        <f>SUM($M$15:M133)</f>
        <v>#N/A</v>
      </c>
      <c r="O133" s="464" t="e">
        <f t="shared" si="9"/>
        <v>#DIV/0!</v>
      </c>
      <c r="P133" s="464" t="e">
        <f>SUM($O$15:O133)</f>
        <v>#DIV/0!</v>
      </c>
    </row>
    <row r="134" spans="2:16">
      <c r="B134" s="176">
        <f t="shared" si="10"/>
        <v>44406</v>
      </c>
      <c r="C134" s="209">
        <f t="shared" si="8"/>
        <v>7</v>
      </c>
      <c r="D134" s="208"/>
      <c r="E134" s="208"/>
      <c r="F134" s="208"/>
      <c r="G134" s="625" t="e">
        <f t="shared" si="11"/>
        <v>#DIV/0!</v>
      </c>
      <c r="H134" s="464" t="e">
        <f t="shared" si="12"/>
        <v>#DIV/0!</v>
      </c>
      <c r="I134" s="464" t="e">
        <f>SUM($H$15:H134)</f>
        <v>#DIV/0!</v>
      </c>
      <c r="J134" s="207"/>
      <c r="K134" s="626" t="e">
        <f t="shared" si="13"/>
        <v>#N/A</v>
      </c>
      <c r="L134" s="627" t="e">
        <f t="shared" si="14"/>
        <v>#N/A</v>
      </c>
      <c r="M134" s="628" t="e">
        <f t="shared" si="15"/>
        <v>#N/A</v>
      </c>
      <c r="N134" s="464" t="e">
        <f>SUM($M$15:M134)</f>
        <v>#N/A</v>
      </c>
      <c r="O134" s="464" t="e">
        <f t="shared" si="9"/>
        <v>#DIV/0!</v>
      </c>
      <c r="P134" s="464" t="e">
        <f>SUM($O$15:O134)</f>
        <v>#DIV/0!</v>
      </c>
    </row>
    <row r="135" spans="2:16">
      <c r="B135" s="176">
        <f t="shared" si="10"/>
        <v>44407</v>
      </c>
      <c r="C135" s="209">
        <f t="shared" si="8"/>
        <v>7</v>
      </c>
      <c r="D135" s="208"/>
      <c r="E135" s="208"/>
      <c r="F135" s="208"/>
      <c r="G135" s="625" t="e">
        <f t="shared" si="11"/>
        <v>#DIV/0!</v>
      </c>
      <c r="H135" s="464" t="e">
        <f t="shared" si="12"/>
        <v>#DIV/0!</v>
      </c>
      <c r="I135" s="464" t="e">
        <f>SUM($H$15:H135)</f>
        <v>#DIV/0!</v>
      </c>
      <c r="J135" s="207"/>
      <c r="K135" s="626" t="e">
        <f t="shared" si="13"/>
        <v>#N/A</v>
      </c>
      <c r="L135" s="627" t="e">
        <f t="shared" si="14"/>
        <v>#N/A</v>
      </c>
      <c r="M135" s="628" t="e">
        <f t="shared" si="15"/>
        <v>#N/A</v>
      </c>
      <c r="N135" s="464" t="e">
        <f>SUM($M$15:M135)</f>
        <v>#N/A</v>
      </c>
      <c r="O135" s="464" t="e">
        <f t="shared" si="9"/>
        <v>#DIV/0!</v>
      </c>
      <c r="P135" s="464" t="e">
        <f>SUM($O$15:O135)</f>
        <v>#DIV/0!</v>
      </c>
    </row>
    <row r="136" spans="2:16">
      <c r="B136" s="176">
        <f t="shared" si="10"/>
        <v>44408</v>
      </c>
      <c r="C136" s="209">
        <f t="shared" si="8"/>
        <v>7</v>
      </c>
      <c r="D136" s="208"/>
      <c r="E136" s="208"/>
      <c r="F136" s="208"/>
      <c r="G136" s="625" t="e">
        <f t="shared" si="11"/>
        <v>#DIV/0!</v>
      </c>
      <c r="H136" s="464" t="e">
        <f t="shared" si="12"/>
        <v>#DIV/0!</v>
      </c>
      <c r="I136" s="464" t="e">
        <f>SUM($H$15:H136)</f>
        <v>#DIV/0!</v>
      </c>
      <c r="J136" s="207"/>
      <c r="K136" s="626" t="e">
        <f t="shared" si="13"/>
        <v>#N/A</v>
      </c>
      <c r="L136" s="627" t="e">
        <f t="shared" si="14"/>
        <v>#N/A</v>
      </c>
      <c r="M136" s="628" t="e">
        <f t="shared" si="15"/>
        <v>#N/A</v>
      </c>
      <c r="N136" s="464" t="e">
        <f>SUM($M$15:M136)</f>
        <v>#N/A</v>
      </c>
      <c r="O136" s="464" t="e">
        <f t="shared" si="9"/>
        <v>#DIV/0!</v>
      </c>
      <c r="P136" s="464" t="e">
        <f>SUM($O$15:O136)</f>
        <v>#DIV/0!</v>
      </c>
    </row>
    <row r="137" spans="2:16">
      <c r="B137" s="176">
        <f t="shared" si="10"/>
        <v>44409</v>
      </c>
      <c r="C137" s="209">
        <f t="shared" si="8"/>
        <v>8</v>
      </c>
      <c r="D137" s="208"/>
      <c r="E137" s="208"/>
      <c r="F137" s="208"/>
      <c r="G137" s="625" t="e">
        <f t="shared" si="11"/>
        <v>#DIV/0!</v>
      </c>
      <c r="H137" s="464" t="e">
        <f t="shared" si="12"/>
        <v>#DIV/0!</v>
      </c>
      <c r="I137" s="464" t="e">
        <f>SUM($H$15:H137)</f>
        <v>#DIV/0!</v>
      </c>
      <c r="J137" s="207"/>
      <c r="K137" s="626" t="e">
        <f t="shared" si="13"/>
        <v>#N/A</v>
      </c>
      <c r="L137" s="627" t="e">
        <f t="shared" si="14"/>
        <v>#N/A</v>
      </c>
      <c r="M137" s="628" t="e">
        <f t="shared" si="15"/>
        <v>#N/A</v>
      </c>
      <c r="N137" s="464" t="e">
        <f>SUM($M$15:M137)</f>
        <v>#N/A</v>
      </c>
      <c r="O137" s="464" t="e">
        <f t="shared" si="9"/>
        <v>#DIV/0!</v>
      </c>
      <c r="P137" s="464" t="e">
        <f>SUM($O$15:O137)</f>
        <v>#DIV/0!</v>
      </c>
    </row>
    <row r="138" spans="2:16">
      <c r="B138" s="176">
        <f t="shared" si="10"/>
        <v>44410</v>
      </c>
      <c r="C138" s="209">
        <f t="shared" si="8"/>
        <v>8</v>
      </c>
      <c r="D138" s="208"/>
      <c r="E138" s="208"/>
      <c r="F138" s="208"/>
      <c r="G138" s="625" t="e">
        <f t="shared" si="11"/>
        <v>#DIV/0!</v>
      </c>
      <c r="H138" s="464" t="e">
        <f t="shared" si="12"/>
        <v>#DIV/0!</v>
      </c>
      <c r="I138" s="464" t="e">
        <f>SUM($H$15:H138)</f>
        <v>#DIV/0!</v>
      </c>
      <c r="J138" s="207"/>
      <c r="K138" s="626" t="e">
        <f t="shared" si="13"/>
        <v>#N/A</v>
      </c>
      <c r="L138" s="627" t="e">
        <f t="shared" si="14"/>
        <v>#N/A</v>
      </c>
      <c r="M138" s="628" t="e">
        <f t="shared" si="15"/>
        <v>#N/A</v>
      </c>
      <c r="N138" s="464" t="e">
        <f>SUM($M$15:M138)</f>
        <v>#N/A</v>
      </c>
      <c r="O138" s="464" t="e">
        <f t="shared" si="9"/>
        <v>#DIV/0!</v>
      </c>
      <c r="P138" s="464" t="e">
        <f>SUM($O$15:O138)</f>
        <v>#DIV/0!</v>
      </c>
    </row>
    <row r="139" spans="2:16">
      <c r="B139" s="176">
        <f t="shared" si="10"/>
        <v>44411</v>
      </c>
      <c r="C139" s="209">
        <f t="shared" si="8"/>
        <v>8</v>
      </c>
      <c r="D139" s="208"/>
      <c r="E139" s="208"/>
      <c r="F139" s="208"/>
      <c r="G139" s="625" t="e">
        <f t="shared" si="11"/>
        <v>#DIV/0!</v>
      </c>
      <c r="H139" s="464" t="e">
        <f t="shared" si="12"/>
        <v>#DIV/0!</v>
      </c>
      <c r="I139" s="464" t="e">
        <f>SUM($H$15:H139)</f>
        <v>#DIV/0!</v>
      </c>
      <c r="J139" s="207"/>
      <c r="K139" s="626" t="e">
        <f t="shared" si="13"/>
        <v>#N/A</v>
      </c>
      <c r="L139" s="627" t="e">
        <f t="shared" si="14"/>
        <v>#N/A</v>
      </c>
      <c r="M139" s="628" t="e">
        <f t="shared" si="15"/>
        <v>#N/A</v>
      </c>
      <c r="N139" s="464" t="e">
        <f>SUM($M$15:M139)</f>
        <v>#N/A</v>
      </c>
      <c r="O139" s="464" t="e">
        <f t="shared" si="9"/>
        <v>#DIV/0!</v>
      </c>
      <c r="P139" s="464" t="e">
        <f>SUM($O$15:O139)</f>
        <v>#DIV/0!</v>
      </c>
    </row>
    <row r="140" spans="2:16">
      <c r="B140" s="176">
        <f t="shared" si="10"/>
        <v>44412</v>
      </c>
      <c r="C140" s="209">
        <f t="shared" si="8"/>
        <v>8</v>
      </c>
      <c r="D140" s="208"/>
      <c r="E140" s="208"/>
      <c r="F140" s="208"/>
      <c r="G140" s="625" t="e">
        <f t="shared" si="11"/>
        <v>#DIV/0!</v>
      </c>
      <c r="H140" s="464" t="e">
        <f t="shared" si="12"/>
        <v>#DIV/0!</v>
      </c>
      <c r="I140" s="464" t="e">
        <f>SUM($H$15:H140)</f>
        <v>#DIV/0!</v>
      </c>
      <c r="J140" s="207"/>
      <c r="K140" s="626" t="e">
        <f t="shared" si="13"/>
        <v>#N/A</v>
      </c>
      <c r="L140" s="627" t="e">
        <f t="shared" si="14"/>
        <v>#N/A</v>
      </c>
      <c r="M140" s="628" t="e">
        <f t="shared" si="15"/>
        <v>#N/A</v>
      </c>
      <c r="N140" s="464" t="e">
        <f>SUM($M$15:M140)</f>
        <v>#N/A</v>
      </c>
      <c r="O140" s="464" t="e">
        <f t="shared" si="9"/>
        <v>#DIV/0!</v>
      </c>
      <c r="P140" s="464" t="e">
        <f>SUM($O$15:O140)</f>
        <v>#DIV/0!</v>
      </c>
    </row>
    <row r="141" spans="2:16">
      <c r="B141" s="176">
        <f t="shared" si="10"/>
        <v>44413</v>
      </c>
      <c r="C141" s="209">
        <f t="shared" si="8"/>
        <v>8</v>
      </c>
      <c r="D141" s="208"/>
      <c r="E141" s="208"/>
      <c r="F141" s="208"/>
      <c r="G141" s="625" t="e">
        <f t="shared" si="11"/>
        <v>#DIV/0!</v>
      </c>
      <c r="H141" s="464" t="e">
        <f t="shared" si="12"/>
        <v>#DIV/0!</v>
      </c>
      <c r="I141" s="464" t="e">
        <f>SUM($H$15:H141)</f>
        <v>#DIV/0!</v>
      </c>
      <c r="J141" s="207"/>
      <c r="K141" s="626" t="e">
        <f t="shared" si="13"/>
        <v>#N/A</v>
      </c>
      <c r="L141" s="627" t="e">
        <f t="shared" si="14"/>
        <v>#N/A</v>
      </c>
      <c r="M141" s="628" t="e">
        <f t="shared" si="15"/>
        <v>#N/A</v>
      </c>
      <c r="N141" s="464" t="e">
        <f>SUM($M$15:M141)</f>
        <v>#N/A</v>
      </c>
      <c r="O141" s="464" t="e">
        <f t="shared" si="9"/>
        <v>#DIV/0!</v>
      </c>
      <c r="P141" s="464" t="e">
        <f>SUM($O$15:O141)</f>
        <v>#DIV/0!</v>
      </c>
    </row>
    <row r="142" spans="2:16">
      <c r="B142" s="176">
        <f t="shared" si="10"/>
        <v>44414</v>
      </c>
      <c r="C142" s="209">
        <f t="shared" si="8"/>
        <v>8</v>
      </c>
      <c r="D142" s="208"/>
      <c r="E142" s="208"/>
      <c r="F142" s="208"/>
      <c r="G142" s="625" t="e">
        <f t="shared" si="11"/>
        <v>#DIV/0!</v>
      </c>
      <c r="H142" s="464" t="e">
        <f t="shared" si="12"/>
        <v>#DIV/0!</v>
      </c>
      <c r="I142" s="464" t="e">
        <f>SUM($H$15:H142)</f>
        <v>#DIV/0!</v>
      </c>
      <c r="J142" s="207"/>
      <c r="K142" s="626" t="e">
        <f t="shared" si="13"/>
        <v>#N/A</v>
      </c>
      <c r="L142" s="627" t="e">
        <f t="shared" si="14"/>
        <v>#N/A</v>
      </c>
      <c r="M142" s="628" t="e">
        <f t="shared" si="15"/>
        <v>#N/A</v>
      </c>
      <c r="N142" s="464" t="e">
        <f>SUM($M$15:M142)</f>
        <v>#N/A</v>
      </c>
      <c r="O142" s="464" t="e">
        <f t="shared" si="9"/>
        <v>#DIV/0!</v>
      </c>
      <c r="P142" s="464" t="e">
        <f>SUM($O$15:O142)</f>
        <v>#DIV/0!</v>
      </c>
    </row>
    <row r="143" spans="2:16">
      <c r="B143" s="176">
        <f t="shared" si="10"/>
        <v>44415</v>
      </c>
      <c r="C143" s="209">
        <f t="shared" ref="C143:C206" si="16">MONTH(B143)</f>
        <v>8</v>
      </c>
      <c r="D143" s="208"/>
      <c r="E143" s="208"/>
      <c r="F143" s="208"/>
      <c r="G143" s="625" t="e">
        <f t="shared" si="11"/>
        <v>#DIV/0!</v>
      </c>
      <c r="H143" s="464" t="e">
        <f t="shared" si="12"/>
        <v>#DIV/0!</v>
      </c>
      <c r="I143" s="464" t="e">
        <f>SUM($H$15:H143)</f>
        <v>#DIV/0!</v>
      </c>
      <c r="J143" s="207"/>
      <c r="K143" s="626" t="e">
        <f t="shared" si="13"/>
        <v>#N/A</v>
      </c>
      <c r="L143" s="627" t="e">
        <f t="shared" si="14"/>
        <v>#N/A</v>
      </c>
      <c r="M143" s="628" t="e">
        <f t="shared" si="15"/>
        <v>#N/A</v>
      </c>
      <c r="N143" s="464" t="e">
        <f>SUM($M$15:M143)</f>
        <v>#N/A</v>
      </c>
      <c r="O143" s="464" t="e">
        <f t="shared" ref="O143:O206" si="17">SUM(H143+M143)</f>
        <v>#DIV/0!</v>
      </c>
      <c r="P143" s="464" t="e">
        <f>SUM($O$15:O143)</f>
        <v>#DIV/0!</v>
      </c>
    </row>
    <row r="144" spans="2:16">
      <c r="B144" s="176">
        <f t="shared" ref="B144:B207" si="18">B143+1</f>
        <v>44416</v>
      </c>
      <c r="C144" s="209">
        <f t="shared" si="16"/>
        <v>8</v>
      </c>
      <c r="D144" s="208"/>
      <c r="E144" s="208"/>
      <c r="F144" s="208"/>
      <c r="G144" s="625" t="e">
        <f t="shared" ref="G144:G207" si="19">((E144-F144)/D144)*100</f>
        <v>#DIV/0!</v>
      </c>
      <c r="H144" s="464" t="e">
        <f t="shared" ref="H144:H207" si="20">IF(AND(G144&gt;=0,G144&lt;=5),1200-(G144*800),IF(AND(G144&gt;5,G144&lt;75.667),-2800-(300*(G144-5)),-24000))</f>
        <v>#DIV/0!</v>
      </c>
      <c r="I144" s="464" t="e">
        <f>SUM($H$15:H144)</f>
        <v>#DIV/0!</v>
      </c>
      <c r="J144" s="207"/>
      <c r="K144" s="626" t="e">
        <f t="shared" ref="K144:K207" si="21">IF(ISBLANK(J145),#N/A,J145)</f>
        <v>#N/A</v>
      </c>
      <c r="L144" s="627" t="e">
        <f t="shared" ref="L144:L207" si="22">MAX((J144-K144),(K144-J144))</f>
        <v>#N/A</v>
      </c>
      <c r="M144" s="628" t="e">
        <f t="shared" ref="M144:M197" si="23">IF(AND(L144&gt;=0, L144&lt;=1.5), 3200, IF(AND(L144&gt;1.5,L144&lt;=2.8),3200*((2.8-L144)/1.3),IF(AND(L144&gt;2.8, L144&lt;15), -24000*((2.8-L144)/-12.2), -24000)))</f>
        <v>#N/A</v>
      </c>
      <c r="N144" s="464" t="e">
        <f>SUM($M$15:M144)</f>
        <v>#N/A</v>
      </c>
      <c r="O144" s="464" t="e">
        <f t="shared" si="17"/>
        <v>#DIV/0!</v>
      </c>
      <c r="P144" s="464" t="e">
        <f>SUM($O$15:O144)</f>
        <v>#DIV/0!</v>
      </c>
    </row>
    <row r="145" spans="2:16">
      <c r="B145" s="176">
        <f t="shared" si="18"/>
        <v>44417</v>
      </c>
      <c r="C145" s="209">
        <f t="shared" si="16"/>
        <v>8</v>
      </c>
      <c r="D145" s="208"/>
      <c r="E145" s="208"/>
      <c r="F145" s="208"/>
      <c r="G145" s="625" t="e">
        <f t="shared" si="19"/>
        <v>#DIV/0!</v>
      </c>
      <c r="H145" s="464" t="e">
        <f t="shared" si="20"/>
        <v>#DIV/0!</v>
      </c>
      <c r="I145" s="464" t="e">
        <f>SUM($H$15:H145)</f>
        <v>#DIV/0!</v>
      </c>
      <c r="J145" s="207"/>
      <c r="K145" s="626" t="e">
        <f t="shared" si="21"/>
        <v>#N/A</v>
      </c>
      <c r="L145" s="627" t="e">
        <f t="shared" si="22"/>
        <v>#N/A</v>
      </c>
      <c r="M145" s="628" t="e">
        <f t="shared" si="23"/>
        <v>#N/A</v>
      </c>
      <c r="N145" s="464" t="e">
        <f>SUM($M$15:M145)</f>
        <v>#N/A</v>
      </c>
      <c r="O145" s="464" t="e">
        <f t="shared" si="17"/>
        <v>#DIV/0!</v>
      </c>
      <c r="P145" s="464" t="e">
        <f>SUM($O$15:O145)</f>
        <v>#DIV/0!</v>
      </c>
    </row>
    <row r="146" spans="2:16">
      <c r="B146" s="176">
        <f t="shared" si="18"/>
        <v>44418</v>
      </c>
      <c r="C146" s="209">
        <f t="shared" si="16"/>
        <v>8</v>
      </c>
      <c r="D146" s="208"/>
      <c r="E146" s="208"/>
      <c r="F146" s="208"/>
      <c r="G146" s="625" t="e">
        <f t="shared" si="19"/>
        <v>#DIV/0!</v>
      </c>
      <c r="H146" s="464" t="e">
        <f t="shared" si="20"/>
        <v>#DIV/0!</v>
      </c>
      <c r="I146" s="464" t="e">
        <f>SUM($H$15:H146)</f>
        <v>#DIV/0!</v>
      </c>
      <c r="J146" s="207"/>
      <c r="K146" s="626" t="e">
        <f t="shared" si="21"/>
        <v>#N/A</v>
      </c>
      <c r="L146" s="627" t="e">
        <f t="shared" si="22"/>
        <v>#N/A</v>
      </c>
      <c r="M146" s="628" t="e">
        <f t="shared" si="23"/>
        <v>#N/A</v>
      </c>
      <c r="N146" s="464" t="e">
        <f>SUM($M$15:M146)</f>
        <v>#N/A</v>
      </c>
      <c r="O146" s="464" t="e">
        <f t="shared" si="17"/>
        <v>#DIV/0!</v>
      </c>
      <c r="P146" s="464" t="e">
        <f>SUM($O$15:O146)</f>
        <v>#DIV/0!</v>
      </c>
    </row>
    <row r="147" spans="2:16">
      <c r="B147" s="176">
        <f t="shared" si="18"/>
        <v>44419</v>
      </c>
      <c r="C147" s="209">
        <f t="shared" si="16"/>
        <v>8</v>
      </c>
      <c r="D147" s="208"/>
      <c r="E147" s="208"/>
      <c r="F147" s="208"/>
      <c r="G147" s="625" t="e">
        <f t="shared" si="19"/>
        <v>#DIV/0!</v>
      </c>
      <c r="H147" s="464" t="e">
        <f t="shared" si="20"/>
        <v>#DIV/0!</v>
      </c>
      <c r="I147" s="464" t="e">
        <f>SUM($H$15:H147)</f>
        <v>#DIV/0!</v>
      </c>
      <c r="J147" s="207"/>
      <c r="K147" s="626" t="e">
        <f t="shared" si="21"/>
        <v>#N/A</v>
      </c>
      <c r="L147" s="627" t="e">
        <f t="shared" si="22"/>
        <v>#N/A</v>
      </c>
      <c r="M147" s="628" t="e">
        <f t="shared" si="23"/>
        <v>#N/A</v>
      </c>
      <c r="N147" s="464" t="e">
        <f>SUM($M$15:M147)</f>
        <v>#N/A</v>
      </c>
      <c r="O147" s="464" t="e">
        <f t="shared" si="17"/>
        <v>#DIV/0!</v>
      </c>
      <c r="P147" s="464" t="e">
        <f>SUM($O$15:O147)</f>
        <v>#DIV/0!</v>
      </c>
    </row>
    <row r="148" spans="2:16">
      <c r="B148" s="176">
        <f t="shared" si="18"/>
        <v>44420</v>
      </c>
      <c r="C148" s="209">
        <f t="shared" si="16"/>
        <v>8</v>
      </c>
      <c r="D148" s="208"/>
      <c r="E148" s="208"/>
      <c r="F148" s="208"/>
      <c r="G148" s="625" t="e">
        <f t="shared" si="19"/>
        <v>#DIV/0!</v>
      </c>
      <c r="H148" s="464" t="e">
        <f t="shared" si="20"/>
        <v>#DIV/0!</v>
      </c>
      <c r="I148" s="464" t="e">
        <f>SUM($H$15:H148)</f>
        <v>#DIV/0!</v>
      </c>
      <c r="J148" s="207"/>
      <c r="K148" s="626" t="e">
        <f t="shared" si="21"/>
        <v>#N/A</v>
      </c>
      <c r="L148" s="627" t="e">
        <f t="shared" si="22"/>
        <v>#N/A</v>
      </c>
      <c r="M148" s="628" t="e">
        <f t="shared" si="23"/>
        <v>#N/A</v>
      </c>
      <c r="N148" s="464" t="e">
        <f>SUM($M$15:M148)</f>
        <v>#N/A</v>
      </c>
      <c r="O148" s="464" t="e">
        <f t="shared" si="17"/>
        <v>#DIV/0!</v>
      </c>
      <c r="P148" s="464" t="e">
        <f>SUM($O$15:O148)</f>
        <v>#DIV/0!</v>
      </c>
    </row>
    <row r="149" spans="2:16">
      <c r="B149" s="176">
        <f t="shared" si="18"/>
        <v>44421</v>
      </c>
      <c r="C149" s="209">
        <f t="shared" si="16"/>
        <v>8</v>
      </c>
      <c r="D149" s="208"/>
      <c r="E149" s="208"/>
      <c r="F149" s="208"/>
      <c r="G149" s="625" t="e">
        <f t="shared" si="19"/>
        <v>#DIV/0!</v>
      </c>
      <c r="H149" s="464" t="e">
        <f t="shared" si="20"/>
        <v>#DIV/0!</v>
      </c>
      <c r="I149" s="464" t="e">
        <f>SUM($H$15:H149)</f>
        <v>#DIV/0!</v>
      </c>
      <c r="J149" s="207"/>
      <c r="K149" s="626" t="e">
        <f t="shared" si="21"/>
        <v>#N/A</v>
      </c>
      <c r="L149" s="627" t="e">
        <f t="shared" si="22"/>
        <v>#N/A</v>
      </c>
      <c r="M149" s="628" t="e">
        <f t="shared" si="23"/>
        <v>#N/A</v>
      </c>
      <c r="N149" s="464" t="e">
        <f>SUM($M$15:M149)</f>
        <v>#N/A</v>
      </c>
      <c r="O149" s="464" t="e">
        <f t="shared" si="17"/>
        <v>#DIV/0!</v>
      </c>
      <c r="P149" s="464" t="e">
        <f>SUM($O$15:O149)</f>
        <v>#DIV/0!</v>
      </c>
    </row>
    <row r="150" spans="2:16">
      <c r="B150" s="176">
        <f t="shared" si="18"/>
        <v>44422</v>
      </c>
      <c r="C150" s="209">
        <f t="shared" si="16"/>
        <v>8</v>
      </c>
      <c r="D150" s="208"/>
      <c r="E150" s="208"/>
      <c r="F150" s="208"/>
      <c r="G150" s="625" t="e">
        <f t="shared" si="19"/>
        <v>#DIV/0!</v>
      </c>
      <c r="H150" s="464" t="e">
        <f t="shared" si="20"/>
        <v>#DIV/0!</v>
      </c>
      <c r="I150" s="464" t="e">
        <f>SUM($H$15:H150)</f>
        <v>#DIV/0!</v>
      </c>
      <c r="J150" s="207"/>
      <c r="K150" s="626" t="e">
        <f t="shared" si="21"/>
        <v>#N/A</v>
      </c>
      <c r="L150" s="627" t="e">
        <f t="shared" si="22"/>
        <v>#N/A</v>
      </c>
      <c r="M150" s="628" t="e">
        <f t="shared" si="23"/>
        <v>#N/A</v>
      </c>
      <c r="N150" s="464" t="e">
        <f>SUM($M$15:M150)</f>
        <v>#N/A</v>
      </c>
      <c r="O150" s="464" t="e">
        <f t="shared" si="17"/>
        <v>#DIV/0!</v>
      </c>
      <c r="P150" s="464" t="e">
        <f>SUM($O$15:O150)</f>
        <v>#DIV/0!</v>
      </c>
    </row>
    <row r="151" spans="2:16">
      <c r="B151" s="176">
        <f t="shared" si="18"/>
        <v>44423</v>
      </c>
      <c r="C151" s="209">
        <f t="shared" si="16"/>
        <v>8</v>
      </c>
      <c r="D151" s="208"/>
      <c r="E151" s="208"/>
      <c r="F151" s="208"/>
      <c r="G151" s="625" t="e">
        <f t="shared" si="19"/>
        <v>#DIV/0!</v>
      </c>
      <c r="H151" s="464" t="e">
        <f t="shared" si="20"/>
        <v>#DIV/0!</v>
      </c>
      <c r="I151" s="464" t="e">
        <f>SUM($H$15:H151)</f>
        <v>#DIV/0!</v>
      </c>
      <c r="J151" s="207"/>
      <c r="K151" s="626" t="e">
        <f t="shared" si="21"/>
        <v>#N/A</v>
      </c>
      <c r="L151" s="627" t="e">
        <f t="shared" si="22"/>
        <v>#N/A</v>
      </c>
      <c r="M151" s="628" t="e">
        <f t="shared" si="23"/>
        <v>#N/A</v>
      </c>
      <c r="N151" s="464" t="e">
        <f>SUM($M$15:M151)</f>
        <v>#N/A</v>
      </c>
      <c r="O151" s="464" t="e">
        <f t="shared" si="17"/>
        <v>#DIV/0!</v>
      </c>
      <c r="P151" s="464" t="e">
        <f>SUM($O$15:O151)</f>
        <v>#DIV/0!</v>
      </c>
    </row>
    <row r="152" spans="2:16">
      <c r="B152" s="176">
        <f t="shared" si="18"/>
        <v>44424</v>
      </c>
      <c r="C152" s="209">
        <f t="shared" si="16"/>
        <v>8</v>
      </c>
      <c r="D152" s="208"/>
      <c r="E152" s="208"/>
      <c r="F152" s="208"/>
      <c r="G152" s="625" t="e">
        <f t="shared" si="19"/>
        <v>#DIV/0!</v>
      </c>
      <c r="H152" s="464" t="e">
        <f t="shared" si="20"/>
        <v>#DIV/0!</v>
      </c>
      <c r="I152" s="464" t="e">
        <f>SUM($H$15:H152)</f>
        <v>#DIV/0!</v>
      </c>
      <c r="J152" s="207"/>
      <c r="K152" s="626" t="e">
        <f t="shared" si="21"/>
        <v>#N/A</v>
      </c>
      <c r="L152" s="627" t="e">
        <f t="shared" si="22"/>
        <v>#N/A</v>
      </c>
      <c r="M152" s="628" t="e">
        <f t="shared" si="23"/>
        <v>#N/A</v>
      </c>
      <c r="N152" s="464" t="e">
        <f>SUM($M$15:M152)</f>
        <v>#N/A</v>
      </c>
      <c r="O152" s="464" t="e">
        <f t="shared" si="17"/>
        <v>#DIV/0!</v>
      </c>
      <c r="P152" s="464" t="e">
        <f>SUM($O$15:O152)</f>
        <v>#DIV/0!</v>
      </c>
    </row>
    <row r="153" spans="2:16">
      <c r="B153" s="176">
        <f t="shared" si="18"/>
        <v>44425</v>
      </c>
      <c r="C153" s="209">
        <f t="shared" si="16"/>
        <v>8</v>
      </c>
      <c r="D153" s="208"/>
      <c r="E153" s="208"/>
      <c r="F153" s="208"/>
      <c r="G153" s="625" t="e">
        <f t="shared" si="19"/>
        <v>#DIV/0!</v>
      </c>
      <c r="H153" s="464" t="e">
        <f t="shared" si="20"/>
        <v>#DIV/0!</v>
      </c>
      <c r="I153" s="464" t="e">
        <f>SUM($H$15:H153)</f>
        <v>#DIV/0!</v>
      </c>
      <c r="J153" s="207"/>
      <c r="K153" s="626" t="e">
        <f t="shared" si="21"/>
        <v>#N/A</v>
      </c>
      <c r="L153" s="627" t="e">
        <f t="shared" si="22"/>
        <v>#N/A</v>
      </c>
      <c r="M153" s="628" t="e">
        <f t="shared" si="23"/>
        <v>#N/A</v>
      </c>
      <c r="N153" s="464" t="e">
        <f>SUM($M$15:M153)</f>
        <v>#N/A</v>
      </c>
      <c r="O153" s="464" t="e">
        <f t="shared" si="17"/>
        <v>#DIV/0!</v>
      </c>
      <c r="P153" s="464" t="e">
        <f>SUM($O$15:O153)</f>
        <v>#DIV/0!</v>
      </c>
    </row>
    <row r="154" spans="2:16">
      <c r="B154" s="176">
        <f t="shared" si="18"/>
        <v>44426</v>
      </c>
      <c r="C154" s="209">
        <f t="shared" si="16"/>
        <v>8</v>
      </c>
      <c r="D154" s="208"/>
      <c r="E154" s="208"/>
      <c r="F154" s="208"/>
      <c r="G154" s="625" t="e">
        <f t="shared" si="19"/>
        <v>#DIV/0!</v>
      </c>
      <c r="H154" s="464" t="e">
        <f t="shared" si="20"/>
        <v>#DIV/0!</v>
      </c>
      <c r="I154" s="464" t="e">
        <f>SUM($H$15:H154)</f>
        <v>#DIV/0!</v>
      </c>
      <c r="J154" s="207"/>
      <c r="K154" s="626" t="e">
        <f t="shared" si="21"/>
        <v>#N/A</v>
      </c>
      <c r="L154" s="627" t="e">
        <f t="shared" si="22"/>
        <v>#N/A</v>
      </c>
      <c r="M154" s="628" t="e">
        <f t="shared" si="23"/>
        <v>#N/A</v>
      </c>
      <c r="N154" s="464" t="e">
        <f>SUM($M$15:M154)</f>
        <v>#N/A</v>
      </c>
      <c r="O154" s="464" t="e">
        <f t="shared" si="17"/>
        <v>#DIV/0!</v>
      </c>
      <c r="P154" s="464" t="e">
        <f>SUM($O$15:O154)</f>
        <v>#DIV/0!</v>
      </c>
    </row>
    <row r="155" spans="2:16">
      <c r="B155" s="176">
        <f t="shared" si="18"/>
        <v>44427</v>
      </c>
      <c r="C155" s="209">
        <f t="shared" si="16"/>
        <v>8</v>
      </c>
      <c r="D155" s="208"/>
      <c r="E155" s="208"/>
      <c r="F155" s="208"/>
      <c r="G155" s="625" t="e">
        <f t="shared" si="19"/>
        <v>#DIV/0!</v>
      </c>
      <c r="H155" s="464" t="e">
        <f t="shared" si="20"/>
        <v>#DIV/0!</v>
      </c>
      <c r="I155" s="464" t="e">
        <f>SUM($H$15:H155)</f>
        <v>#DIV/0!</v>
      </c>
      <c r="J155" s="207"/>
      <c r="K155" s="626" t="e">
        <f t="shared" si="21"/>
        <v>#N/A</v>
      </c>
      <c r="L155" s="627" t="e">
        <f t="shared" si="22"/>
        <v>#N/A</v>
      </c>
      <c r="M155" s="628" t="e">
        <f t="shared" si="23"/>
        <v>#N/A</v>
      </c>
      <c r="N155" s="464" t="e">
        <f>SUM($M$15:M155)</f>
        <v>#N/A</v>
      </c>
      <c r="O155" s="464" t="e">
        <f t="shared" si="17"/>
        <v>#DIV/0!</v>
      </c>
      <c r="P155" s="464" t="e">
        <f>SUM($O$15:O155)</f>
        <v>#DIV/0!</v>
      </c>
    </row>
    <row r="156" spans="2:16">
      <c r="B156" s="176">
        <f t="shared" si="18"/>
        <v>44428</v>
      </c>
      <c r="C156" s="209">
        <f t="shared" si="16"/>
        <v>8</v>
      </c>
      <c r="D156" s="208"/>
      <c r="E156" s="208"/>
      <c r="F156" s="208"/>
      <c r="G156" s="625" t="e">
        <f t="shared" si="19"/>
        <v>#DIV/0!</v>
      </c>
      <c r="H156" s="464" t="e">
        <f t="shared" si="20"/>
        <v>#DIV/0!</v>
      </c>
      <c r="I156" s="464" t="e">
        <f>SUM($H$15:H156)</f>
        <v>#DIV/0!</v>
      </c>
      <c r="J156" s="207"/>
      <c r="K156" s="626" t="e">
        <f t="shared" si="21"/>
        <v>#N/A</v>
      </c>
      <c r="L156" s="627" t="e">
        <f t="shared" si="22"/>
        <v>#N/A</v>
      </c>
      <c r="M156" s="628" t="e">
        <f t="shared" si="23"/>
        <v>#N/A</v>
      </c>
      <c r="N156" s="464" t="e">
        <f>SUM($M$15:M156)</f>
        <v>#N/A</v>
      </c>
      <c r="O156" s="464" t="e">
        <f t="shared" si="17"/>
        <v>#DIV/0!</v>
      </c>
      <c r="P156" s="464" t="e">
        <f>SUM($O$15:O156)</f>
        <v>#DIV/0!</v>
      </c>
    </row>
    <row r="157" spans="2:16">
      <c r="B157" s="176">
        <f t="shared" si="18"/>
        <v>44429</v>
      </c>
      <c r="C157" s="209">
        <f t="shared" si="16"/>
        <v>8</v>
      </c>
      <c r="D157" s="208"/>
      <c r="E157" s="208"/>
      <c r="F157" s="208"/>
      <c r="G157" s="625" t="e">
        <f t="shared" si="19"/>
        <v>#DIV/0!</v>
      </c>
      <c r="H157" s="464" t="e">
        <f t="shared" si="20"/>
        <v>#DIV/0!</v>
      </c>
      <c r="I157" s="464" t="e">
        <f>SUM($H$15:H157)</f>
        <v>#DIV/0!</v>
      </c>
      <c r="J157" s="207"/>
      <c r="K157" s="626" t="e">
        <f t="shared" si="21"/>
        <v>#N/A</v>
      </c>
      <c r="L157" s="627" t="e">
        <f t="shared" si="22"/>
        <v>#N/A</v>
      </c>
      <c r="M157" s="628" t="e">
        <f t="shared" si="23"/>
        <v>#N/A</v>
      </c>
      <c r="N157" s="464" t="e">
        <f>SUM($M$15:M157)</f>
        <v>#N/A</v>
      </c>
      <c r="O157" s="464" t="e">
        <f t="shared" si="17"/>
        <v>#DIV/0!</v>
      </c>
      <c r="P157" s="464" t="e">
        <f>SUM($O$15:O157)</f>
        <v>#DIV/0!</v>
      </c>
    </row>
    <row r="158" spans="2:16">
      <c r="B158" s="176">
        <f t="shared" si="18"/>
        <v>44430</v>
      </c>
      <c r="C158" s="209">
        <f t="shared" si="16"/>
        <v>8</v>
      </c>
      <c r="D158" s="208"/>
      <c r="E158" s="208"/>
      <c r="F158" s="208"/>
      <c r="G158" s="625" t="e">
        <f t="shared" si="19"/>
        <v>#DIV/0!</v>
      </c>
      <c r="H158" s="464" t="e">
        <f t="shared" si="20"/>
        <v>#DIV/0!</v>
      </c>
      <c r="I158" s="464" t="e">
        <f>SUM($H$15:H158)</f>
        <v>#DIV/0!</v>
      </c>
      <c r="J158" s="207"/>
      <c r="K158" s="626" t="e">
        <f t="shared" si="21"/>
        <v>#N/A</v>
      </c>
      <c r="L158" s="627" t="e">
        <f t="shared" si="22"/>
        <v>#N/A</v>
      </c>
      <c r="M158" s="628" t="e">
        <f t="shared" si="23"/>
        <v>#N/A</v>
      </c>
      <c r="N158" s="464" t="e">
        <f>SUM($M$15:M158)</f>
        <v>#N/A</v>
      </c>
      <c r="O158" s="464" t="e">
        <f t="shared" si="17"/>
        <v>#DIV/0!</v>
      </c>
      <c r="P158" s="464" t="e">
        <f>SUM($O$15:O158)</f>
        <v>#DIV/0!</v>
      </c>
    </row>
    <row r="159" spans="2:16">
      <c r="B159" s="176">
        <f t="shared" si="18"/>
        <v>44431</v>
      </c>
      <c r="C159" s="209">
        <f t="shared" si="16"/>
        <v>8</v>
      </c>
      <c r="D159" s="208"/>
      <c r="E159" s="208"/>
      <c r="F159" s="208"/>
      <c r="G159" s="625" t="e">
        <f t="shared" si="19"/>
        <v>#DIV/0!</v>
      </c>
      <c r="H159" s="464" t="e">
        <f t="shared" si="20"/>
        <v>#DIV/0!</v>
      </c>
      <c r="I159" s="464" t="e">
        <f>SUM($H$15:H159)</f>
        <v>#DIV/0!</v>
      </c>
      <c r="J159" s="207"/>
      <c r="K159" s="626" t="e">
        <f t="shared" si="21"/>
        <v>#N/A</v>
      </c>
      <c r="L159" s="627" t="e">
        <f t="shared" si="22"/>
        <v>#N/A</v>
      </c>
      <c r="M159" s="628" t="e">
        <f t="shared" si="23"/>
        <v>#N/A</v>
      </c>
      <c r="N159" s="464" t="e">
        <f>SUM($M$15:M159)</f>
        <v>#N/A</v>
      </c>
      <c r="O159" s="464" t="e">
        <f t="shared" si="17"/>
        <v>#DIV/0!</v>
      </c>
      <c r="P159" s="464" t="e">
        <f>SUM($O$15:O159)</f>
        <v>#DIV/0!</v>
      </c>
    </row>
    <row r="160" spans="2:16">
      <c r="B160" s="176">
        <f t="shared" si="18"/>
        <v>44432</v>
      </c>
      <c r="C160" s="209">
        <f t="shared" si="16"/>
        <v>8</v>
      </c>
      <c r="D160" s="208"/>
      <c r="E160" s="208"/>
      <c r="F160" s="208"/>
      <c r="G160" s="625" t="e">
        <f t="shared" si="19"/>
        <v>#DIV/0!</v>
      </c>
      <c r="H160" s="464" t="e">
        <f t="shared" si="20"/>
        <v>#DIV/0!</v>
      </c>
      <c r="I160" s="464" t="e">
        <f>SUM($H$15:H160)</f>
        <v>#DIV/0!</v>
      </c>
      <c r="J160" s="207"/>
      <c r="K160" s="626" t="e">
        <f t="shared" si="21"/>
        <v>#N/A</v>
      </c>
      <c r="L160" s="627" t="e">
        <f t="shared" si="22"/>
        <v>#N/A</v>
      </c>
      <c r="M160" s="628" t="e">
        <f t="shared" si="23"/>
        <v>#N/A</v>
      </c>
      <c r="N160" s="464" t="e">
        <f>SUM($M$15:M160)</f>
        <v>#N/A</v>
      </c>
      <c r="O160" s="464" t="e">
        <f t="shared" si="17"/>
        <v>#DIV/0!</v>
      </c>
      <c r="P160" s="464" t="e">
        <f>SUM($O$15:O160)</f>
        <v>#DIV/0!</v>
      </c>
    </row>
    <row r="161" spans="2:16">
      <c r="B161" s="176">
        <f t="shared" si="18"/>
        <v>44433</v>
      </c>
      <c r="C161" s="209">
        <f t="shared" si="16"/>
        <v>8</v>
      </c>
      <c r="D161" s="208"/>
      <c r="E161" s="208"/>
      <c r="F161" s="208"/>
      <c r="G161" s="625" t="e">
        <f t="shared" si="19"/>
        <v>#DIV/0!</v>
      </c>
      <c r="H161" s="464" t="e">
        <f t="shared" si="20"/>
        <v>#DIV/0!</v>
      </c>
      <c r="I161" s="464" t="e">
        <f>SUM($H$15:H161)</f>
        <v>#DIV/0!</v>
      </c>
      <c r="J161" s="207"/>
      <c r="K161" s="626" t="e">
        <f t="shared" si="21"/>
        <v>#N/A</v>
      </c>
      <c r="L161" s="627" t="e">
        <f t="shared" si="22"/>
        <v>#N/A</v>
      </c>
      <c r="M161" s="628" t="e">
        <f t="shared" si="23"/>
        <v>#N/A</v>
      </c>
      <c r="N161" s="464" t="e">
        <f>SUM($M$15:M161)</f>
        <v>#N/A</v>
      </c>
      <c r="O161" s="464" t="e">
        <f t="shared" si="17"/>
        <v>#DIV/0!</v>
      </c>
      <c r="P161" s="464" t="e">
        <f>SUM($O$15:O161)</f>
        <v>#DIV/0!</v>
      </c>
    </row>
    <row r="162" spans="2:16">
      <c r="B162" s="176">
        <f t="shared" si="18"/>
        <v>44434</v>
      </c>
      <c r="C162" s="209">
        <f t="shared" si="16"/>
        <v>8</v>
      </c>
      <c r="D162" s="208"/>
      <c r="E162" s="208"/>
      <c r="F162" s="208"/>
      <c r="G162" s="625" t="e">
        <f t="shared" si="19"/>
        <v>#DIV/0!</v>
      </c>
      <c r="H162" s="464" t="e">
        <f t="shared" si="20"/>
        <v>#DIV/0!</v>
      </c>
      <c r="I162" s="464" t="e">
        <f>SUM($H$15:H162)</f>
        <v>#DIV/0!</v>
      </c>
      <c r="J162" s="207"/>
      <c r="K162" s="626" t="e">
        <f t="shared" si="21"/>
        <v>#N/A</v>
      </c>
      <c r="L162" s="627" t="e">
        <f t="shared" si="22"/>
        <v>#N/A</v>
      </c>
      <c r="M162" s="628" t="e">
        <f t="shared" si="23"/>
        <v>#N/A</v>
      </c>
      <c r="N162" s="464" t="e">
        <f>SUM($M$15:M162)</f>
        <v>#N/A</v>
      </c>
      <c r="O162" s="464" t="e">
        <f t="shared" si="17"/>
        <v>#DIV/0!</v>
      </c>
      <c r="P162" s="464" t="e">
        <f>SUM($O$15:O162)</f>
        <v>#DIV/0!</v>
      </c>
    </row>
    <row r="163" spans="2:16">
      <c r="B163" s="176">
        <f t="shared" si="18"/>
        <v>44435</v>
      </c>
      <c r="C163" s="209">
        <f t="shared" si="16"/>
        <v>8</v>
      </c>
      <c r="D163" s="208"/>
      <c r="E163" s="208"/>
      <c r="F163" s="208"/>
      <c r="G163" s="625" t="e">
        <f t="shared" si="19"/>
        <v>#DIV/0!</v>
      </c>
      <c r="H163" s="464" t="e">
        <f t="shared" si="20"/>
        <v>#DIV/0!</v>
      </c>
      <c r="I163" s="464" t="e">
        <f>SUM($H$15:H163)</f>
        <v>#DIV/0!</v>
      </c>
      <c r="J163" s="207"/>
      <c r="K163" s="626" t="e">
        <f t="shared" si="21"/>
        <v>#N/A</v>
      </c>
      <c r="L163" s="627" t="e">
        <f t="shared" si="22"/>
        <v>#N/A</v>
      </c>
      <c r="M163" s="628" t="e">
        <f t="shared" si="23"/>
        <v>#N/A</v>
      </c>
      <c r="N163" s="464" t="e">
        <f>SUM($M$15:M163)</f>
        <v>#N/A</v>
      </c>
      <c r="O163" s="464" t="e">
        <f t="shared" si="17"/>
        <v>#DIV/0!</v>
      </c>
      <c r="P163" s="464" t="e">
        <f>SUM($O$15:O163)</f>
        <v>#DIV/0!</v>
      </c>
    </row>
    <row r="164" spans="2:16">
      <c r="B164" s="176">
        <f t="shared" si="18"/>
        <v>44436</v>
      </c>
      <c r="C164" s="209">
        <f t="shared" si="16"/>
        <v>8</v>
      </c>
      <c r="D164" s="208"/>
      <c r="E164" s="208"/>
      <c r="F164" s="208"/>
      <c r="G164" s="625" t="e">
        <f t="shared" si="19"/>
        <v>#DIV/0!</v>
      </c>
      <c r="H164" s="464" t="e">
        <f t="shared" si="20"/>
        <v>#DIV/0!</v>
      </c>
      <c r="I164" s="464" t="e">
        <f>SUM($H$15:H164)</f>
        <v>#DIV/0!</v>
      </c>
      <c r="J164" s="207"/>
      <c r="K164" s="626" t="e">
        <f t="shared" si="21"/>
        <v>#N/A</v>
      </c>
      <c r="L164" s="627" t="e">
        <f t="shared" si="22"/>
        <v>#N/A</v>
      </c>
      <c r="M164" s="628" t="e">
        <f t="shared" si="23"/>
        <v>#N/A</v>
      </c>
      <c r="N164" s="464" t="e">
        <f>SUM($M$15:M164)</f>
        <v>#N/A</v>
      </c>
      <c r="O164" s="464" t="e">
        <f t="shared" si="17"/>
        <v>#DIV/0!</v>
      </c>
      <c r="P164" s="464" t="e">
        <f>SUM($O$15:O164)</f>
        <v>#DIV/0!</v>
      </c>
    </row>
    <row r="165" spans="2:16">
      <c r="B165" s="176">
        <f t="shared" si="18"/>
        <v>44437</v>
      </c>
      <c r="C165" s="209">
        <f t="shared" si="16"/>
        <v>8</v>
      </c>
      <c r="D165" s="208"/>
      <c r="E165" s="208"/>
      <c r="F165" s="208"/>
      <c r="G165" s="625" t="e">
        <f t="shared" si="19"/>
        <v>#DIV/0!</v>
      </c>
      <c r="H165" s="464" t="e">
        <f t="shared" si="20"/>
        <v>#DIV/0!</v>
      </c>
      <c r="I165" s="464" t="e">
        <f>SUM($H$15:H165)</f>
        <v>#DIV/0!</v>
      </c>
      <c r="J165" s="207"/>
      <c r="K165" s="626" t="e">
        <f t="shared" si="21"/>
        <v>#N/A</v>
      </c>
      <c r="L165" s="627" t="e">
        <f t="shared" si="22"/>
        <v>#N/A</v>
      </c>
      <c r="M165" s="628" t="e">
        <f t="shared" si="23"/>
        <v>#N/A</v>
      </c>
      <c r="N165" s="464" t="e">
        <f>SUM($M$15:M165)</f>
        <v>#N/A</v>
      </c>
      <c r="O165" s="464" t="e">
        <f t="shared" si="17"/>
        <v>#DIV/0!</v>
      </c>
      <c r="P165" s="464" t="e">
        <f>SUM($O$15:O165)</f>
        <v>#DIV/0!</v>
      </c>
    </row>
    <row r="166" spans="2:16">
      <c r="B166" s="176">
        <f t="shared" si="18"/>
        <v>44438</v>
      </c>
      <c r="C166" s="209">
        <f t="shared" si="16"/>
        <v>8</v>
      </c>
      <c r="D166" s="208"/>
      <c r="E166" s="208"/>
      <c r="F166" s="208"/>
      <c r="G166" s="625" t="e">
        <f t="shared" si="19"/>
        <v>#DIV/0!</v>
      </c>
      <c r="H166" s="464" t="e">
        <f t="shared" si="20"/>
        <v>#DIV/0!</v>
      </c>
      <c r="I166" s="464" t="e">
        <f>SUM($H$15:H166)</f>
        <v>#DIV/0!</v>
      </c>
      <c r="J166" s="207"/>
      <c r="K166" s="626" t="e">
        <f t="shared" si="21"/>
        <v>#N/A</v>
      </c>
      <c r="L166" s="627" t="e">
        <f t="shared" si="22"/>
        <v>#N/A</v>
      </c>
      <c r="M166" s="628" t="e">
        <f t="shared" si="23"/>
        <v>#N/A</v>
      </c>
      <c r="N166" s="464" t="e">
        <f>SUM($M$15:M166)</f>
        <v>#N/A</v>
      </c>
      <c r="O166" s="464" t="e">
        <f t="shared" si="17"/>
        <v>#DIV/0!</v>
      </c>
      <c r="P166" s="464" t="e">
        <f>SUM($O$15:O166)</f>
        <v>#DIV/0!</v>
      </c>
    </row>
    <row r="167" spans="2:16">
      <c r="B167" s="176">
        <f t="shared" si="18"/>
        <v>44439</v>
      </c>
      <c r="C167" s="209">
        <f t="shared" si="16"/>
        <v>8</v>
      </c>
      <c r="D167" s="208"/>
      <c r="E167" s="208"/>
      <c r="F167" s="208"/>
      <c r="G167" s="625" t="e">
        <f t="shared" si="19"/>
        <v>#DIV/0!</v>
      </c>
      <c r="H167" s="464" t="e">
        <f t="shared" si="20"/>
        <v>#DIV/0!</v>
      </c>
      <c r="I167" s="464" t="e">
        <f>SUM($H$15:H167)</f>
        <v>#DIV/0!</v>
      </c>
      <c r="J167" s="207"/>
      <c r="K167" s="626" t="e">
        <f t="shared" si="21"/>
        <v>#N/A</v>
      </c>
      <c r="L167" s="627" t="e">
        <f t="shared" si="22"/>
        <v>#N/A</v>
      </c>
      <c r="M167" s="628" t="e">
        <f t="shared" si="23"/>
        <v>#N/A</v>
      </c>
      <c r="N167" s="464" t="e">
        <f>SUM($M$15:M167)</f>
        <v>#N/A</v>
      </c>
      <c r="O167" s="464" t="e">
        <f t="shared" si="17"/>
        <v>#DIV/0!</v>
      </c>
      <c r="P167" s="464" t="e">
        <f>SUM($O$15:O167)</f>
        <v>#DIV/0!</v>
      </c>
    </row>
    <row r="168" spans="2:16">
      <c r="B168" s="176">
        <f t="shared" si="18"/>
        <v>44440</v>
      </c>
      <c r="C168" s="209">
        <f t="shared" si="16"/>
        <v>9</v>
      </c>
      <c r="D168" s="208"/>
      <c r="E168" s="208"/>
      <c r="F168" s="208"/>
      <c r="G168" s="625" t="e">
        <f t="shared" si="19"/>
        <v>#DIV/0!</v>
      </c>
      <c r="H168" s="464" t="e">
        <f t="shared" si="20"/>
        <v>#DIV/0!</v>
      </c>
      <c r="I168" s="464" t="e">
        <f>SUM($H$15:H168)</f>
        <v>#DIV/0!</v>
      </c>
      <c r="J168" s="207"/>
      <c r="K168" s="626" t="e">
        <f t="shared" si="21"/>
        <v>#N/A</v>
      </c>
      <c r="L168" s="627" t="e">
        <f t="shared" si="22"/>
        <v>#N/A</v>
      </c>
      <c r="M168" s="628" t="e">
        <f t="shared" si="23"/>
        <v>#N/A</v>
      </c>
      <c r="N168" s="464" t="e">
        <f>SUM($M$15:M168)</f>
        <v>#N/A</v>
      </c>
      <c r="O168" s="464" t="e">
        <f t="shared" si="17"/>
        <v>#DIV/0!</v>
      </c>
      <c r="P168" s="464" t="e">
        <f>SUM($O$15:O168)</f>
        <v>#DIV/0!</v>
      </c>
    </row>
    <row r="169" spans="2:16">
      <c r="B169" s="176">
        <f t="shared" si="18"/>
        <v>44441</v>
      </c>
      <c r="C169" s="209">
        <f t="shared" si="16"/>
        <v>9</v>
      </c>
      <c r="D169" s="208"/>
      <c r="E169" s="208"/>
      <c r="F169" s="208"/>
      <c r="G169" s="625" t="e">
        <f t="shared" si="19"/>
        <v>#DIV/0!</v>
      </c>
      <c r="H169" s="464" t="e">
        <f t="shared" si="20"/>
        <v>#DIV/0!</v>
      </c>
      <c r="I169" s="464" t="e">
        <f>SUM($H$15:H169)</f>
        <v>#DIV/0!</v>
      </c>
      <c r="J169" s="207"/>
      <c r="K169" s="626" t="e">
        <f t="shared" si="21"/>
        <v>#N/A</v>
      </c>
      <c r="L169" s="627" t="e">
        <f t="shared" si="22"/>
        <v>#N/A</v>
      </c>
      <c r="M169" s="628" t="e">
        <f t="shared" si="23"/>
        <v>#N/A</v>
      </c>
      <c r="N169" s="464" t="e">
        <f>SUM($M$15:M169)</f>
        <v>#N/A</v>
      </c>
      <c r="O169" s="464" t="e">
        <f t="shared" si="17"/>
        <v>#DIV/0!</v>
      </c>
      <c r="P169" s="464" t="e">
        <f>SUM($O$15:O169)</f>
        <v>#DIV/0!</v>
      </c>
    </row>
    <row r="170" spans="2:16">
      <c r="B170" s="176">
        <f t="shared" si="18"/>
        <v>44442</v>
      </c>
      <c r="C170" s="209">
        <f t="shared" si="16"/>
        <v>9</v>
      </c>
      <c r="D170" s="208"/>
      <c r="E170" s="208"/>
      <c r="F170" s="208"/>
      <c r="G170" s="625" t="e">
        <f t="shared" si="19"/>
        <v>#DIV/0!</v>
      </c>
      <c r="H170" s="464" t="e">
        <f t="shared" si="20"/>
        <v>#DIV/0!</v>
      </c>
      <c r="I170" s="464" t="e">
        <f>SUM($H$15:H170)</f>
        <v>#DIV/0!</v>
      </c>
      <c r="J170" s="207"/>
      <c r="K170" s="626" t="e">
        <f t="shared" si="21"/>
        <v>#N/A</v>
      </c>
      <c r="L170" s="627" t="e">
        <f t="shared" si="22"/>
        <v>#N/A</v>
      </c>
      <c r="M170" s="628" t="e">
        <f t="shared" si="23"/>
        <v>#N/A</v>
      </c>
      <c r="N170" s="464" t="e">
        <f>SUM($M$15:M170)</f>
        <v>#N/A</v>
      </c>
      <c r="O170" s="464" t="e">
        <f t="shared" si="17"/>
        <v>#DIV/0!</v>
      </c>
      <c r="P170" s="464" t="e">
        <f>SUM($O$15:O170)</f>
        <v>#DIV/0!</v>
      </c>
    </row>
    <row r="171" spans="2:16">
      <c r="B171" s="176">
        <f t="shared" si="18"/>
        <v>44443</v>
      </c>
      <c r="C171" s="209">
        <f t="shared" si="16"/>
        <v>9</v>
      </c>
      <c r="D171" s="208"/>
      <c r="E171" s="208"/>
      <c r="F171" s="208"/>
      <c r="G171" s="625" t="e">
        <f t="shared" si="19"/>
        <v>#DIV/0!</v>
      </c>
      <c r="H171" s="464" t="e">
        <f t="shared" si="20"/>
        <v>#DIV/0!</v>
      </c>
      <c r="I171" s="464" t="e">
        <f>SUM($H$15:H171)</f>
        <v>#DIV/0!</v>
      </c>
      <c r="J171" s="207"/>
      <c r="K171" s="626" t="e">
        <f t="shared" si="21"/>
        <v>#N/A</v>
      </c>
      <c r="L171" s="627" t="e">
        <f t="shared" si="22"/>
        <v>#N/A</v>
      </c>
      <c r="M171" s="628" t="e">
        <f t="shared" si="23"/>
        <v>#N/A</v>
      </c>
      <c r="N171" s="464" t="e">
        <f>SUM($M$15:M171)</f>
        <v>#N/A</v>
      </c>
      <c r="O171" s="464" t="e">
        <f t="shared" si="17"/>
        <v>#DIV/0!</v>
      </c>
      <c r="P171" s="464" t="e">
        <f>SUM($O$15:O171)</f>
        <v>#DIV/0!</v>
      </c>
    </row>
    <row r="172" spans="2:16">
      <c r="B172" s="176">
        <f t="shared" si="18"/>
        <v>44444</v>
      </c>
      <c r="C172" s="209">
        <f t="shared" si="16"/>
        <v>9</v>
      </c>
      <c r="D172" s="208"/>
      <c r="E172" s="208"/>
      <c r="F172" s="208"/>
      <c r="G172" s="625" t="e">
        <f t="shared" si="19"/>
        <v>#DIV/0!</v>
      </c>
      <c r="H172" s="464" t="e">
        <f t="shared" si="20"/>
        <v>#DIV/0!</v>
      </c>
      <c r="I172" s="464" t="e">
        <f>SUM($H$15:H172)</f>
        <v>#DIV/0!</v>
      </c>
      <c r="J172" s="207"/>
      <c r="K172" s="626" t="e">
        <f t="shared" si="21"/>
        <v>#N/A</v>
      </c>
      <c r="L172" s="627" t="e">
        <f t="shared" si="22"/>
        <v>#N/A</v>
      </c>
      <c r="M172" s="628" t="e">
        <f t="shared" si="23"/>
        <v>#N/A</v>
      </c>
      <c r="N172" s="464" t="e">
        <f>SUM($M$15:M172)</f>
        <v>#N/A</v>
      </c>
      <c r="O172" s="464" t="e">
        <f t="shared" si="17"/>
        <v>#DIV/0!</v>
      </c>
      <c r="P172" s="464" t="e">
        <f>SUM($O$15:O172)</f>
        <v>#DIV/0!</v>
      </c>
    </row>
    <row r="173" spans="2:16">
      <c r="B173" s="176">
        <f t="shared" si="18"/>
        <v>44445</v>
      </c>
      <c r="C173" s="209">
        <f t="shared" si="16"/>
        <v>9</v>
      </c>
      <c r="D173" s="208"/>
      <c r="E173" s="208"/>
      <c r="F173" s="208"/>
      <c r="G173" s="625" t="e">
        <f t="shared" si="19"/>
        <v>#DIV/0!</v>
      </c>
      <c r="H173" s="464" t="e">
        <f t="shared" si="20"/>
        <v>#DIV/0!</v>
      </c>
      <c r="I173" s="464" t="e">
        <f>SUM($H$15:H173)</f>
        <v>#DIV/0!</v>
      </c>
      <c r="J173" s="207"/>
      <c r="K173" s="626" t="e">
        <f t="shared" si="21"/>
        <v>#N/A</v>
      </c>
      <c r="L173" s="627" t="e">
        <f t="shared" si="22"/>
        <v>#N/A</v>
      </c>
      <c r="M173" s="628" t="e">
        <f t="shared" si="23"/>
        <v>#N/A</v>
      </c>
      <c r="N173" s="464" t="e">
        <f>SUM($M$15:M173)</f>
        <v>#N/A</v>
      </c>
      <c r="O173" s="464" t="e">
        <f t="shared" si="17"/>
        <v>#DIV/0!</v>
      </c>
      <c r="P173" s="464" t="e">
        <f>SUM($O$15:O173)</f>
        <v>#DIV/0!</v>
      </c>
    </row>
    <row r="174" spans="2:16">
      <c r="B174" s="176">
        <f t="shared" si="18"/>
        <v>44446</v>
      </c>
      <c r="C174" s="209">
        <f t="shared" si="16"/>
        <v>9</v>
      </c>
      <c r="D174" s="208"/>
      <c r="E174" s="208"/>
      <c r="F174" s="208"/>
      <c r="G174" s="625" t="e">
        <f t="shared" si="19"/>
        <v>#DIV/0!</v>
      </c>
      <c r="H174" s="464" t="e">
        <f t="shared" si="20"/>
        <v>#DIV/0!</v>
      </c>
      <c r="I174" s="464" t="e">
        <f>SUM($H$15:H174)</f>
        <v>#DIV/0!</v>
      </c>
      <c r="J174" s="207"/>
      <c r="K174" s="626" t="e">
        <f t="shared" si="21"/>
        <v>#N/A</v>
      </c>
      <c r="L174" s="627" t="e">
        <f t="shared" si="22"/>
        <v>#N/A</v>
      </c>
      <c r="M174" s="628" t="e">
        <f t="shared" si="23"/>
        <v>#N/A</v>
      </c>
      <c r="N174" s="464" t="e">
        <f>SUM($M$15:M174)</f>
        <v>#N/A</v>
      </c>
      <c r="O174" s="464" t="e">
        <f t="shared" si="17"/>
        <v>#DIV/0!</v>
      </c>
      <c r="P174" s="464" t="e">
        <f>SUM($O$15:O174)</f>
        <v>#DIV/0!</v>
      </c>
    </row>
    <row r="175" spans="2:16">
      <c r="B175" s="176">
        <f t="shared" si="18"/>
        <v>44447</v>
      </c>
      <c r="C175" s="209">
        <f t="shared" si="16"/>
        <v>9</v>
      </c>
      <c r="D175" s="208"/>
      <c r="E175" s="208"/>
      <c r="F175" s="208"/>
      <c r="G175" s="625" t="e">
        <f t="shared" si="19"/>
        <v>#DIV/0!</v>
      </c>
      <c r="H175" s="464" t="e">
        <f t="shared" si="20"/>
        <v>#DIV/0!</v>
      </c>
      <c r="I175" s="464" t="e">
        <f>SUM($H$15:H175)</f>
        <v>#DIV/0!</v>
      </c>
      <c r="J175" s="207"/>
      <c r="K175" s="626" t="e">
        <f t="shared" si="21"/>
        <v>#N/A</v>
      </c>
      <c r="L175" s="627" t="e">
        <f t="shared" si="22"/>
        <v>#N/A</v>
      </c>
      <c r="M175" s="628" t="e">
        <f t="shared" si="23"/>
        <v>#N/A</v>
      </c>
      <c r="N175" s="464" t="e">
        <f>SUM($M$15:M175)</f>
        <v>#N/A</v>
      </c>
      <c r="O175" s="464" t="e">
        <f t="shared" si="17"/>
        <v>#DIV/0!</v>
      </c>
      <c r="P175" s="464" t="e">
        <f>SUM($O$15:O175)</f>
        <v>#DIV/0!</v>
      </c>
    </row>
    <row r="176" spans="2:16">
      <c r="B176" s="176">
        <f t="shared" si="18"/>
        <v>44448</v>
      </c>
      <c r="C176" s="209">
        <f t="shared" si="16"/>
        <v>9</v>
      </c>
      <c r="D176" s="208"/>
      <c r="E176" s="208"/>
      <c r="F176" s="208"/>
      <c r="G176" s="625" t="e">
        <f t="shared" si="19"/>
        <v>#DIV/0!</v>
      </c>
      <c r="H176" s="464" t="e">
        <f t="shared" si="20"/>
        <v>#DIV/0!</v>
      </c>
      <c r="I176" s="464" t="e">
        <f>SUM($H$15:H176)</f>
        <v>#DIV/0!</v>
      </c>
      <c r="J176" s="207"/>
      <c r="K176" s="626" t="e">
        <f t="shared" si="21"/>
        <v>#N/A</v>
      </c>
      <c r="L176" s="627" t="e">
        <f t="shared" si="22"/>
        <v>#N/A</v>
      </c>
      <c r="M176" s="628" t="e">
        <f t="shared" si="23"/>
        <v>#N/A</v>
      </c>
      <c r="N176" s="464" t="e">
        <f>SUM($M$15:M176)</f>
        <v>#N/A</v>
      </c>
      <c r="O176" s="464" t="e">
        <f t="shared" si="17"/>
        <v>#DIV/0!</v>
      </c>
      <c r="P176" s="464" t="e">
        <f>SUM($O$15:O176)</f>
        <v>#DIV/0!</v>
      </c>
    </row>
    <row r="177" spans="2:16">
      <c r="B177" s="176">
        <f t="shared" si="18"/>
        <v>44449</v>
      </c>
      <c r="C177" s="209">
        <f t="shared" si="16"/>
        <v>9</v>
      </c>
      <c r="D177" s="208"/>
      <c r="E177" s="208"/>
      <c r="F177" s="208"/>
      <c r="G177" s="625" t="e">
        <f t="shared" si="19"/>
        <v>#DIV/0!</v>
      </c>
      <c r="H177" s="464" t="e">
        <f t="shared" si="20"/>
        <v>#DIV/0!</v>
      </c>
      <c r="I177" s="464" t="e">
        <f>SUM($H$15:H177)</f>
        <v>#DIV/0!</v>
      </c>
      <c r="J177" s="207"/>
      <c r="K177" s="626" t="e">
        <f t="shared" si="21"/>
        <v>#N/A</v>
      </c>
      <c r="L177" s="627" t="e">
        <f t="shared" si="22"/>
        <v>#N/A</v>
      </c>
      <c r="M177" s="628" t="e">
        <f t="shared" si="23"/>
        <v>#N/A</v>
      </c>
      <c r="N177" s="464" t="e">
        <f>SUM($M$15:M177)</f>
        <v>#N/A</v>
      </c>
      <c r="O177" s="464" t="e">
        <f t="shared" si="17"/>
        <v>#DIV/0!</v>
      </c>
      <c r="P177" s="464" t="e">
        <f>SUM($O$15:O177)</f>
        <v>#DIV/0!</v>
      </c>
    </row>
    <row r="178" spans="2:16">
      <c r="B178" s="176">
        <f t="shared" si="18"/>
        <v>44450</v>
      </c>
      <c r="C178" s="209">
        <f t="shared" si="16"/>
        <v>9</v>
      </c>
      <c r="D178" s="208"/>
      <c r="E178" s="208"/>
      <c r="F178" s="208"/>
      <c r="G178" s="625" t="e">
        <f t="shared" si="19"/>
        <v>#DIV/0!</v>
      </c>
      <c r="H178" s="464" t="e">
        <f t="shared" si="20"/>
        <v>#DIV/0!</v>
      </c>
      <c r="I178" s="464" t="e">
        <f>SUM($H$15:H178)</f>
        <v>#DIV/0!</v>
      </c>
      <c r="J178" s="207"/>
      <c r="K178" s="626" t="e">
        <f t="shared" si="21"/>
        <v>#N/A</v>
      </c>
      <c r="L178" s="627" t="e">
        <f t="shared" si="22"/>
        <v>#N/A</v>
      </c>
      <c r="M178" s="628" t="e">
        <f t="shared" si="23"/>
        <v>#N/A</v>
      </c>
      <c r="N178" s="464" t="e">
        <f>SUM($M$15:M178)</f>
        <v>#N/A</v>
      </c>
      <c r="O178" s="464" t="e">
        <f t="shared" si="17"/>
        <v>#DIV/0!</v>
      </c>
      <c r="P178" s="464" t="e">
        <f>SUM($O$15:O178)</f>
        <v>#DIV/0!</v>
      </c>
    </row>
    <row r="179" spans="2:16">
      <c r="B179" s="176">
        <f t="shared" si="18"/>
        <v>44451</v>
      </c>
      <c r="C179" s="209">
        <f t="shared" si="16"/>
        <v>9</v>
      </c>
      <c r="D179" s="208"/>
      <c r="E179" s="208"/>
      <c r="F179" s="208"/>
      <c r="G179" s="625" t="e">
        <f t="shared" si="19"/>
        <v>#DIV/0!</v>
      </c>
      <c r="H179" s="464" t="e">
        <f t="shared" si="20"/>
        <v>#DIV/0!</v>
      </c>
      <c r="I179" s="464" t="e">
        <f>SUM($H$15:H179)</f>
        <v>#DIV/0!</v>
      </c>
      <c r="J179" s="207"/>
      <c r="K179" s="626" t="e">
        <f t="shared" si="21"/>
        <v>#N/A</v>
      </c>
      <c r="L179" s="627" t="e">
        <f t="shared" si="22"/>
        <v>#N/A</v>
      </c>
      <c r="M179" s="628" t="e">
        <f t="shared" si="23"/>
        <v>#N/A</v>
      </c>
      <c r="N179" s="464" t="e">
        <f>SUM($M$15:M179)</f>
        <v>#N/A</v>
      </c>
      <c r="O179" s="464" t="e">
        <f t="shared" si="17"/>
        <v>#DIV/0!</v>
      </c>
      <c r="P179" s="464" t="e">
        <f>SUM($O$15:O179)</f>
        <v>#DIV/0!</v>
      </c>
    </row>
    <row r="180" spans="2:16">
      <c r="B180" s="176">
        <f t="shared" si="18"/>
        <v>44452</v>
      </c>
      <c r="C180" s="209">
        <f t="shared" si="16"/>
        <v>9</v>
      </c>
      <c r="D180" s="208"/>
      <c r="E180" s="208"/>
      <c r="F180" s="208"/>
      <c r="G180" s="625" t="e">
        <f t="shared" si="19"/>
        <v>#DIV/0!</v>
      </c>
      <c r="H180" s="464" t="e">
        <f t="shared" si="20"/>
        <v>#DIV/0!</v>
      </c>
      <c r="I180" s="464" t="e">
        <f>SUM($H$15:H180)</f>
        <v>#DIV/0!</v>
      </c>
      <c r="J180" s="207"/>
      <c r="K180" s="626" t="e">
        <f t="shared" si="21"/>
        <v>#N/A</v>
      </c>
      <c r="L180" s="627" t="e">
        <f t="shared" si="22"/>
        <v>#N/A</v>
      </c>
      <c r="M180" s="628" t="e">
        <f t="shared" si="23"/>
        <v>#N/A</v>
      </c>
      <c r="N180" s="464" t="e">
        <f>SUM($M$15:M180)</f>
        <v>#N/A</v>
      </c>
      <c r="O180" s="464" t="e">
        <f t="shared" si="17"/>
        <v>#DIV/0!</v>
      </c>
      <c r="P180" s="464" t="e">
        <f>SUM($O$15:O180)</f>
        <v>#DIV/0!</v>
      </c>
    </row>
    <row r="181" spans="2:16">
      <c r="B181" s="176">
        <f t="shared" si="18"/>
        <v>44453</v>
      </c>
      <c r="C181" s="209">
        <f t="shared" si="16"/>
        <v>9</v>
      </c>
      <c r="D181" s="208"/>
      <c r="E181" s="208"/>
      <c r="F181" s="208"/>
      <c r="G181" s="625" t="e">
        <f t="shared" si="19"/>
        <v>#DIV/0!</v>
      </c>
      <c r="H181" s="464" t="e">
        <f t="shared" si="20"/>
        <v>#DIV/0!</v>
      </c>
      <c r="I181" s="464" t="e">
        <f>SUM($H$15:H181)</f>
        <v>#DIV/0!</v>
      </c>
      <c r="J181" s="207"/>
      <c r="K181" s="626" t="e">
        <f t="shared" si="21"/>
        <v>#N/A</v>
      </c>
      <c r="L181" s="627" t="e">
        <f t="shared" si="22"/>
        <v>#N/A</v>
      </c>
      <c r="M181" s="628" t="e">
        <f t="shared" si="23"/>
        <v>#N/A</v>
      </c>
      <c r="N181" s="464" t="e">
        <f>SUM($M$15:M181)</f>
        <v>#N/A</v>
      </c>
      <c r="O181" s="464" t="e">
        <f t="shared" si="17"/>
        <v>#DIV/0!</v>
      </c>
      <c r="P181" s="464" t="e">
        <f>SUM($O$15:O181)</f>
        <v>#DIV/0!</v>
      </c>
    </row>
    <row r="182" spans="2:16">
      <c r="B182" s="176">
        <f t="shared" si="18"/>
        <v>44454</v>
      </c>
      <c r="C182" s="209">
        <f t="shared" si="16"/>
        <v>9</v>
      </c>
      <c r="D182" s="208"/>
      <c r="E182" s="208"/>
      <c r="F182" s="208"/>
      <c r="G182" s="625" t="e">
        <f t="shared" si="19"/>
        <v>#DIV/0!</v>
      </c>
      <c r="H182" s="464" t="e">
        <f t="shared" si="20"/>
        <v>#DIV/0!</v>
      </c>
      <c r="I182" s="464" t="e">
        <f>SUM($H$15:H182)</f>
        <v>#DIV/0!</v>
      </c>
      <c r="J182" s="207"/>
      <c r="K182" s="626" t="e">
        <f t="shared" si="21"/>
        <v>#N/A</v>
      </c>
      <c r="L182" s="627" t="e">
        <f t="shared" si="22"/>
        <v>#N/A</v>
      </c>
      <c r="M182" s="628" t="e">
        <f t="shared" si="23"/>
        <v>#N/A</v>
      </c>
      <c r="N182" s="464" t="e">
        <f>SUM($M$15:M182)</f>
        <v>#N/A</v>
      </c>
      <c r="O182" s="464" t="e">
        <f t="shared" si="17"/>
        <v>#DIV/0!</v>
      </c>
      <c r="P182" s="464" t="e">
        <f>SUM($O$15:O182)</f>
        <v>#DIV/0!</v>
      </c>
    </row>
    <row r="183" spans="2:16">
      <c r="B183" s="176">
        <f t="shared" si="18"/>
        <v>44455</v>
      </c>
      <c r="C183" s="209">
        <f t="shared" si="16"/>
        <v>9</v>
      </c>
      <c r="D183" s="208"/>
      <c r="E183" s="208"/>
      <c r="F183" s="208"/>
      <c r="G183" s="625" t="e">
        <f t="shared" si="19"/>
        <v>#DIV/0!</v>
      </c>
      <c r="H183" s="464" t="e">
        <f t="shared" si="20"/>
        <v>#DIV/0!</v>
      </c>
      <c r="I183" s="464" t="e">
        <f>SUM($H$15:H183)</f>
        <v>#DIV/0!</v>
      </c>
      <c r="J183" s="207"/>
      <c r="K183" s="626" t="e">
        <f t="shared" si="21"/>
        <v>#N/A</v>
      </c>
      <c r="L183" s="627" t="e">
        <f t="shared" si="22"/>
        <v>#N/A</v>
      </c>
      <c r="M183" s="628" t="e">
        <f t="shared" si="23"/>
        <v>#N/A</v>
      </c>
      <c r="N183" s="464" t="e">
        <f>SUM($M$15:M183)</f>
        <v>#N/A</v>
      </c>
      <c r="O183" s="464" t="e">
        <f t="shared" si="17"/>
        <v>#DIV/0!</v>
      </c>
      <c r="P183" s="464" t="e">
        <f>SUM($O$15:O183)</f>
        <v>#DIV/0!</v>
      </c>
    </row>
    <row r="184" spans="2:16">
      <c r="B184" s="176">
        <f t="shared" si="18"/>
        <v>44456</v>
      </c>
      <c r="C184" s="209">
        <f t="shared" si="16"/>
        <v>9</v>
      </c>
      <c r="D184" s="208"/>
      <c r="E184" s="208"/>
      <c r="F184" s="208"/>
      <c r="G184" s="625" t="e">
        <f t="shared" si="19"/>
        <v>#DIV/0!</v>
      </c>
      <c r="H184" s="464" t="e">
        <f t="shared" si="20"/>
        <v>#DIV/0!</v>
      </c>
      <c r="I184" s="464" t="e">
        <f>SUM($H$15:H184)</f>
        <v>#DIV/0!</v>
      </c>
      <c r="J184" s="207"/>
      <c r="K184" s="626" t="e">
        <f t="shared" si="21"/>
        <v>#N/A</v>
      </c>
      <c r="L184" s="627" t="e">
        <f t="shared" si="22"/>
        <v>#N/A</v>
      </c>
      <c r="M184" s="628" t="e">
        <f t="shared" si="23"/>
        <v>#N/A</v>
      </c>
      <c r="N184" s="464" t="e">
        <f>SUM($M$15:M184)</f>
        <v>#N/A</v>
      </c>
      <c r="O184" s="464" t="e">
        <f t="shared" si="17"/>
        <v>#DIV/0!</v>
      </c>
      <c r="P184" s="464" t="e">
        <f>SUM($O$15:O184)</f>
        <v>#DIV/0!</v>
      </c>
    </row>
    <row r="185" spans="2:16">
      <c r="B185" s="176">
        <f t="shared" si="18"/>
        <v>44457</v>
      </c>
      <c r="C185" s="209">
        <f t="shared" si="16"/>
        <v>9</v>
      </c>
      <c r="D185" s="208"/>
      <c r="E185" s="208"/>
      <c r="F185" s="208"/>
      <c r="G185" s="625" t="e">
        <f t="shared" si="19"/>
        <v>#DIV/0!</v>
      </c>
      <c r="H185" s="464" t="e">
        <f t="shared" si="20"/>
        <v>#DIV/0!</v>
      </c>
      <c r="I185" s="464" t="e">
        <f>SUM($H$15:H185)</f>
        <v>#DIV/0!</v>
      </c>
      <c r="J185" s="207"/>
      <c r="K185" s="626" t="e">
        <f t="shared" si="21"/>
        <v>#N/A</v>
      </c>
      <c r="L185" s="627" t="e">
        <f t="shared" si="22"/>
        <v>#N/A</v>
      </c>
      <c r="M185" s="628" t="e">
        <f t="shared" si="23"/>
        <v>#N/A</v>
      </c>
      <c r="N185" s="464" t="e">
        <f>SUM($M$15:M185)</f>
        <v>#N/A</v>
      </c>
      <c r="O185" s="464" t="e">
        <f t="shared" si="17"/>
        <v>#DIV/0!</v>
      </c>
      <c r="P185" s="464" t="e">
        <f>SUM($O$15:O185)</f>
        <v>#DIV/0!</v>
      </c>
    </row>
    <row r="186" spans="2:16">
      <c r="B186" s="176">
        <f t="shared" si="18"/>
        <v>44458</v>
      </c>
      <c r="C186" s="209">
        <f t="shared" si="16"/>
        <v>9</v>
      </c>
      <c r="D186" s="208"/>
      <c r="E186" s="208"/>
      <c r="F186" s="208"/>
      <c r="G186" s="625" t="e">
        <f t="shared" si="19"/>
        <v>#DIV/0!</v>
      </c>
      <c r="H186" s="464" t="e">
        <f t="shared" si="20"/>
        <v>#DIV/0!</v>
      </c>
      <c r="I186" s="464" t="e">
        <f>SUM($H$15:H186)</f>
        <v>#DIV/0!</v>
      </c>
      <c r="J186" s="207"/>
      <c r="K186" s="626" t="e">
        <f t="shared" si="21"/>
        <v>#N/A</v>
      </c>
      <c r="L186" s="627" t="e">
        <f t="shared" si="22"/>
        <v>#N/A</v>
      </c>
      <c r="M186" s="628" t="e">
        <f t="shared" si="23"/>
        <v>#N/A</v>
      </c>
      <c r="N186" s="464" t="e">
        <f>SUM($M$15:M186)</f>
        <v>#N/A</v>
      </c>
      <c r="O186" s="464" t="e">
        <f t="shared" si="17"/>
        <v>#DIV/0!</v>
      </c>
      <c r="P186" s="464" t="e">
        <f>SUM($O$15:O186)</f>
        <v>#DIV/0!</v>
      </c>
    </row>
    <row r="187" spans="2:16">
      <c r="B187" s="176">
        <f t="shared" si="18"/>
        <v>44459</v>
      </c>
      <c r="C187" s="209">
        <f t="shared" si="16"/>
        <v>9</v>
      </c>
      <c r="D187" s="208"/>
      <c r="E187" s="208"/>
      <c r="F187" s="208"/>
      <c r="G187" s="625" t="e">
        <f t="shared" si="19"/>
        <v>#DIV/0!</v>
      </c>
      <c r="H187" s="464" t="e">
        <f t="shared" si="20"/>
        <v>#DIV/0!</v>
      </c>
      <c r="I187" s="464" t="e">
        <f>SUM($H$15:H187)</f>
        <v>#DIV/0!</v>
      </c>
      <c r="J187" s="207"/>
      <c r="K187" s="626" t="e">
        <f t="shared" si="21"/>
        <v>#N/A</v>
      </c>
      <c r="L187" s="627" t="e">
        <f t="shared" si="22"/>
        <v>#N/A</v>
      </c>
      <c r="M187" s="628" t="e">
        <f t="shared" si="23"/>
        <v>#N/A</v>
      </c>
      <c r="N187" s="464" t="e">
        <f>SUM($M$15:M187)</f>
        <v>#N/A</v>
      </c>
      <c r="O187" s="464" t="e">
        <f t="shared" si="17"/>
        <v>#DIV/0!</v>
      </c>
      <c r="P187" s="464" t="e">
        <f>SUM($O$15:O187)</f>
        <v>#DIV/0!</v>
      </c>
    </row>
    <row r="188" spans="2:16">
      <c r="B188" s="176">
        <f t="shared" si="18"/>
        <v>44460</v>
      </c>
      <c r="C188" s="209">
        <f t="shared" si="16"/>
        <v>9</v>
      </c>
      <c r="D188" s="208"/>
      <c r="E188" s="208"/>
      <c r="F188" s="208"/>
      <c r="G188" s="625" t="e">
        <f t="shared" si="19"/>
        <v>#DIV/0!</v>
      </c>
      <c r="H188" s="464" t="e">
        <f t="shared" si="20"/>
        <v>#DIV/0!</v>
      </c>
      <c r="I188" s="464" t="e">
        <f>SUM($H$15:H188)</f>
        <v>#DIV/0!</v>
      </c>
      <c r="J188" s="207"/>
      <c r="K188" s="626" t="e">
        <f t="shared" si="21"/>
        <v>#N/A</v>
      </c>
      <c r="L188" s="627" t="e">
        <f t="shared" si="22"/>
        <v>#N/A</v>
      </c>
      <c r="M188" s="628" t="e">
        <f t="shared" si="23"/>
        <v>#N/A</v>
      </c>
      <c r="N188" s="464" t="e">
        <f>SUM($M$15:M188)</f>
        <v>#N/A</v>
      </c>
      <c r="O188" s="464" t="e">
        <f t="shared" si="17"/>
        <v>#DIV/0!</v>
      </c>
      <c r="P188" s="464" t="e">
        <f>SUM($O$15:O188)</f>
        <v>#DIV/0!</v>
      </c>
    </row>
    <row r="189" spans="2:16">
      <c r="B189" s="176">
        <f t="shared" si="18"/>
        <v>44461</v>
      </c>
      <c r="C189" s="209">
        <f t="shared" si="16"/>
        <v>9</v>
      </c>
      <c r="D189" s="208"/>
      <c r="E189" s="208"/>
      <c r="F189" s="208"/>
      <c r="G189" s="625" t="e">
        <f t="shared" si="19"/>
        <v>#DIV/0!</v>
      </c>
      <c r="H189" s="464" t="e">
        <f t="shared" si="20"/>
        <v>#DIV/0!</v>
      </c>
      <c r="I189" s="464" t="e">
        <f>SUM($H$15:H189)</f>
        <v>#DIV/0!</v>
      </c>
      <c r="J189" s="207"/>
      <c r="K189" s="626" t="e">
        <f t="shared" si="21"/>
        <v>#N/A</v>
      </c>
      <c r="L189" s="627" t="e">
        <f t="shared" si="22"/>
        <v>#N/A</v>
      </c>
      <c r="M189" s="628" t="e">
        <f t="shared" si="23"/>
        <v>#N/A</v>
      </c>
      <c r="N189" s="464" t="e">
        <f>SUM($M$15:M189)</f>
        <v>#N/A</v>
      </c>
      <c r="O189" s="464" t="e">
        <f t="shared" si="17"/>
        <v>#DIV/0!</v>
      </c>
      <c r="P189" s="464" t="e">
        <f>SUM($O$15:O189)</f>
        <v>#DIV/0!</v>
      </c>
    </row>
    <row r="190" spans="2:16">
      <c r="B190" s="176">
        <f t="shared" si="18"/>
        <v>44462</v>
      </c>
      <c r="C190" s="209">
        <f t="shared" si="16"/>
        <v>9</v>
      </c>
      <c r="D190" s="208"/>
      <c r="E190" s="208"/>
      <c r="F190" s="208"/>
      <c r="G190" s="625" t="e">
        <f t="shared" si="19"/>
        <v>#DIV/0!</v>
      </c>
      <c r="H190" s="464" t="e">
        <f t="shared" si="20"/>
        <v>#DIV/0!</v>
      </c>
      <c r="I190" s="464" t="e">
        <f>SUM($H$15:H190)</f>
        <v>#DIV/0!</v>
      </c>
      <c r="J190" s="207"/>
      <c r="K190" s="626" t="e">
        <f t="shared" si="21"/>
        <v>#N/A</v>
      </c>
      <c r="L190" s="627" t="e">
        <f t="shared" si="22"/>
        <v>#N/A</v>
      </c>
      <c r="M190" s="628" t="e">
        <f t="shared" si="23"/>
        <v>#N/A</v>
      </c>
      <c r="N190" s="464" t="e">
        <f>SUM($M$15:M190)</f>
        <v>#N/A</v>
      </c>
      <c r="O190" s="464" t="e">
        <f t="shared" si="17"/>
        <v>#DIV/0!</v>
      </c>
      <c r="P190" s="464" t="e">
        <f>SUM($O$15:O190)</f>
        <v>#DIV/0!</v>
      </c>
    </row>
    <row r="191" spans="2:16">
      <c r="B191" s="176">
        <f t="shared" si="18"/>
        <v>44463</v>
      </c>
      <c r="C191" s="209">
        <f t="shared" si="16"/>
        <v>9</v>
      </c>
      <c r="D191" s="208"/>
      <c r="E191" s="208"/>
      <c r="F191" s="208"/>
      <c r="G191" s="625" t="e">
        <f t="shared" si="19"/>
        <v>#DIV/0!</v>
      </c>
      <c r="H191" s="464" t="e">
        <f t="shared" si="20"/>
        <v>#DIV/0!</v>
      </c>
      <c r="I191" s="464" t="e">
        <f>SUM($H$15:H191)</f>
        <v>#DIV/0!</v>
      </c>
      <c r="J191" s="207"/>
      <c r="K191" s="626" t="e">
        <f t="shared" si="21"/>
        <v>#N/A</v>
      </c>
      <c r="L191" s="627" t="e">
        <f t="shared" si="22"/>
        <v>#N/A</v>
      </c>
      <c r="M191" s="628" t="e">
        <f t="shared" si="23"/>
        <v>#N/A</v>
      </c>
      <c r="N191" s="464" t="e">
        <f>SUM($M$15:M191)</f>
        <v>#N/A</v>
      </c>
      <c r="O191" s="464" t="e">
        <f t="shared" si="17"/>
        <v>#DIV/0!</v>
      </c>
      <c r="P191" s="464" t="e">
        <f>SUM($O$15:O191)</f>
        <v>#DIV/0!</v>
      </c>
    </row>
    <row r="192" spans="2:16">
      <c r="B192" s="176">
        <f t="shared" si="18"/>
        <v>44464</v>
      </c>
      <c r="C192" s="209">
        <f t="shared" si="16"/>
        <v>9</v>
      </c>
      <c r="D192" s="208"/>
      <c r="E192" s="208"/>
      <c r="F192" s="208"/>
      <c r="G192" s="625" t="e">
        <f t="shared" si="19"/>
        <v>#DIV/0!</v>
      </c>
      <c r="H192" s="464" t="e">
        <f t="shared" si="20"/>
        <v>#DIV/0!</v>
      </c>
      <c r="I192" s="464" t="e">
        <f>SUM($H$15:H192)</f>
        <v>#DIV/0!</v>
      </c>
      <c r="J192" s="207"/>
      <c r="K192" s="626" t="e">
        <f t="shared" si="21"/>
        <v>#N/A</v>
      </c>
      <c r="L192" s="627" t="e">
        <f t="shared" si="22"/>
        <v>#N/A</v>
      </c>
      <c r="M192" s="628" t="e">
        <f t="shared" si="23"/>
        <v>#N/A</v>
      </c>
      <c r="N192" s="464" t="e">
        <f>SUM($M$15:M192)</f>
        <v>#N/A</v>
      </c>
      <c r="O192" s="464" t="e">
        <f t="shared" si="17"/>
        <v>#DIV/0!</v>
      </c>
      <c r="P192" s="464" t="e">
        <f>SUM($O$15:O192)</f>
        <v>#DIV/0!</v>
      </c>
    </row>
    <row r="193" spans="2:16">
      <c r="B193" s="176">
        <f t="shared" si="18"/>
        <v>44465</v>
      </c>
      <c r="C193" s="209">
        <f t="shared" si="16"/>
        <v>9</v>
      </c>
      <c r="D193" s="208"/>
      <c r="E193" s="208"/>
      <c r="F193" s="208"/>
      <c r="G193" s="625" t="e">
        <f t="shared" si="19"/>
        <v>#DIV/0!</v>
      </c>
      <c r="H193" s="464" t="e">
        <f t="shared" si="20"/>
        <v>#DIV/0!</v>
      </c>
      <c r="I193" s="464" t="e">
        <f>SUM($H$15:H193)</f>
        <v>#DIV/0!</v>
      </c>
      <c r="J193" s="207"/>
      <c r="K193" s="626" t="e">
        <f t="shared" si="21"/>
        <v>#N/A</v>
      </c>
      <c r="L193" s="627" t="e">
        <f t="shared" si="22"/>
        <v>#N/A</v>
      </c>
      <c r="M193" s="628" t="e">
        <f t="shared" si="23"/>
        <v>#N/A</v>
      </c>
      <c r="N193" s="464" t="e">
        <f>SUM($M$15:M193)</f>
        <v>#N/A</v>
      </c>
      <c r="O193" s="464" t="e">
        <f t="shared" si="17"/>
        <v>#DIV/0!</v>
      </c>
      <c r="P193" s="464" t="e">
        <f>SUM($O$15:O193)</f>
        <v>#DIV/0!</v>
      </c>
    </row>
    <row r="194" spans="2:16">
      <c r="B194" s="176">
        <f t="shared" si="18"/>
        <v>44466</v>
      </c>
      <c r="C194" s="209">
        <f t="shared" si="16"/>
        <v>9</v>
      </c>
      <c r="D194" s="208"/>
      <c r="E194" s="208"/>
      <c r="F194" s="208"/>
      <c r="G194" s="625" t="e">
        <f t="shared" si="19"/>
        <v>#DIV/0!</v>
      </c>
      <c r="H194" s="464" t="e">
        <f t="shared" si="20"/>
        <v>#DIV/0!</v>
      </c>
      <c r="I194" s="464" t="e">
        <f>SUM($H$15:H194)</f>
        <v>#DIV/0!</v>
      </c>
      <c r="J194" s="207"/>
      <c r="K194" s="626" t="e">
        <f t="shared" si="21"/>
        <v>#N/A</v>
      </c>
      <c r="L194" s="627" t="e">
        <f t="shared" si="22"/>
        <v>#N/A</v>
      </c>
      <c r="M194" s="628" t="e">
        <f t="shared" si="23"/>
        <v>#N/A</v>
      </c>
      <c r="N194" s="464" t="e">
        <f>SUM($M$15:M194)</f>
        <v>#N/A</v>
      </c>
      <c r="O194" s="464" t="e">
        <f t="shared" si="17"/>
        <v>#DIV/0!</v>
      </c>
      <c r="P194" s="464" t="e">
        <f>SUM($O$15:O194)</f>
        <v>#DIV/0!</v>
      </c>
    </row>
    <row r="195" spans="2:16">
      <c r="B195" s="176">
        <f t="shared" si="18"/>
        <v>44467</v>
      </c>
      <c r="C195" s="209">
        <f t="shared" si="16"/>
        <v>9</v>
      </c>
      <c r="D195" s="208"/>
      <c r="E195" s="208"/>
      <c r="F195" s="208"/>
      <c r="G195" s="625" t="e">
        <f t="shared" si="19"/>
        <v>#DIV/0!</v>
      </c>
      <c r="H195" s="464" t="e">
        <f t="shared" si="20"/>
        <v>#DIV/0!</v>
      </c>
      <c r="I195" s="464" t="e">
        <f>SUM($H$15:H195)</f>
        <v>#DIV/0!</v>
      </c>
      <c r="J195" s="207"/>
      <c r="K195" s="626" t="e">
        <f t="shared" si="21"/>
        <v>#N/A</v>
      </c>
      <c r="L195" s="627" t="e">
        <f t="shared" si="22"/>
        <v>#N/A</v>
      </c>
      <c r="M195" s="628" t="e">
        <f t="shared" si="23"/>
        <v>#N/A</v>
      </c>
      <c r="N195" s="464" t="e">
        <f>SUM($M$15:M195)</f>
        <v>#N/A</v>
      </c>
      <c r="O195" s="464" t="e">
        <f t="shared" si="17"/>
        <v>#DIV/0!</v>
      </c>
      <c r="P195" s="464" t="e">
        <f>SUM($O$15:O195)</f>
        <v>#DIV/0!</v>
      </c>
    </row>
    <row r="196" spans="2:16">
      <c r="B196" s="176">
        <f t="shared" si="18"/>
        <v>44468</v>
      </c>
      <c r="C196" s="209">
        <f t="shared" si="16"/>
        <v>9</v>
      </c>
      <c r="D196" s="208"/>
      <c r="E196" s="208"/>
      <c r="F196" s="208"/>
      <c r="G196" s="625" t="e">
        <f t="shared" si="19"/>
        <v>#DIV/0!</v>
      </c>
      <c r="H196" s="464" t="e">
        <f t="shared" si="20"/>
        <v>#DIV/0!</v>
      </c>
      <c r="I196" s="464" t="e">
        <f>SUM($H$15:H196)</f>
        <v>#DIV/0!</v>
      </c>
      <c r="J196" s="207"/>
      <c r="K196" s="626" t="e">
        <f t="shared" si="21"/>
        <v>#N/A</v>
      </c>
      <c r="L196" s="627" t="e">
        <f t="shared" si="22"/>
        <v>#N/A</v>
      </c>
      <c r="M196" s="628" t="e">
        <f t="shared" si="23"/>
        <v>#N/A</v>
      </c>
      <c r="N196" s="464" t="e">
        <f>SUM($M$15:M196)</f>
        <v>#N/A</v>
      </c>
      <c r="O196" s="464" t="e">
        <f t="shared" si="17"/>
        <v>#DIV/0!</v>
      </c>
      <c r="P196" s="464" t="e">
        <f>SUM($O$15:O196)</f>
        <v>#DIV/0!</v>
      </c>
    </row>
    <row r="197" spans="2:16">
      <c r="B197" s="176">
        <f t="shared" si="18"/>
        <v>44469</v>
      </c>
      <c r="C197" s="209">
        <f t="shared" si="16"/>
        <v>9</v>
      </c>
      <c r="D197" s="208"/>
      <c r="E197" s="208"/>
      <c r="F197" s="208"/>
      <c r="G197" s="625" t="e">
        <f t="shared" si="19"/>
        <v>#DIV/0!</v>
      </c>
      <c r="H197" s="464" t="e">
        <f t="shared" si="20"/>
        <v>#DIV/0!</v>
      </c>
      <c r="I197" s="464" t="e">
        <f>SUM($H$15:H197)</f>
        <v>#DIV/0!</v>
      </c>
      <c r="J197" s="207"/>
      <c r="K197" s="626" t="e">
        <f t="shared" si="21"/>
        <v>#N/A</v>
      </c>
      <c r="L197" s="627" t="e">
        <f t="shared" si="22"/>
        <v>#N/A</v>
      </c>
      <c r="M197" s="628" t="e">
        <f t="shared" si="23"/>
        <v>#N/A</v>
      </c>
      <c r="N197" s="464" t="e">
        <f>SUM($M$15:M197)</f>
        <v>#N/A</v>
      </c>
      <c r="O197" s="464" t="e">
        <f t="shared" si="17"/>
        <v>#DIV/0!</v>
      </c>
      <c r="P197" s="464" t="e">
        <f>SUM($O$15:O197)</f>
        <v>#DIV/0!</v>
      </c>
    </row>
    <row r="198" spans="2:16">
      <c r="B198" s="176">
        <f t="shared" si="18"/>
        <v>44470</v>
      </c>
      <c r="C198" s="209">
        <f t="shared" si="16"/>
        <v>10</v>
      </c>
      <c r="D198" s="208"/>
      <c r="E198" s="208"/>
      <c r="F198" s="208"/>
      <c r="G198" s="625" t="e">
        <f t="shared" si="19"/>
        <v>#DIV/0!</v>
      </c>
      <c r="H198" s="464" t="e">
        <f t="shared" si="20"/>
        <v>#DIV/0!</v>
      </c>
      <c r="I198" s="464" t="e">
        <f>SUM($H$15:H198)</f>
        <v>#DIV/0!</v>
      </c>
      <c r="J198" s="207"/>
      <c r="K198" s="626" t="e">
        <f t="shared" si="21"/>
        <v>#N/A</v>
      </c>
      <c r="L198" s="630" t="e">
        <f t="shared" si="22"/>
        <v>#N/A</v>
      </c>
      <c r="M198" s="631" t="e">
        <f>IF(AND(L198&gt;=0, L198&lt;=1.5), 3200, IF(AND(L198&gt;1.5,L198&lt;2.8),3200*((2.8-L198)/1.3),IF(AND(L198&gt;=2.8, L198&lt;=5.6), 0, IF(AND(L198&gt;5.6,L198&lt;15),-24000*((5.6-L198)/-9.4), -24000))))</f>
        <v>#N/A</v>
      </c>
      <c r="N198" s="464" t="e">
        <f>SUM($M$15:M198)</f>
        <v>#N/A</v>
      </c>
      <c r="O198" s="464" t="e">
        <f t="shared" si="17"/>
        <v>#DIV/0!</v>
      </c>
      <c r="P198" s="464" t="e">
        <f>SUM($O$15:O198)</f>
        <v>#DIV/0!</v>
      </c>
    </row>
    <row r="199" spans="2:16">
      <c r="B199" s="176">
        <f t="shared" si="18"/>
        <v>44471</v>
      </c>
      <c r="C199" s="209">
        <f t="shared" si="16"/>
        <v>10</v>
      </c>
      <c r="D199" s="208"/>
      <c r="E199" s="208"/>
      <c r="F199" s="208"/>
      <c r="G199" s="625" t="e">
        <f t="shared" si="19"/>
        <v>#DIV/0!</v>
      </c>
      <c r="H199" s="464" t="e">
        <f t="shared" si="20"/>
        <v>#DIV/0!</v>
      </c>
      <c r="I199" s="464" t="e">
        <f>SUM($H$15:H199)</f>
        <v>#DIV/0!</v>
      </c>
      <c r="J199" s="207"/>
      <c r="K199" s="626" t="e">
        <f t="shared" si="21"/>
        <v>#N/A</v>
      </c>
      <c r="L199" s="630" t="e">
        <f t="shared" si="22"/>
        <v>#N/A</v>
      </c>
      <c r="M199" s="631" t="e">
        <f t="shared" ref="M199:M258" si="24">IF(AND(L199&gt;=0, L199&lt;=1.5), 3200, IF(AND(L199&gt;1.5,L199&lt;2.8),3200*((2.8-L199)/1.3),IF(AND(L199&gt;=2.8, L199&lt;=5.6), 0, IF(AND(L199&gt;5.6,L199&lt;15),-24000*((5.6-L199)/-9.4), -24000))))</f>
        <v>#N/A</v>
      </c>
      <c r="N199" s="464" t="e">
        <f>SUM($M$15:M199)</f>
        <v>#N/A</v>
      </c>
      <c r="O199" s="464" t="e">
        <f t="shared" si="17"/>
        <v>#DIV/0!</v>
      </c>
      <c r="P199" s="464" t="e">
        <f>SUM($O$15:O199)</f>
        <v>#DIV/0!</v>
      </c>
    </row>
    <row r="200" spans="2:16">
      <c r="B200" s="176">
        <f t="shared" si="18"/>
        <v>44472</v>
      </c>
      <c r="C200" s="209">
        <f t="shared" si="16"/>
        <v>10</v>
      </c>
      <c r="D200" s="208"/>
      <c r="E200" s="208"/>
      <c r="F200" s="208"/>
      <c r="G200" s="625" t="e">
        <f t="shared" si="19"/>
        <v>#DIV/0!</v>
      </c>
      <c r="H200" s="464" t="e">
        <f t="shared" si="20"/>
        <v>#DIV/0!</v>
      </c>
      <c r="I200" s="464" t="e">
        <f>SUM($H$15:H200)</f>
        <v>#DIV/0!</v>
      </c>
      <c r="J200" s="207"/>
      <c r="K200" s="626" t="e">
        <f t="shared" si="21"/>
        <v>#N/A</v>
      </c>
      <c r="L200" s="630" t="e">
        <f t="shared" si="22"/>
        <v>#N/A</v>
      </c>
      <c r="M200" s="631" t="e">
        <f t="shared" si="24"/>
        <v>#N/A</v>
      </c>
      <c r="N200" s="464" t="e">
        <f>SUM($M$15:M200)</f>
        <v>#N/A</v>
      </c>
      <c r="O200" s="464" t="e">
        <f t="shared" si="17"/>
        <v>#DIV/0!</v>
      </c>
      <c r="P200" s="464" t="e">
        <f>SUM($O$15:O200)</f>
        <v>#DIV/0!</v>
      </c>
    </row>
    <row r="201" spans="2:16">
      <c r="B201" s="176">
        <f t="shared" si="18"/>
        <v>44473</v>
      </c>
      <c r="C201" s="209">
        <f t="shared" si="16"/>
        <v>10</v>
      </c>
      <c r="D201" s="208"/>
      <c r="E201" s="208"/>
      <c r="F201" s="208"/>
      <c r="G201" s="625" t="e">
        <f t="shared" si="19"/>
        <v>#DIV/0!</v>
      </c>
      <c r="H201" s="464" t="e">
        <f t="shared" si="20"/>
        <v>#DIV/0!</v>
      </c>
      <c r="I201" s="464" t="e">
        <f>SUM($H$15:H201)</f>
        <v>#DIV/0!</v>
      </c>
      <c r="J201" s="207"/>
      <c r="K201" s="626" t="e">
        <f t="shared" si="21"/>
        <v>#N/A</v>
      </c>
      <c r="L201" s="630" t="e">
        <f t="shared" si="22"/>
        <v>#N/A</v>
      </c>
      <c r="M201" s="631" t="e">
        <f t="shared" si="24"/>
        <v>#N/A</v>
      </c>
      <c r="N201" s="464" t="e">
        <f>SUM($M$15:M201)</f>
        <v>#N/A</v>
      </c>
      <c r="O201" s="464" t="e">
        <f t="shared" si="17"/>
        <v>#DIV/0!</v>
      </c>
      <c r="P201" s="464" t="e">
        <f>SUM($O$15:O201)</f>
        <v>#DIV/0!</v>
      </c>
    </row>
    <row r="202" spans="2:16">
      <c r="B202" s="176">
        <f t="shared" si="18"/>
        <v>44474</v>
      </c>
      <c r="C202" s="209">
        <f t="shared" si="16"/>
        <v>10</v>
      </c>
      <c r="D202" s="208"/>
      <c r="E202" s="208"/>
      <c r="F202" s="208"/>
      <c r="G202" s="625" t="e">
        <f t="shared" si="19"/>
        <v>#DIV/0!</v>
      </c>
      <c r="H202" s="464" t="e">
        <f t="shared" si="20"/>
        <v>#DIV/0!</v>
      </c>
      <c r="I202" s="464" t="e">
        <f>SUM($H$15:H202)</f>
        <v>#DIV/0!</v>
      </c>
      <c r="J202" s="207"/>
      <c r="K202" s="626" t="e">
        <f t="shared" si="21"/>
        <v>#N/A</v>
      </c>
      <c r="L202" s="630" t="e">
        <f t="shared" si="22"/>
        <v>#N/A</v>
      </c>
      <c r="M202" s="631" t="e">
        <f t="shared" si="24"/>
        <v>#N/A</v>
      </c>
      <c r="N202" s="464" t="e">
        <f>SUM($M$15:M202)</f>
        <v>#N/A</v>
      </c>
      <c r="O202" s="464" t="e">
        <f t="shared" si="17"/>
        <v>#DIV/0!</v>
      </c>
      <c r="P202" s="464" t="e">
        <f>SUM($O$15:O202)</f>
        <v>#DIV/0!</v>
      </c>
    </row>
    <row r="203" spans="2:16">
      <c r="B203" s="176">
        <f t="shared" si="18"/>
        <v>44475</v>
      </c>
      <c r="C203" s="209">
        <f t="shared" si="16"/>
        <v>10</v>
      </c>
      <c r="D203" s="208"/>
      <c r="E203" s="208"/>
      <c r="F203" s="208"/>
      <c r="G203" s="625" t="e">
        <f t="shared" si="19"/>
        <v>#DIV/0!</v>
      </c>
      <c r="H203" s="464" t="e">
        <f t="shared" si="20"/>
        <v>#DIV/0!</v>
      </c>
      <c r="I203" s="464" t="e">
        <f>SUM($H$15:H203)</f>
        <v>#DIV/0!</v>
      </c>
      <c r="J203" s="207"/>
      <c r="K203" s="626" t="e">
        <f t="shared" si="21"/>
        <v>#N/A</v>
      </c>
      <c r="L203" s="630" t="e">
        <f t="shared" si="22"/>
        <v>#N/A</v>
      </c>
      <c r="M203" s="631" t="e">
        <f t="shared" si="24"/>
        <v>#N/A</v>
      </c>
      <c r="N203" s="464" t="e">
        <f>SUM($M$15:M203)</f>
        <v>#N/A</v>
      </c>
      <c r="O203" s="464" t="e">
        <f t="shared" si="17"/>
        <v>#DIV/0!</v>
      </c>
      <c r="P203" s="464" t="e">
        <f>SUM($O$15:O203)</f>
        <v>#DIV/0!</v>
      </c>
    </row>
    <row r="204" spans="2:16">
      <c r="B204" s="176">
        <f t="shared" si="18"/>
        <v>44476</v>
      </c>
      <c r="C204" s="209">
        <f t="shared" si="16"/>
        <v>10</v>
      </c>
      <c r="D204" s="208"/>
      <c r="E204" s="208"/>
      <c r="F204" s="208"/>
      <c r="G204" s="625" t="e">
        <f t="shared" si="19"/>
        <v>#DIV/0!</v>
      </c>
      <c r="H204" s="464" t="e">
        <f t="shared" si="20"/>
        <v>#DIV/0!</v>
      </c>
      <c r="I204" s="464" t="e">
        <f>SUM($H$15:H204)</f>
        <v>#DIV/0!</v>
      </c>
      <c r="J204" s="207"/>
      <c r="K204" s="626" t="e">
        <f t="shared" si="21"/>
        <v>#N/A</v>
      </c>
      <c r="L204" s="630" t="e">
        <f t="shared" si="22"/>
        <v>#N/A</v>
      </c>
      <c r="M204" s="631" t="e">
        <f t="shared" si="24"/>
        <v>#N/A</v>
      </c>
      <c r="N204" s="464" t="e">
        <f>SUM($M$15:M204)</f>
        <v>#N/A</v>
      </c>
      <c r="O204" s="464" t="e">
        <f t="shared" si="17"/>
        <v>#DIV/0!</v>
      </c>
      <c r="P204" s="464" t="e">
        <f>SUM($O$15:O204)</f>
        <v>#DIV/0!</v>
      </c>
    </row>
    <row r="205" spans="2:16">
      <c r="B205" s="176">
        <f t="shared" si="18"/>
        <v>44477</v>
      </c>
      <c r="C205" s="209">
        <f t="shared" si="16"/>
        <v>10</v>
      </c>
      <c r="D205" s="208"/>
      <c r="E205" s="208"/>
      <c r="F205" s="208"/>
      <c r="G205" s="625" t="e">
        <f t="shared" si="19"/>
        <v>#DIV/0!</v>
      </c>
      <c r="H205" s="464" t="e">
        <f t="shared" si="20"/>
        <v>#DIV/0!</v>
      </c>
      <c r="I205" s="464" t="e">
        <f>SUM($H$15:H205)</f>
        <v>#DIV/0!</v>
      </c>
      <c r="J205" s="207"/>
      <c r="K205" s="626" t="e">
        <f t="shared" si="21"/>
        <v>#N/A</v>
      </c>
      <c r="L205" s="630" t="e">
        <f t="shared" si="22"/>
        <v>#N/A</v>
      </c>
      <c r="M205" s="631" t="e">
        <f t="shared" si="24"/>
        <v>#N/A</v>
      </c>
      <c r="N205" s="464" t="e">
        <f>SUM($M$15:M205)</f>
        <v>#N/A</v>
      </c>
      <c r="O205" s="464" t="e">
        <f t="shared" si="17"/>
        <v>#DIV/0!</v>
      </c>
      <c r="P205" s="464" t="e">
        <f>SUM($O$15:O205)</f>
        <v>#DIV/0!</v>
      </c>
    </row>
    <row r="206" spans="2:16">
      <c r="B206" s="176">
        <f t="shared" si="18"/>
        <v>44478</v>
      </c>
      <c r="C206" s="209">
        <f t="shared" si="16"/>
        <v>10</v>
      </c>
      <c r="D206" s="208"/>
      <c r="E206" s="208"/>
      <c r="F206" s="208"/>
      <c r="G206" s="625" t="e">
        <f t="shared" si="19"/>
        <v>#DIV/0!</v>
      </c>
      <c r="H206" s="464" t="e">
        <f t="shared" si="20"/>
        <v>#DIV/0!</v>
      </c>
      <c r="I206" s="464" t="e">
        <f>SUM($H$15:H206)</f>
        <v>#DIV/0!</v>
      </c>
      <c r="J206" s="207"/>
      <c r="K206" s="626" t="e">
        <f t="shared" si="21"/>
        <v>#N/A</v>
      </c>
      <c r="L206" s="630" t="e">
        <f t="shared" si="22"/>
        <v>#N/A</v>
      </c>
      <c r="M206" s="631" t="e">
        <f t="shared" si="24"/>
        <v>#N/A</v>
      </c>
      <c r="N206" s="464" t="e">
        <f>SUM($M$15:M206)</f>
        <v>#N/A</v>
      </c>
      <c r="O206" s="464" t="e">
        <f t="shared" si="17"/>
        <v>#DIV/0!</v>
      </c>
      <c r="P206" s="464" t="e">
        <f>SUM($O$15:O206)</f>
        <v>#DIV/0!</v>
      </c>
    </row>
    <row r="207" spans="2:16">
      <c r="B207" s="176">
        <f t="shared" si="18"/>
        <v>44479</v>
      </c>
      <c r="C207" s="209">
        <f t="shared" ref="C207:C270" si="25">MONTH(B207)</f>
        <v>10</v>
      </c>
      <c r="D207" s="208"/>
      <c r="E207" s="208"/>
      <c r="F207" s="208"/>
      <c r="G207" s="625" t="e">
        <f t="shared" si="19"/>
        <v>#DIV/0!</v>
      </c>
      <c r="H207" s="464" t="e">
        <f t="shared" si="20"/>
        <v>#DIV/0!</v>
      </c>
      <c r="I207" s="464" t="e">
        <f>SUM($H$15:H207)</f>
        <v>#DIV/0!</v>
      </c>
      <c r="J207" s="207"/>
      <c r="K207" s="626" t="e">
        <f t="shared" si="21"/>
        <v>#N/A</v>
      </c>
      <c r="L207" s="630" t="e">
        <f t="shared" si="22"/>
        <v>#N/A</v>
      </c>
      <c r="M207" s="631" t="e">
        <f t="shared" si="24"/>
        <v>#N/A</v>
      </c>
      <c r="N207" s="464" t="e">
        <f>SUM($M$15:M207)</f>
        <v>#N/A</v>
      </c>
      <c r="O207" s="464" t="e">
        <f t="shared" ref="O207:O270" si="26">SUM(H207+M207)</f>
        <v>#DIV/0!</v>
      </c>
      <c r="P207" s="464" t="e">
        <f>SUM($O$15:O207)</f>
        <v>#DIV/0!</v>
      </c>
    </row>
    <row r="208" spans="2:16">
      <c r="B208" s="176">
        <f t="shared" ref="B208:B271" si="27">B207+1</f>
        <v>44480</v>
      </c>
      <c r="C208" s="209">
        <f t="shared" si="25"/>
        <v>10</v>
      </c>
      <c r="D208" s="208"/>
      <c r="E208" s="208"/>
      <c r="F208" s="208"/>
      <c r="G208" s="625" t="e">
        <f t="shared" ref="G208:G271" si="28">((E208-F208)/D208)*100</f>
        <v>#DIV/0!</v>
      </c>
      <c r="H208" s="464" t="e">
        <f t="shared" ref="H208:H271" si="29">IF(AND(G208&gt;=0,G208&lt;=5),1200-(G208*800),IF(AND(G208&gt;5,G208&lt;75.667),-2800-(300*(G208-5)),-24000))</f>
        <v>#DIV/0!</v>
      </c>
      <c r="I208" s="464" t="e">
        <f>SUM($H$15:H208)</f>
        <v>#DIV/0!</v>
      </c>
      <c r="J208" s="207"/>
      <c r="K208" s="626" t="e">
        <f t="shared" ref="K208:K271" si="30">IF(ISBLANK(J209),#N/A,J209)</f>
        <v>#N/A</v>
      </c>
      <c r="L208" s="630" t="e">
        <f t="shared" ref="L208:L271" si="31">MAX((J208-K208),(K208-J208))</f>
        <v>#N/A</v>
      </c>
      <c r="M208" s="631" t="e">
        <f t="shared" si="24"/>
        <v>#N/A</v>
      </c>
      <c r="N208" s="464" t="e">
        <f>SUM($M$15:M208)</f>
        <v>#N/A</v>
      </c>
      <c r="O208" s="464" t="e">
        <f t="shared" si="26"/>
        <v>#DIV/0!</v>
      </c>
      <c r="P208" s="464" t="e">
        <f>SUM($O$15:O208)</f>
        <v>#DIV/0!</v>
      </c>
    </row>
    <row r="209" spans="2:16">
      <c r="B209" s="176">
        <f t="shared" si="27"/>
        <v>44481</v>
      </c>
      <c r="C209" s="209">
        <f t="shared" si="25"/>
        <v>10</v>
      </c>
      <c r="D209" s="208"/>
      <c r="E209" s="208"/>
      <c r="F209" s="208"/>
      <c r="G209" s="625" t="e">
        <f t="shared" si="28"/>
        <v>#DIV/0!</v>
      </c>
      <c r="H209" s="464" t="e">
        <f t="shared" si="29"/>
        <v>#DIV/0!</v>
      </c>
      <c r="I209" s="464" t="e">
        <f>SUM($H$15:H209)</f>
        <v>#DIV/0!</v>
      </c>
      <c r="J209" s="207"/>
      <c r="K209" s="626" t="e">
        <f t="shared" si="30"/>
        <v>#N/A</v>
      </c>
      <c r="L209" s="630" t="e">
        <f t="shared" si="31"/>
        <v>#N/A</v>
      </c>
      <c r="M209" s="631" t="e">
        <f t="shared" si="24"/>
        <v>#N/A</v>
      </c>
      <c r="N209" s="464" t="e">
        <f>SUM($M$15:M209)</f>
        <v>#N/A</v>
      </c>
      <c r="O209" s="464" t="e">
        <f t="shared" si="26"/>
        <v>#DIV/0!</v>
      </c>
      <c r="P209" s="464" t="e">
        <f>SUM($O$15:O209)</f>
        <v>#DIV/0!</v>
      </c>
    </row>
    <row r="210" spans="2:16">
      <c r="B210" s="176">
        <f t="shared" si="27"/>
        <v>44482</v>
      </c>
      <c r="C210" s="209">
        <f t="shared" si="25"/>
        <v>10</v>
      </c>
      <c r="D210" s="208"/>
      <c r="E210" s="208"/>
      <c r="F210" s="208"/>
      <c r="G210" s="625" t="e">
        <f t="shared" si="28"/>
        <v>#DIV/0!</v>
      </c>
      <c r="H210" s="464" t="e">
        <f t="shared" si="29"/>
        <v>#DIV/0!</v>
      </c>
      <c r="I210" s="464" t="e">
        <f>SUM($H$15:H210)</f>
        <v>#DIV/0!</v>
      </c>
      <c r="J210" s="207"/>
      <c r="K210" s="626" t="e">
        <f t="shared" si="30"/>
        <v>#N/A</v>
      </c>
      <c r="L210" s="630" t="e">
        <f t="shared" si="31"/>
        <v>#N/A</v>
      </c>
      <c r="M210" s="631" t="e">
        <f t="shared" si="24"/>
        <v>#N/A</v>
      </c>
      <c r="N210" s="464" t="e">
        <f>SUM($M$15:M210)</f>
        <v>#N/A</v>
      </c>
      <c r="O210" s="464" t="e">
        <f t="shared" si="26"/>
        <v>#DIV/0!</v>
      </c>
      <c r="P210" s="464" t="e">
        <f>SUM($O$15:O210)</f>
        <v>#DIV/0!</v>
      </c>
    </row>
    <row r="211" spans="2:16">
      <c r="B211" s="176">
        <f t="shared" si="27"/>
        <v>44483</v>
      </c>
      <c r="C211" s="209">
        <f t="shared" si="25"/>
        <v>10</v>
      </c>
      <c r="D211" s="208"/>
      <c r="E211" s="208"/>
      <c r="F211" s="208"/>
      <c r="G211" s="625" t="e">
        <f t="shared" si="28"/>
        <v>#DIV/0!</v>
      </c>
      <c r="H211" s="464" t="e">
        <f t="shared" si="29"/>
        <v>#DIV/0!</v>
      </c>
      <c r="I211" s="464" t="e">
        <f>SUM($H$15:H211)</f>
        <v>#DIV/0!</v>
      </c>
      <c r="J211" s="207"/>
      <c r="K211" s="626" t="e">
        <f t="shared" si="30"/>
        <v>#N/A</v>
      </c>
      <c r="L211" s="630" t="e">
        <f t="shared" si="31"/>
        <v>#N/A</v>
      </c>
      <c r="M211" s="631" t="e">
        <f t="shared" si="24"/>
        <v>#N/A</v>
      </c>
      <c r="N211" s="464" t="e">
        <f>SUM($M$15:M211)</f>
        <v>#N/A</v>
      </c>
      <c r="O211" s="464" t="e">
        <f t="shared" si="26"/>
        <v>#DIV/0!</v>
      </c>
      <c r="P211" s="464" t="e">
        <f>SUM($O$15:O211)</f>
        <v>#DIV/0!</v>
      </c>
    </row>
    <row r="212" spans="2:16">
      <c r="B212" s="176">
        <f t="shared" si="27"/>
        <v>44484</v>
      </c>
      <c r="C212" s="209">
        <f t="shared" si="25"/>
        <v>10</v>
      </c>
      <c r="D212" s="208"/>
      <c r="E212" s="208"/>
      <c r="F212" s="208"/>
      <c r="G212" s="625" t="e">
        <f t="shared" si="28"/>
        <v>#DIV/0!</v>
      </c>
      <c r="H212" s="464" t="e">
        <f t="shared" si="29"/>
        <v>#DIV/0!</v>
      </c>
      <c r="I212" s="464" t="e">
        <f>SUM($H$15:H212)</f>
        <v>#DIV/0!</v>
      </c>
      <c r="J212" s="207"/>
      <c r="K212" s="626" t="e">
        <f t="shared" si="30"/>
        <v>#N/A</v>
      </c>
      <c r="L212" s="630" t="e">
        <f t="shared" si="31"/>
        <v>#N/A</v>
      </c>
      <c r="M212" s="631" t="e">
        <f t="shared" si="24"/>
        <v>#N/A</v>
      </c>
      <c r="N212" s="464" t="e">
        <f>SUM($M$15:M212)</f>
        <v>#N/A</v>
      </c>
      <c r="O212" s="464" t="e">
        <f t="shared" si="26"/>
        <v>#DIV/0!</v>
      </c>
      <c r="P212" s="464" t="e">
        <f>SUM($O$15:O212)</f>
        <v>#DIV/0!</v>
      </c>
    </row>
    <row r="213" spans="2:16">
      <c r="B213" s="176">
        <f t="shared" si="27"/>
        <v>44485</v>
      </c>
      <c r="C213" s="209">
        <f t="shared" si="25"/>
        <v>10</v>
      </c>
      <c r="D213" s="208"/>
      <c r="E213" s="208"/>
      <c r="F213" s="208"/>
      <c r="G213" s="625" t="e">
        <f t="shared" si="28"/>
        <v>#DIV/0!</v>
      </c>
      <c r="H213" s="464" t="e">
        <f t="shared" si="29"/>
        <v>#DIV/0!</v>
      </c>
      <c r="I213" s="464" t="e">
        <f>SUM($H$15:H213)</f>
        <v>#DIV/0!</v>
      </c>
      <c r="J213" s="207"/>
      <c r="K213" s="626" t="e">
        <f t="shared" si="30"/>
        <v>#N/A</v>
      </c>
      <c r="L213" s="630" t="e">
        <f t="shared" si="31"/>
        <v>#N/A</v>
      </c>
      <c r="M213" s="631" t="e">
        <f t="shared" si="24"/>
        <v>#N/A</v>
      </c>
      <c r="N213" s="464" t="e">
        <f>SUM($M$15:M213)</f>
        <v>#N/A</v>
      </c>
      <c r="O213" s="464" t="e">
        <f t="shared" si="26"/>
        <v>#DIV/0!</v>
      </c>
      <c r="P213" s="464" t="e">
        <f>SUM($O$15:O213)</f>
        <v>#DIV/0!</v>
      </c>
    </row>
    <row r="214" spans="2:16">
      <c r="B214" s="176">
        <f t="shared" si="27"/>
        <v>44486</v>
      </c>
      <c r="C214" s="209">
        <f t="shared" si="25"/>
        <v>10</v>
      </c>
      <c r="D214" s="208"/>
      <c r="E214" s="208"/>
      <c r="F214" s="208"/>
      <c r="G214" s="625" t="e">
        <f t="shared" si="28"/>
        <v>#DIV/0!</v>
      </c>
      <c r="H214" s="464" t="e">
        <f t="shared" si="29"/>
        <v>#DIV/0!</v>
      </c>
      <c r="I214" s="464" t="e">
        <f>SUM($H$15:H214)</f>
        <v>#DIV/0!</v>
      </c>
      <c r="J214" s="207"/>
      <c r="K214" s="626" t="e">
        <f t="shared" si="30"/>
        <v>#N/A</v>
      </c>
      <c r="L214" s="630" t="e">
        <f t="shared" si="31"/>
        <v>#N/A</v>
      </c>
      <c r="M214" s="631" t="e">
        <f t="shared" si="24"/>
        <v>#N/A</v>
      </c>
      <c r="N214" s="464" t="e">
        <f>SUM($M$15:M214)</f>
        <v>#N/A</v>
      </c>
      <c r="O214" s="464" t="e">
        <f t="shared" si="26"/>
        <v>#DIV/0!</v>
      </c>
      <c r="P214" s="464" t="e">
        <f>SUM($O$15:O214)</f>
        <v>#DIV/0!</v>
      </c>
    </row>
    <row r="215" spans="2:16">
      <c r="B215" s="176">
        <f t="shared" si="27"/>
        <v>44487</v>
      </c>
      <c r="C215" s="209">
        <f t="shared" si="25"/>
        <v>10</v>
      </c>
      <c r="D215" s="208"/>
      <c r="E215" s="208"/>
      <c r="F215" s="208"/>
      <c r="G215" s="625" t="e">
        <f t="shared" si="28"/>
        <v>#DIV/0!</v>
      </c>
      <c r="H215" s="464" t="e">
        <f t="shared" si="29"/>
        <v>#DIV/0!</v>
      </c>
      <c r="I215" s="464" t="e">
        <f>SUM($H$15:H215)</f>
        <v>#DIV/0!</v>
      </c>
      <c r="J215" s="207"/>
      <c r="K215" s="626" t="e">
        <f t="shared" si="30"/>
        <v>#N/A</v>
      </c>
      <c r="L215" s="630" t="e">
        <f t="shared" si="31"/>
        <v>#N/A</v>
      </c>
      <c r="M215" s="631" t="e">
        <f t="shared" si="24"/>
        <v>#N/A</v>
      </c>
      <c r="N215" s="464" t="e">
        <f>SUM($M$15:M215)</f>
        <v>#N/A</v>
      </c>
      <c r="O215" s="464" t="e">
        <f t="shared" si="26"/>
        <v>#DIV/0!</v>
      </c>
      <c r="P215" s="464" t="e">
        <f>SUM($O$15:O215)</f>
        <v>#DIV/0!</v>
      </c>
    </row>
    <row r="216" spans="2:16">
      <c r="B216" s="176">
        <f t="shared" si="27"/>
        <v>44488</v>
      </c>
      <c r="C216" s="209">
        <f t="shared" si="25"/>
        <v>10</v>
      </c>
      <c r="D216" s="208"/>
      <c r="E216" s="208"/>
      <c r="F216" s="208"/>
      <c r="G216" s="625" t="e">
        <f t="shared" si="28"/>
        <v>#DIV/0!</v>
      </c>
      <c r="H216" s="464" t="e">
        <f t="shared" si="29"/>
        <v>#DIV/0!</v>
      </c>
      <c r="I216" s="464" t="e">
        <f>SUM($H$15:H216)</f>
        <v>#DIV/0!</v>
      </c>
      <c r="J216" s="207"/>
      <c r="K216" s="626" t="e">
        <f t="shared" si="30"/>
        <v>#N/A</v>
      </c>
      <c r="L216" s="630" t="e">
        <f t="shared" si="31"/>
        <v>#N/A</v>
      </c>
      <c r="M216" s="631" t="e">
        <f t="shared" si="24"/>
        <v>#N/A</v>
      </c>
      <c r="N216" s="464" t="e">
        <f>SUM($M$15:M216)</f>
        <v>#N/A</v>
      </c>
      <c r="O216" s="464" t="e">
        <f t="shared" si="26"/>
        <v>#DIV/0!</v>
      </c>
      <c r="P216" s="464" t="e">
        <f>SUM($O$15:O216)</f>
        <v>#DIV/0!</v>
      </c>
    </row>
    <row r="217" spans="2:16">
      <c r="B217" s="176">
        <f t="shared" si="27"/>
        <v>44489</v>
      </c>
      <c r="C217" s="209">
        <f t="shared" si="25"/>
        <v>10</v>
      </c>
      <c r="D217" s="208"/>
      <c r="E217" s="208"/>
      <c r="F217" s="208"/>
      <c r="G217" s="625" t="e">
        <f t="shared" si="28"/>
        <v>#DIV/0!</v>
      </c>
      <c r="H217" s="464" t="e">
        <f t="shared" si="29"/>
        <v>#DIV/0!</v>
      </c>
      <c r="I217" s="464" t="e">
        <f>SUM($H$15:H217)</f>
        <v>#DIV/0!</v>
      </c>
      <c r="J217" s="207"/>
      <c r="K217" s="626" t="e">
        <f t="shared" si="30"/>
        <v>#N/A</v>
      </c>
      <c r="L217" s="630" t="e">
        <f t="shared" si="31"/>
        <v>#N/A</v>
      </c>
      <c r="M217" s="631" t="e">
        <f t="shared" si="24"/>
        <v>#N/A</v>
      </c>
      <c r="N217" s="464" t="e">
        <f>SUM($M$15:M217)</f>
        <v>#N/A</v>
      </c>
      <c r="O217" s="464" t="e">
        <f t="shared" si="26"/>
        <v>#DIV/0!</v>
      </c>
      <c r="P217" s="464" t="e">
        <f>SUM($O$15:O217)</f>
        <v>#DIV/0!</v>
      </c>
    </row>
    <row r="218" spans="2:16">
      <c r="B218" s="176">
        <f t="shared" si="27"/>
        <v>44490</v>
      </c>
      <c r="C218" s="209">
        <f t="shared" si="25"/>
        <v>10</v>
      </c>
      <c r="D218" s="208"/>
      <c r="E218" s="208"/>
      <c r="F218" s="208"/>
      <c r="G218" s="625" t="e">
        <f t="shared" si="28"/>
        <v>#DIV/0!</v>
      </c>
      <c r="H218" s="464" t="e">
        <f t="shared" si="29"/>
        <v>#DIV/0!</v>
      </c>
      <c r="I218" s="464" t="e">
        <f>SUM($H$15:H218)</f>
        <v>#DIV/0!</v>
      </c>
      <c r="J218" s="207"/>
      <c r="K218" s="626" t="e">
        <f t="shared" si="30"/>
        <v>#N/A</v>
      </c>
      <c r="L218" s="630" t="e">
        <f t="shared" si="31"/>
        <v>#N/A</v>
      </c>
      <c r="M218" s="631" t="e">
        <f t="shared" si="24"/>
        <v>#N/A</v>
      </c>
      <c r="N218" s="464" t="e">
        <f>SUM($M$15:M218)</f>
        <v>#N/A</v>
      </c>
      <c r="O218" s="464" t="e">
        <f t="shared" si="26"/>
        <v>#DIV/0!</v>
      </c>
      <c r="P218" s="464" t="e">
        <f>SUM($O$15:O218)</f>
        <v>#DIV/0!</v>
      </c>
    </row>
    <row r="219" spans="2:16">
      <c r="B219" s="176">
        <f t="shared" si="27"/>
        <v>44491</v>
      </c>
      <c r="C219" s="209">
        <f t="shared" si="25"/>
        <v>10</v>
      </c>
      <c r="D219" s="208"/>
      <c r="E219" s="208"/>
      <c r="F219" s="208"/>
      <c r="G219" s="625" t="e">
        <f t="shared" si="28"/>
        <v>#DIV/0!</v>
      </c>
      <c r="H219" s="464" t="e">
        <f t="shared" si="29"/>
        <v>#DIV/0!</v>
      </c>
      <c r="I219" s="464" t="e">
        <f>SUM($H$15:H219)</f>
        <v>#DIV/0!</v>
      </c>
      <c r="J219" s="207"/>
      <c r="K219" s="626" t="e">
        <f t="shared" si="30"/>
        <v>#N/A</v>
      </c>
      <c r="L219" s="630" t="e">
        <f t="shared" si="31"/>
        <v>#N/A</v>
      </c>
      <c r="M219" s="631" t="e">
        <f t="shared" si="24"/>
        <v>#N/A</v>
      </c>
      <c r="N219" s="464" t="e">
        <f>SUM($M$15:M219)</f>
        <v>#N/A</v>
      </c>
      <c r="O219" s="464" t="e">
        <f t="shared" si="26"/>
        <v>#DIV/0!</v>
      </c>
      <c r="P219" s="464" t="e">
        <f>SUM($O$15:O219)</f>
        <v>#DIV/0!</v>
      </c>
    </row>
    <row r="220" spans="2:16">
      <c r="B220" s="176">
        <f t="shared" si="27"/>
        <v>44492</v>
      </c>
      <c r="C220" s="209">
        <f t="shared" si="25"/>
        <v>10</v>
      </c>
      <c r="D220" s="208"/>
      <c r="E220" s="208"/>
      <c r="F220" s="208"/>
      <c r="G220" s="625" t="e">
        <f t="shared" si="28"/>
        <v>#DIV/0!</v>
      </c>
      <c r="H220" s="464" t="e">
        <f t="shared" si="29"/>
        <v>#DIV/0!</v>
      </c>
      <c r="I220" s="464" t="e">
        <f>SUM($H$15:H220)</f>
        <v>#DIV/0!</v>
      </c>
      <c r="J220" s="207"/>
      <c r="K220" s="626" t="e">
        <f t="shared" si="30"/>
        <v>#N/A</v>
      </c>
      <c r="L220" s="630" t="e">
        <f t="shared" si="31"/>
        <v>#N/A</v>
      </c>
      <c r="M220" s="631" t="e">
        <f t="shared" si="24"/>
        <v>#N/A</v>
      </c>
      <c r="N220" s="464" t="e">
        <f>SUM($M$15:M220)</f>
        <v>#N/A</v>
      </c>
      <c r="O220" s="464" t="e">
        <f t="shared" si="26"/>
        <v>#DIV/0!</v>
      </c>
      <c r="P220" s="464" t="e">
        <f>SUM($O$15:O220)</f>
        <v>#DIV/0!</v>
      </c>
    </row>
    <row r="221" spans="2:16">
      <c r="B221" s="176">
        <f t="shared" si="27"/>
        <v>44493</v>
      </c>
      <c r="C221" s="209">
        <f t="shared" si="25"/>
        <v>10</v>
      </c>
      <c r="D221" s="208"/>
      <c r="E221" s="208"/>
      <c r="F221" s="208"/>
      <c r="G221" s="625" t="e">
        <f t="shared" si="28"/>
        <v>#DIV/0!</v>
      </c>
      <c r="H221" s="464" t="e">
        <f t="shared" si="29"/>
        <v>#DIV/0!</v>
      </c>
      <c r="I221" s="464" t="e">
        <f>SUM($H$15:H221)</f>
        <v>#DIV/0!</v>
      </c>
      <c r="J221" s="207"/>
      <c r="K221" s="626" t="e">
        <f t="shared" si="30"/>
        <v>#N/A</v>
      </c>
      <c r="L221" s="630" t="e">
        <f t="shared" si="31"/>
        <v>#N/A</v>
      </c>
      <c r="M221" s="631" t="e">
        <f t="shared" si="24"/>
        <v>#N/A</v>
      </c>
      <c r="N221" s="464" t="e">
        <f>SUM($M$15:M221)</f>
        <v>#N/A</v>
      </c>
      <c r="O221" s="464" t="e">
        <f t="shared" si="26"/>
        <v>#DIV/0!</v>
      </c>
      <c r="P221" s="464" t="e">
        <f>SUM($O$15:O221)</f>
        <v>#DIV/0!</v>
      </c>
    </row>
    <row r="222" spans="2:16">
      <c r="B222" s="176">
        <f t="shared" si="27"/>
        <v>44494</v>
      </c>
      <c r="C222" s="209">
        <f t="shared" si="25"/>
        <v>10</v>
      </c>
      <c r="D222" s="208"/>
      <c r="E222" s="208"/>
      <c r="F222" s="208"/>
      <c r="G222" s="625" t="e">
        <f t="shared" si="28"/>
        <v>#DIV/0!</v>
      </c>
      <c r="H222" s="464" t="e">
        <f t="shared" si="29"/>
        <v>#DIV/0!</v>
      </c>
      <c r="I222" s="464" t="e">
        <f>SUM($H$15:H222)</f>
        <v>#DIV/0!</v>
      </c>
      <c r="J222" s="207"/>
      <c r="K222" s="626" t="e">
        <f t="shared" si="30"/>
        <v>#N/A</v>
      </c>
      <c r="L222" s="630" t="e">
        <f t="shared" si="31"/>
        <v>#N/A</v>
      </c>
      <c r="M222" s="631" t="e">
        <f t="shared" si="24"/>
        <v>#N/A</v>
      </c>
      <c r="N222" s="464" t="e">
        <f>SUM($M$15:M222)</f>
        <v>#N/A</v>
      </c>
      <c r="O222" s="464" t="e">
        <f t="shared" si="26"/>
        <v>#DIV/0!</v>
      </c>
      <c r="P222" s="464" t="e">
        <f>SUM($O$15:O222)</f>
        <v>#DIV/0!</v>
      </c>
    </row>
    <row r="223" spans="2:16">
      <c r="B223" s="176">
        <f t="shared" si="27"/>
        <v>44495</v>
      </c>
      <c r="C223" s="209">
        <f t="shared" si="25"/>
        <v>10</v>
      </c>
      <c r="D223" s="208"/>
      <c r="E223" s="208"/>
      <c r="F223" s="208"/>
      <c r="G223" s="625" t="e">
        <f t="shared" si="28"/>
        <v>#DIV/0!</v>
      </c>
      <c r="H223" s="464" t="e">
        <f t="shared" si="29"/>
        <v>#DIV/0!</v>
      </c>
      <c r="I223" s="464" t="e">
        <f>SUM($H$15:H223)</f>
        <v>#DIV/0!</v>
      </c>
      <c r="J223" s="207"/>
      <c r="K223" s="626" t="e">
        <f t="shared" si="30"/>
        <v>#N/A</v>
      </c>
      <c r="L223" s="630" t="e">
        <f t="shared" si="31"/>
        <v>#N/A</v>
      </c>
      <c r="M223" s="631" t="e">
        <f t="shared" si="24"/>
        <v>#N/A</v>
      </c>
      <c r="N223" s="464" t="e">
        <f>SUM($M$15:M223)</f>
        <v>#N/A</v>
      </c>
      <c r="O223" s="464" t="e">
        <f t="shared" si="26"/>
        <v>#DIV/0!</v>
      </c>
      <c r="P223" s="464" t="e">
        <f>SUM($O$15:O223)</f>
        <v>#DIV/0!</v>
      </c>
    </row>
    <row r="224" spans="2:16">
      <c r="B224" s="176">
        <f t="shared" si="27"/>
        <v>44496</v>
      </c>
      <c r="C224" s="209">
        <f t="shared" si="25"/>
        <v>10</v>
      </c>
      <c r="D224" s="208"/>
      <c r="E224" s="208"/>
      <c r="F224" s="208"/>
      <c r="G224" s="625" t="e">
        <f t="shared" si="28"/>
        <v>#DIV/0!</v>
      </c>
      <c r="H224" s="464" t="e">
        <f t="shared" si="29"/>
        <v>#DIV/0!</v>
      </c>
      <c r="I224" s="464" t="e">
        <f>SUM($H$15:H224)</f>
        <v>#DIV/0!</v>
      </c>
      <c r="J224" s="207"/>
      <c r="K224" s="626" t="e">
        <f t="shared" si="30"/>
        <v>#N/A</v>
      </c>
      <c r="L224" s="630" t="e">
        <f t="shared" si="31"/>
        <v>#N/A</v>
      </c>
      <c r="M224" s="631" t="e">
        <f t="shared" si="24"/>
        <v>#N/A</v>
      </c>
      <c r="N224" s="464" t="e">
        <f>SUM($M$15:M224)</f>
        <v>#N/A</v>
      </c>
      <c r="O224" s="464" t="e">
        <f t="shared" si="26"/>
        <v>#DIV/0!</v>
      </c>
      <c r="P224" s="464" t="e">
        <f>SUM($O$15:O224)</f>
        <v>#DIV/0!</v>
      </c>
    </row>
    <row r="225" spans="2:16">
      <c r="B225" s="176">
        <f t="shared" si="27"/>
        <v>44497</v>
      </c>
      <c r="C225" s="209">
        <f t="shared" si="25"/>
        <v>10</v>
      </c>
      <c r="D225" s="208"/>
      <c r="E225" s="208"/>
      <c r="F225" s="208"/>
      <c r="G225" s="625" t="e">
        <f t="shared" si="28"/>
        <v>#DIV/0!</v>
      </c>
      <c r="H225" s="464" t="e">
        <f t="shared" si="29"/>
        <v>#DIV/0!</v>
      </c>
      <c r="I225" s="464" t="e">
        <f>SUM($H$15:H225)</f>
        <v>#DIV/0!</v>
      </c>
      <c r="J225" s="207"/>
      <c r="K225" s="626" t="e">
        <f t="shared" si="30"/>
        <v>#N/A</v>
      </c>
      <c r="L225" s="630" t="e">
        <f t="shared" si="31"/>
        <v>#N/A</v>
      </c>
      <c r="M225" s="631" t="e">
        <f t="shared" si="24"/>
        <v>#N/A</v>
      </c>
      <c r="N225" s="464" t="e">
        <f>SUM($M$15:M225)</f>
        <v>#N/A</v>
      </c>
      <c r="O225" s="464" t="e">
        <f t="shared" si="26"/>
        <v>#DIV/0!</v>
      </c>
      <c r="P225" s="464" t="e">
        <f>SUM($O$15:O225)</f>
        <v>#DIV/0!</v>
      </c>
    </row>
    <row r="226" spans="2:16">
      <c r="B226" s="176">
        <f t="shared" si="27"/>
        <v>44498</v>
      </c>
      <c r="C226" s="209">
        <f t="shared" si="25"/>
        <v>10</v>
      </c>
      <c r="D226" s="208"/>
      <c r="E226" s="208"/>
      <c r="F226" s="208"/>
      <c r="G226" s="625" t="e">
        <f t="shared" si="28"/>
        <v>#DIV/0!</v>
      </c>
      <c r="H226" s="464" t="e">
        <f t="shared" si="29"/>
        <v>#DIV/0!</v>
      </c>
      <c r="I226" s="464" t="e">
        <f>SUM($H$15:H226)</f>
        <v>#DIV/0!</v>
      </c>
      <c r="J226" s="207"/>
      <c r="K226" s="626" t="e">
        <f t="shared" si="30"/>
        <v>#N/A</v>
      </c>
      <c r="L226" s="630" t="e">
        <f t="shared" si="31"/>
        <v>#N/A</v>
      </c>
      <c r="M226" s="631" t="e">
        <f t="shared" si="24"/>
        <v>#N/A</v>
      </c>
      <c r="N226" s="464" t="e">
        <f>SUM($M$15:M226)</f>
        <v>#N/A</v>
      </c>
      <c r="O226" s="464" t="e">
        <f t="shared" si="26"/>
        <v>#DIV/0!</v>
      </c>
      <c r="P226" s="464" t="e">
        <f>SUM($O$15:O226)</f>
        <v>#DIV/0!</v>
      </c>
    </row>
    <row r="227" spans="2:16">
      <c r="B227" s="176">
        <f t="shared" si="27"/>
        <v>44499</v>
      </c>
      <c r="C227" s="209">
        <f t="shared" si="25"/>
        <v>10</v>
      </c>
      <c r="D227" s="208"/>
      <c r="E227" s="208"/>
      <c r="F227" s="208"/>
      <c r="G227" s="625" t="e">
        <f t="shared" si="28"/>
        <v>#DIV/0!</v>
      </c>
      <c r="H227" s="464" t="e">
        <f t="shared" si="29"/>
        <v>#DIV/0!</v>
      </c>
      <c r="I227" s="464" t="e">
        <f>SUM($H$15:H227)</f>
        <v>#DIV/0!</v>
      </c>
      <c r="J227" s="207"/>
      <c r="K227" s="626" t="e">
        <f t="shared" si="30"/>
        <v>#N/A</v>
      </c>
      <c r="L227" s="630" t="e">
        <f t="shared" si="31"/>
        <v>#N/A</v>
      </c>
      <c r="M227" s="631" t="e">
        <f t="shared" si="24"/>
        <v>#N/A</v>
      </c>
      <c r="N227" s="464" t="e">
        <f>SUM($M$15:M227)</f>
        <v>#N/A</v>
      </c>
      <c r="O227" s="464" t="e">
        <f t="shared" si="26"/>
        <v>#DIV/0!</v>
      </c>
      <c r="P227" s="464" t="e">
        <f>SUM($O$15:O227)</f>
        <v>#DIV/0!</v>
      </c>
    </row>
    <row r="228" spans="2:16">
      <c r="B228" s="176">
        <f t="shared" si="27"/>
        <v>44500</v>
      </c>
      <c r="C228" s="209">
        <f t="shared" si="25"/>
        <v>10</v>
      </c>
      <c r="D228" s="208"/>
      <c r="E228" s="208"/>
      <c r="F228" s="208"/>
      <c r="G228" s="625" t="e">
        <f t="shared" si="28"/>
        <v>#DIV/0!</v>
      </c>
      <c r="H228" s="464" t="e">
        <f t="shared" si="29"/>
        <v>#DIV/0!</v>
      </c>
      <c r="I228" s="464" t="e">
        <f>SUM($H$15:H228)</f>
        <v>#DIV/0!</v>
      </c>
      <c r="J228" s="207"/>
      <c r="K228" s="626" t="e">
        <f t="shared" si="30"/>
        <v>#N/A</v>
      </c>
      <c r="L228" s="630" t="e">
        <f t="shared" si="31"/>
        <v>#N/A</v>
      </c>
      <c r="M228" s="631" t="e">
        <f t="shared" si="24"/>
        <v>#N/A</v>
      </c>
      <c r="N228" s="464" t="e">
        <f>SUM($M$15:M228)</f>
        <v>#N/A</v>
      </c>
      <c r="O228" s="464" t="e">
        <f t="shared" si="26"/>
        <v>#DIV/0!</v>
      </c>
      <c r="P228" s="464" t="e">
        <f>SUM($O$15:O228)</f>
        <v>#DIV/0!</v>
      </c>
    </row>
    <row r="229" spans="2:16">
      <c r="B229" s="176">
        <f t="shared" si="27"/>
        <v>44501</v>
      </c>
      <c r="C229" s="209">
        <f t="shared" si="25"/>
        <v>11</v>
      </c>
      <c r="D229" s="208"/>
      <c r="E229" s="208"/>
      <c r="F229" s="208"/>
      <c r="G229" s="625" t="e">
        <f t="shared" si="28"/>
        <v>#DIV/0!</v>
      </c>
      <c r="H229" s="464" t="e">
        <f t="shared" si="29"/>
        <v>#DIV/0!</v>
      </c>
      <c r="I229" s="464" t="e">
        <f>SUM($H$15:H229)</f>
        <v>#DIV/0!</v>
      </c>
      <c r="J229" s="207"/>
      <c r="K229" s="626" t="e">
        <f t="shared" si="30"/>
        <v>#N/A</v>
      </c>
      <c r="L229" s="630" t="e">
        <f t="shared" si="31"/>
        <v>#N/A</v>
      </c>
      <c r="M229" s="631" t="e">
        <f t="shared" si="24"/>
        <v>#N/A</v>
      </c>
      <c r="N229" s="464" t="e">
        <f>SUM($M$15:M229)</f>
        <v>#N/A</v>
      </c>
      <c r="O229" s="464" t="e">
        <f t="shared" si="26"/>
        <v>#DIV/0!</v>
      </c>
      <c r="P229" s="464" t="e">
        <f>SUM($O$15:O229)</f>
        <v>#DIV/0!</v>
      </c>
    </row>
    <row r="230" spans="2:16">
      <c r="B230" s="176">
        <f t="shared" si="27"/>
        <v>44502</v>
      </c>
      <c r="C230" s="209">
        <f t="shared" si="25"/>
        <v>11</v>
      </c>
      <c r="D230" s="208"/>
      <c r="E230" s="208"/>
      <c r="F230" s="208"/>
      <c r="G230" s="625" t="e">
        <f t="shared" si="28"/>
        <v>#DIV/0!</v>
      </c>
      <c r="H230" s="464" t="e">
        <f t="shared" si="29"/>
        <v>#DIV/0!</v>
      </c>
      <c r="I230" s="464" t="e">
        <f>SUM($H$15:H230)</f>
        <v>#DIV/0!</v>
      </c>
      <c r="J230" s="207"/>
      <c r="K230" s="626" t="e">
        <f t="shared" si="30"/>
        <v>#N/A</v>
      </c>
      <c r="L230" s="630" t="e">
        <f t="shared" si="31"/>
        <v>#N/A</v>
      </c>
      <c r="M230" s="631" t="e">
        <f t="shared" si="24"/>
        <v>#N/A</v>
      </c>
      <c r="N230" s="464" t="e">
        <f>SUM($M$15:M230)</f>
        <v>#N/A</v>
      </c>
      <c r="O230" s="464" t="e">
        <f t="shared" si="26"/>
        <v>#DIV/0!</v>
      </c>
      <c r="P230" s="464" t="e">
        <f>SUM($O$15:O230)</f>
        <v>#DIV/0!</v>
      </c>
    </row>
    <row r="231" spans="2:16">
      <c r="B231" s="176">
        <f t="shared" si="27"/>
        <v>44503</v>
      </c>
      <c r="C231" s="209">
        <f t="shared" si="25"/>
        <v>11</v>
      </c>
      <c r="D231" s="208"/>
      <c r="E231" s="208"/>
      <c r="F231" s="208"/>
      <c r="G231" s="625" t="e">
        <f t="shared" si="28"/>
        <v>#DIV/0!</v>
      </c>
      <c r="H231" s="464" t="e">
        <f t="shared" si="29"/>
        <v>#DIV/0!</v>
      </c>
      <c r="I231" s="464" t="e">
        <f>SUM($H$15:H231)</f>
        <v>#DIV/0!</v>
      </c>
      <c r="J231" s="207"/>
      <c r="K231" s="626" t="e">
        <f t="shared" si="30"/>
        <v>#N/A</v>
      </c>
      <c r="L231" s="630" t="e">
        <f t="shared" si="31"/>
        <v>#N/A</v>
      </c>
      <c r="M231" s="631" t="e">
        <f t="shared" si="24"/>
        <v>#N/A</v>
      </c>
      <c r="N231" s="464" t="e">
        <f>SUM($M$15:M231)</f>
        <v>#N/A</v>
      </c>
      <c r="O231" s="464" t="e">
        <f t="shared" si="26"/>
        <v>#DIV/0!</v>
      </c>
      <c r="P231" s="464" t="e">
        <f>SUM($O$15:O231)</f>
        <v>#DIV/0!</v>
      </c>
    </row>
    <row r="232" spans="2:16">
      <c r="B232" s="176">
        <f t="shared" si="27"/>
        <v>44504</v>
      </c>
      <c r="C232" s="209">
        <f t="shared" si="25"/>
        <v>11</v>
      </c>
      <c r="D232" s="208"/>
      <c r="E232" s="208"/>
      <c r="F232" s="208"/>
      <c r="G232" s="625" t="e">
        <f t="shared" si="28"/>
        <v>#DIV/0!</v>
      </c>
      <c r="H232" s="464" t="e">
        <f t="shared" si="29"/>
        <v>#DIV/0!</v>
      </c>
      <c r="I232" s="464" t="e">
        <f>SUM($H$15:H232)</f>
        <v>#DIV/0!</v>
      </c>
      <c r="J232" s="207"/>
      <c r="K232" s="626" t="e">
        <f t="shared" si="30"/>
        <v>#N/A</v>
      </c>
      <c r="L232" s="630" t="e">
        <f t="shared" si="31"/>
        <v>#N/A</v>
      </c>
      <c r="M232" s="631" t="e">
        <f t="shared" si="24"/>
        <v>#N/A</v>
      </c>
      <c r="N232" s="464" t="e">
        <f>SUM($M$15:M232)</f>
        <v>#N/A</v>
      </c>
      <c r="O232" s="464" t="e">
        <f t="shared" si="26"/>
        <v>#DIV/0!</v>
      </c>
      <c r="P232" s="464" t="e">
        <f>SUM($O$15:O232)</f>
        <v>#DIV/0!</v>
      </c>
    </row>
    <row r="233" spans="2:16">
      <c r="B233" s="176">
        <f t="shared" si="27"/>
        <v>44505</v>
      </c>
      <c r="C233" s="209">
        <f t="shared" si="25"/>
        <v>11</v>
      </c>
      <c r="D233" s="208"/>
      <c r="E233" s="208"/>
      <c r="F233" s="208"/>
      <c r="G233" s="625" t="e">
        <f t="shared" si="28"/>
        <v>#DIV/0!</v>
      </c>
      <c r="H233" s="464" t="e">
        <f t="shared" si="29"/>
        <v>#DIV/0!</v>
      </c>
      <c r="I233" s="464" t="e">
        <f>SUM($H$15:H233)</f>
        <v>#DIV/0!</v>
      </c>
      <c r="J233" s="207"/>
      <c r="K233" s="626" t="e">
        <f t="shared" si="30"/>
        <v>#N/A</v>
      </c>
      <c r="L233" s="630" t="e">
        <f t="shared" si="31"/>
        <v>#N/A</v>
      </c>
      <c r="M233" s="631" t="e">
        <f t="shared" si="24"/>
        <v>#N/A</v>
      </c>
      <c r="N233" s="464" t="e">
        <f>SUM($M$15:M233)</f>
        <v>#N/A</v>
      </c>
      <c r="O233" s="464" t="e">
        <f t="shared" si="26"/>
        <v>#DIV/0!</v>
      </c>
      <c r="P233" s="464" t="e">
        <f>SUM($O$15:O233)</f>
        <v>#DIV/0!</v>
      </c>
    </row>
    <row r="234" spans="2:16">
      <c r="B234" s="176">
        <f t="shared" si="27"/>
        <v>44506</v>
      </c>
      <c r="C234" s="209">
        <f t="shared" si="25"/>
        <v>11</v>
      </c>
      <c r="D234" s="208"/>
      <c r="E234" s="208"/>
      <c r="F234" s="208"/>
      <c r="G234" s="625" t="e">
        <f t="shared" si="28"/>
        <v>#DIV/0!</v>
      </c>
      <c r="H234" s="464" t="e">
        <f t="shared" si="29"/>
        <v>#DIV/0!</v>
      </c>
      <c r="I234" s="464" t="e">
        <f>SUM($H$15:H234)</f>
        <v>#DIV/0!</v>
      </c>
      <c r="J234" s="207"/>
      <c r="K234" s="626" t="e">
        <f t="shared" si="30"/>
        <v>#N/A</v>
      </c>
      <c r="L234" s="630" t="e">
        <f t="shared" si="31"/>
        <v>#N/A</v>
      </c>
      <c r="M234" s="631" t="e">
        <f t="shared" si="24"/>
        <v>#N/A</v>
      </c>
      <c r="N234" s="464" t="e">
        <f>SUM($M$15:M234)</f>
        <v>#N/A</v>
      </c>
      <c r="O234" s="464" t="e">
        <f t="shared" si="26"/>
        <v>#DIV/0!</v>
      </c>
      <c r="P234" s="464" t="e">
        <f>SUM($O$15:O234)</f>
        <v>#DIV/0!</v>
      </c>
    </row>
    <row r="235" spans="2:16">
      <c r="B235" s="176">
        <f t="shared" si="27"/>
        <v>44507</v>
      </c>
      <c r="C235" s="209">
        <f t="shared" si="25"/>
        <v>11</v>
      </c>
      <c r="D235" s="208"/>
      <c r="E235" s="208"/>
      <c r="F235" s="208"/>
      <c r="G235" s="625" t="e">
        <f t="shared" si="28"/>
        <v>#DIV/0!</v>
      </c>
      <c r="H235" s="464" t="e">
        <f t="shared" si="29"/>
        <v>#DIV/0!</v>
      </c>
      <c r="I235" s="464" t="e">
        <f>SUM($H$15:H235)</f>
        <v>#DIV/0!</v>
      </c>
      <c r="J235" s="207"/>
      <c r="K235" s="626" t="e">
        <f t="shared" si="30"/>
        <v>#N/A</v>
      </c>
      <c r="L235" s="630" t="e">
        <f t="shared" si="31"/>
        <v>#N/A</v>
      </c>
      <c r="M235" s="631" t="e">
        <f t="shared" si="24"/>
        <v>#N/A</v>
      </c>
      <c r="N235" s="464" t="e">
        <f>SUM($M$15:M235)</f>
        <v>#N/A</v>
      </c>
      <c r="O235" s="464" t="e">
        <f t="shared" si="26"/>
        <v>#DIV/0!</v>
      </c>
      <c r="P235" s="464" t="e">
        <f>SUM($O$15:O235)</f>
        <v>#DIV/0!</v>
      </c>
    </row>
    <row r="236" spans="2:16">
      <c r="B236" s="176">
        <f t="shared" si="27"/>
        <v>44508</v>
      </c>
      <c r="C236" s="209">
        <f t="shared" si="25"/>
        <v>11</v>
      </c>
      <c r="D236" s="208"/>
      <c r="E236" s="208"/>
      <c r="F236" s="208"/>
      <c r="G236" s="625" t="e">
        <f t="shared" si="28"/>
        <v>#DIV/0!</v>
      </c>
      <c r="H236" s="464" t="e">
        <f t="shared" si="29"/>
        <v>#DIV/0!</v>
      </c>
      <c r="I236" s="464" t="e">
        <f>SUM($H$15:H236)</f>
        <v>#DIV/0!</v>
      </c>
      <c r="J236" s="207"/>
      <c r="K236" s="626" t="e">
        <f t="shared" si="30"/>
        <v>#N/A</v>
      </c>
      <c r="L236" s="630" t="e">
        <f t="shared" si="31"/>
        <v>#N/A</v>
      </c>
      <c r="M236" s="631" t="e">
        <f t="shared" si="24"/>
        <v>#N/A</v>
      </c>
      <c r="N236" s="464" t="e">
        <f>SUM($M$15:M236)</f>
        <v>#N/A</v>
      </c>
      <c r="O236" s="464" t="e">
        <f t="shared" si="26"/>
        <v>#DIV/0!</v>
      </c>
      <c r="P236" s="464" t="e">
        <f>SUM($O$15:O236)</f>
        <v>#DIV/0!</v>
      </c>
    </row>
    <row r="237" spans="2:16">
      <c r="B237" s="176">
        <f t="shared" si="27"/>
        <v>44509</v>
      </c>
      <c r="C237" s="209">
        <f t="shared" si="25"/>
        <v>11</v>
      </c>
      <c r="D237" s="208"/>
      <c r="E237" s="208"/>
      <c r="F237" s="208"/>
      <c r="G237" s="625" t="e">
        <f t="shared" si="28"/>
        <v>#DIV/0!</v>
      </c>
      <c r="H237" s="464" t="e">
        <f t="shared" si="29"/>
        <v>#DIV/0!</v>
      </c>
      <c r="I237" s="464" t="e">
        <f>SUM($H$15:H237)</f>
        <v>#DIV/0!</v>
      </c>
      <c r="J237" s="207"/>
      <c r="K237" s="626" t="e">
        <f t="shared" si="30"/>
        <v>#N/A</v>
      </c>
      <c r="L237" s="630" t="e">
        <f t="shared" si="31"/>
        <v>#N/A</v>
      </c>
      <c r="M237" s="631" t="e">
        <f t="shared" si="24"/>
        <v>#N/A</v>
      </c>
      <c r="N237" s="464" t="e">
        <f>SUM($M$15:M237)</f>
        <v>#N/A</v>
      </c>
      <c r="O237" s="464" t="e">
        <f t="shared" si="26"/>
        <v>#DIV/0!</v>
      </c>
      <c r="P237" s="464" t="e">
        <f>SUM($O$15:O237)</f>
        <v>#DIV/0!</v>
      </c>
    </row>
    <row r="238" spans="2:16">
      <c r="B238" s="176">
        <f t="shared" si="27"/>
        <v>44510</v>
      </c>
      <c r="C238" s="209">
        <f t="shared" si="25"/>
        <v>11</v>
      </c>
      <c r="D238" s="208"/>
      <c r="E238" s="208"/>
      <c r="F238" s="208"/>
      <c r="G238" s="625" t="e">
        <f t="shared" si="28"/>
        <v>#DIV/0!</v>
      </c>
      <c r="H238" s="464" t="e">
        <f t="shared" si="29"/>
        <v>#DIV/0!</v>
      </c>
      <c r="I238" s="464" t="e">
        <f>SUM($H$15:H238)</f>
        <v>#DIV/0!</v>
      </c>
      <c r="J238" s="207"/>
      <c r="K238" s="626" t="e">
        <f t="shared" si="30"/>
        <v>#N/A</v>
      </c>
      <c r="L238" s="630" t="e">
        <f t="shared" si="31"/>
        <v>#N/A</v>
      </c>
      <c r="M238" s="631" t="e">
        <f t="shared" si="24"/>
        <v>#N/A</v>
      </c>
      <c r="N238" s="464" t="e">
        <f>SUM($M$15:M238)</f>
        <v>#N/A</v>
      </c>
      <c r="O238" s="464" t="e">
        <f t="shared" si="26"/>
        <v>#DIV/0!</v>
      </c>
      <c r="P238" s="464" t="e">
        <f>SUM($O$15:O238)</f>
        <v>#DIV/0!</v>
      </c>
    </row>
    <row r="239" spans="2:16">
      <c r="B239" s="176">
        <f t="shared" si="27"/>
        <v>44511</v>
      </c>
      <c r="C239" s="209">
        <f t="shared" si="25"/>
        <v>11</v>
      </c>
      <c r="D239" s="208"/>
      <c r="E239" s="208"/>
      <c r="F239" s="208"/>
      <c r="G239" s="625" t="e">
        <f t="shared" si="28"/>
        <v>#DIV/0!</v>
      </c>
      <c r="H239" s="464" t="e">
        <f t="shared" si="29"/>
        <v>#DIV/0!</v>
      </c>
      <c r="I239" s="464" t="e">
        <f>SUM($H$15:H239)</f>
        <v>#DIV/0!</v>
      </c>
      <c r="J239" s="207"/>
      <c r="K239" s="626" t="e">
        <f t="shared" si="30"/>
        <v>#N/A</v>
      </c>
      <c r="L239" s="630" t="e">
        <f t="shared" si="31"/>
        <v>#N/A</v>
      </c>
      <c r="M239" s="631" t="e">
        <f t="shared" si="24"/>
        <v>#N/A</v>
      </c>
      <c r="N239" s="464" t="e">
        <f>SUM($M$15:M239)</f>
        <v>#N/A</v>
      </c>
      <c r="O239" s="464" t="e">
        <f t="shared" si="26"/>
        <v>#DIV/0!</v>
      </c>
      <c r="P239" s="464" t="e">
        <f>SUM($O$15:O239)</f>
        <v>#DIV/0!</v>
      </c>
    </row>
    <row r="240" spans="2:16">
      <c r="B240" s="176">
        <f t="shared" si="27"/>
        <v>44512</v>
      </c>
      <c r="C240" s="209">
        <f t="shared" si="25"/>
        <v>11</v>
      </c>
      <c r="D240" s="208"/>
      <c r="E240" s="208"/>
      <c r="F240" s="208"/>
      <c r="G240" s="625" t="e">
        <f t="shared" si="28"/>
        <v>#DIV/0!</v>
      </c>
      <c r="H240" s="464" t="e">
        <f t="shared" si="29"/>
        <v>#DIV/0!</v>
      </c>
      <c r="I240" s="464" t="e">
        <f>SUM($H$15:H240)</f>
        <v>#DIV/0!</v>
      </c>
      <c r="J240" s="207"/>
      <c r="K240" s="626" t="e">
        <f t="shared" si="30"/>
        <v>#N/A</v>
      </c>
      <c r="L240" s="630" t="e">
        <f t="shared" si="31"/>
        <v>#N/A</v>
      </c>
      <c r="M240" s="631" t="e">
        <f t="shared" si="24"/>
        <v>#N/A</v>
      </c>
      <c r="N240" s="464" t="e">
        <f>SUM($M$15:M240)</f>
        <v>#N/A</v>
      </c>
      <c r="O240" s="464" t="e">
        <f t="shared" si="26"/>
        <v>#DIV/0!</v>
      </c>
      <c r="P240" s="464" t="e">
        <f>SUM($O$15:O240)</f>
        <v>#DIV/0!</v>
      </c>
    </row>
    <row r="241" spans="2:16">
      <c r="B241" s="176">
        <f t="shared" si="27"/>
        <v>44513</v>
      </c>
      <c r="C241" s="209">
        <f t="shared" si="25"/>
        <v>11</v>
      </c>
      <c r="D241" s="208"/>
      <c r="E241" s="208"/>
      <c r="F241" s="208"/>
      <c r="G241" s="625" t="e">
        <f t="shared" si="28"/>
        <v>#DIV/0!</v>
      </c>
      <c r="H241" s="464" t="e">
        <f t="shared" si="29"/>
        <v>#DIV/0!</v>
      </c>
      <c r="I241" s="464" t="e">
        <f>SUM($H$15:H241)</f>
        <v>#DIV/0!</v>
      </c>
      <c r="J241" s="207"/>
      <c r="K241" s="626" t="e">
        <f t="shared" si="30"/>
        <v>#N/A</v>
      </c>
      <c r="L241" s="630" t="e">
        <f t="shared" si="31"/>
        <v>#N/A</v>
      </c>
      <c r="M241" s="631" t="e">
        <f t="shared" si="24"/>
        <v>#N/A</v>
      </c>
      <c r="N241" s="464" t="e">
        <f>SUM($M$15:M241)</f>
        <v>#N/A</v>
      </c>
      <c r="O241" s="464" t="e">
        <f t="shared" si="26"/>
        <v>#DIV/0!</v>
      </c>
      <c r="P241" s="464" t="e">
        <f>SUM($O$15:O241)</f>
        <v>#DIV/0!</v>
      </c>
    </row>
    <row r="242" spans="2:16">
      <c r="B242" s="176">
        <f t="shared" si="27"/>
        <v>44514</v>
      </c>
      <c r="C242" s="209">
        <f t="shared" si="25"/>
        <v>11</v>
      </c>
      <c r="D242" s="208"/>
      <c r="E242" s="208"/>
      <c r="F242" s="208"/>
      <c r="G242" s="625" t="e">
        <f t="shared" si="28"/>
        <v>#DIV/0!</v>
      </c>
      <c r="H242" s="464" t="e">
        <f t="shared" si="29"/>
        <v>#DIV/0!</v>
      </c>
      <c r="I242" s="464" t="e">
        <f>SUM($H$15:H242)</f>
        <v>#DIV/0!</v>
      </c>
      <c r="J242" s="207"/>
      <c r="K242" s="626" t="e">
        <f t="shared" si="30"/>
        <v>#N/A</v>
      </c>
      <c r="L242" s="630" t="e">
        <f t="shared" si="31"/>
        <v>#N/A</v>
      </c>
      <c r="M242" s="631" t="e">
        <f t="shared" si="24"/>
        <v>#N/A</v>
      </c>
      <c r="N242" s="464" t="e">
        <f>SUM($M$15:M242)</f>
        <v>#N/A</v>
      </c>
      <c r="O242" s="464" t="e">
        <f t="shared" si="26"/>
        <v>#DIV/0!</v>
      </c>
      <c r="P242" s="464" t="e">
        <f>SUM($O$15:O242)</f>
        <v>#DIV/0!</v>
      </c>
    </row>
    <row r="243" spans="2:16">
      <c r="B243" s="176">
        <f t="shared" si="27"/>
        <v>44515</v>
      </c>
      <c r="C243" s="209">
        <f t="shared" si="25"/>
        <v>11</v>
      </c>
      <c r="D243" s="208"/>
      <c r="E243" s="208"/>
      <c r="F243" s="208"/>
      <c r="G243" s="625" t="e">
        <f t="shared" si="28"/>
        <v>#DIV/0!</v>
      </c>
      <c r="H243" s="464" t="e">
        <f t="shared" si="29"/>
        <v>#DIV/0!</v>
      </c>
      <c r="I243" s="464" t="e">
        <f>SUM($H$15:H243)</f>
        <v>#DIV/0!</v>
      </c>
      <c r="J243" s="207"/>
      <c r="K243" s="626" t="e">
        <f t="shared" si="30"/>
        <v>#N/A</v>
      </c>
      <c r="L243" s="630" t="e">
        <f t="shared" si="31"/>
        <v>#N/A</v>
      </c>
      <c r="M243" s="631" t="e">
        <f t="shared" si="24"/>
        <v>#N/A</v>
      </c>
      <c r="N243" s="464" t="e">
        <f>SUM($M$15:M243)</f>
        <v>#N/A</v>
      </c>
      <c r="O243" s="464" t="e">
        <f t="shared" si="26"/>
        <v>#DIV/0!</v>
      </c>
      <c r="P243" s="464" t="e">
        <f>SUM($O$15:O243)</f>
        <v>#DIV/0!</v>
      </c>
    </row>
    <row r="244" spans="2:16">
      <c r="B244" s="176">
        <f t="shared" si="27"/>
        <v>44516</v>
      </c>
      <c r="C244" s="209">
        <f t="shared" si="25"/>
        <v>11</v>
      </c>
      <c r="D244" s="208"/>
      <c r="E244" s="208"/>
      <c r="F244" s="208"/>
      <c r="G244" s="625" t="e">
        <f t="shared" si="28"/>
        <v>#DIV/0!</v>
      </c>
      <c r="H244" s="464" t="e">
        <f t="shared" si="29"/>
        <v>#DIV/0!</v>
      </c>
      <c r="I244" s="464" t="e">
        <f>SUM($H$15:H244)</f>
        <v>#DIV/0!</v>
      </c>
      <c r="J244" s="207"/>
      <c r="K244" s="626" t="e">
        <f t="shared" si="30"/>
        <v>#N/A</v>
      </c>
      <c r="L244" s="630" t="e">
        <f t="shared" si="31"/>
        <v>#N/A</v>
      </c>
      <c r="M244" s="631" t="e">
        <f t="shared" si="24"/>
        <v>#N/A</v>
      </c>
      <c r="N244" s="464" t="e">
        <f>SUM($M$15:M244)</f>
        <v>#N/A</v>
      </c>
      <c r="O244" s="464" t="e">
        <f t="shared" si="26"/>
        <v>#DIV/0!</v>
      </c>
      <c r="P244" s="464" t="e">
        <f>SUM($O$15:O244)</f>
        <v>#DIV/0!</v>
      </c>
    </row>
    <row r="245" spans="2:16">
      <c r="B245" s="176">
        <f t="shared" si="27"/>
        <v>44517</v>
      </c>
      <c r="C245" s="209">
        <f t="shared" si="25"/>
        <v>11</v>
      </c>
      <c r="D245" s="208"/>
      <c r="E245" s="208"/>
      <c r="F245" s="208"/>
      <c r="G245" s="625" t="e">
        <f t="shared" si="28"/>
        <v>#DIV/0!</v>
      </c>
      <c r="H245" s="464" t="e">
        <f t="shared" si="29"/>
        <v>#DIV/0!</v>
      </c>
      <c r="I245" s="464" t="e">
        <f>SUM($H$15:H245)</f>
        <v>#DIV/0!</v>
      </c>
      <c r="J245" s="207"/>
      <c r="K245" s="626" t="e">
        <f t="shared" si="30"/>
        <v>#N/A</v>
      </c>
      <c r="L245" s="630" t="e">
        <f t="shared" si="31"/>
        <v>#N/A</v>
      </c>
      <c r="M245" s="631" t="e">
        <f t="shared" si="24"/>
        <v>#N/A</v>
      </c>
      <c r="N245" s="464" t="e">
        <f>SUM($M$15:M245)</f>
        <v>#N/A</v>
      </c>
      <c r="O245" s="464" t="e">
        <f t="shared" si="26"/>
        <v>#DIV/0!</v>
      </c>
      <c r="P245" s="464" t="e">
        <f>SUM($O$15:O245)</f>
        <v>#DIV/0!</v>
      </c>
    </row>
    <row r="246" spans="2:16">
      <c r="B246" s="176">
        <f t="shared" si="27"/>
        <v>44518</v>
      </c>
      <c r="C246" s="209">
        <f t="shared" si="25"/>
        <v>11</v>
      </c>
      <c r="D246" s="208"/>
      <c r="E246" s="208"/>
      <c r="F246" s="208"/>
      <c r="G246" s="625" t="e">
        <f t="shared" si="28"/>
        <v>#DIV/0!</v>
      </c>
      <c r="H246" s="464" t="e">
        <f t="shared" si="29"/>
        <v>#DIV/0!</v>
      </c>
      <c r="I246" s="464" t="e">
        <f>SUM($H$15:H246)</f>
        <v>#DIV/0!</v>
      </c>
      <c r="J246" s="207"/>
      <c r="K246" s="626" t="e">
        <f t="shared" si="30"/>
        <v>#N/A</v>
      </c>
      <c r="L246" s="630" t="e">
        <f t="shared" si="31"/>
        <v>#N/A</v>
      </c>
      <c r="M246" s="631" t="e">
        <f t="shared" si="24"/>
        <v>#N/A</v>
      </c>
      <c r="N246" s="464" t="e">
        <f>SUM($M$15:M246)</f>
        <v>#N/A</v>
      </c>
      <c r="O246" s="464" t="e">
        <f t="shared" si="26"/>
        <v>#DIV/0!</v>
      </c>
      <c r="P246" s="464" t="e">
        <f>SUM($O$15:O246)</f>
        <v>#DIV/0!</v>
      </c>
    </row>
    <row r="247" spans="2:16">
      <c r="B247" s="176">
        <f t="shared" si="27"/>
        <v>44519</v>
      </c>
      <c r="C247" s="209">
        <f t="shared" si="25"/>
        <v>11</v>
      </c>
      <c r="D247" s="208"/>
      <c r="E247" s="208"/>
      <c r="F247" s="208"/>
      <c r="G247" s="625" t="e">
        <f t="shared" si="28"/>
        <v>#DIV/0!</v>
      </c>
      <c r="H247" s="464" t="e">
        <f t="shared" si="29"/>
        <v>#DIV/0!</v>
      </c>
      <c r="I247" s="464" t="e">
        <f>SUM($H$15:H247)</f>
        <v>#DIV/0!</v>
      </c>
      <c r="J247" s="207"/>
      <c r="K247" s="626" t="e">
        <f t="shared" si="30"/>
        <v>#N/A</v>
      </c>
      <c r="L247" s="630" t="e">
        <f t="shared" si="31"/>
        <v>#N/A</v>
      </c>
      <c r="M247" s="631" t="e">
        <f t="shared" si="24"/>
        <v>#N/A</v>
      </c>
      <c r="N247" s="464" t="e">
        <f>SUM($M$15:M247)</f>
        <v>#N/A</v>
      </c>
      <c r="O247" s="464" t="e">
        <f t="shared" si="26"/>
        <v>#DIV/0!</v>
      </c>
      <c r="P247" s="464" t="e">
        <f>SUM($O$15:O247)</f>
        <v>#DIV/0!</v>
      </c>
    </row>
    <row r="248" spans="2:16">
      <c r="B248" s="176">
        <f t="shared" si="27"/>
        <v>44520</v>
      </c>
      <c r="C248" s="209">
        <f t="shared" si="25"/>
        <v>11</v>
      </c>
      <c r="D248" s="208"/>
      <c r="E248" s="208"/>
      <c r="F248" s="208"/>
      <c r="G248" s="625" t="e">
        <f t="shared" si="28"/>
        <v>#DIV/0!</v>
      </c>
      <c r="H248" s="464" t="e">
        <f t="shared" si="29"/>
        <v>#DIV/0!</v>
      </c>
      <c r="I248" s="464" t="e">
        <f>SUM($H$15:H248)</f>
        <v>#DIV/0!</v>
      </c>
      <c r="J248" s="207"/>
      <c r="K248" s="626" t="e">
        <f t="shared" si="30"/>
        <v>#N/A</v>
      </c>
      <c r="L248" s="630" t="e">
        <f t="shared" si="31"/>
        <v>#N/A</v>
      </c>
      <c r="M248" s="631" t="e">
        <f t="shared" si="24"/>
        <v>#N/A</v>
      </c>
      <c r="N248" s="464" t="e">
        <f>SUM($M$15:M248)</f>
        <v>#N/A</v>
      </c>
      <c r="O248" s="464" t="e">
        <f t="shared" si="26"/>
        <v>#DIV/0!</v>
      </c>
      <c r="P248" s="464" t="e">
        <f>SUM($O$15:O248)</f>
        <v>#DIV/0!</v>
      </c>
    </row>
    <row r="249" spans="2:16">
      <c r="B249" s="176">
        <f t="shared" si="27"/>
        <v>44521</v>
      </c>
      <c r="C249" s="209">
        <f t="shared" si="25"/>
        <v>11</v>
      </c>
      <c r="D249" s="208"/>
      <c r="E249" s="208"/>
      <c r="F249" s="208"/>
      <c r="G249" s="625" t="e">
        <f t="shared" si="28"/>
        <v>#DIV/0!</v>
      </c>
      <c r="H249" s="464" t="e">
        <f t="shared" si="29"/>
        <v>#DIV/0!</v>
      </c>
      <c r="I249" s="464" t="e">
        <f>SUM($H$15:H249)</f>
        <v>#DIV/0!</v>
      </c>
      <c r="J249" s="207"/>
      <c r="K249" s="626" t="e">
        <f t="shared" si="30"/>
        <v>#N/A</v>
      </c>
      <c r="L249" s="630" t="e">
        <f t="shared" si="31"/>
        <v>#N/A</v>
      </c>
      <c r="M249" s="631" t="e">
        <f t="shared" si="24"/>
        <v>#N/A</v>
      </c>
      <c r="N249" s="464" t="e">
        <f>SUM($M$15:M249)</f>
        <v>#N/A</v>
      </c>
      <c r="O249" s="464" t="e">
        <f t="shared" si="26"/>
        <v>#DIV/0!</v>
      </c>
      <c r="P249" s="464" t="e">
        <f>SUM($O$15:O249)</f>
        <v>#DIV/0!</v>
      </c>
    </row>
    <row r="250" spans="2:16">
      <c r="B250" s="176">
        <f t="shared" si="27"/>
        <v>44522</v>
      </c>
      <c r="C250" s="209">
        <f t="shared" si="25"/>
        <v>11</v>
      </c>
      <c r="D250" s="208"/>
      <c r="E250" s="208"/>
      <c r="F250" s="208"/>
      <c r="G250" s="625" t="e">
        <f t="shared" si="28"/>
        <v>#DIV/0!</v>
      </c>
      <c r="H250" s="464" t="e">
        <f t="shared" si="29"/>
        <v>#DIV/0!</v>
      </c>
      <c r="I250" s="464" t="e">
        <f>SUM($H$15:H250)</f>
        <v>#DIV/0!</v>
      </c>
      <c r="J250" s="207"/>
      <c r="K250" s="626" t="e">
        <f t="shared" si="30"/>
        <v>#N/A</v>
      </c>
      <c r="L250" s="630" t="e">
        <f t="shared" si="31"/>
        <v>#N/A</v>
      </c>
      <c r="M250" s="631" t="e">
        <f t="shared" si="24"/>
        <v>#N/A</v>
      </c>
      <c r="N250" s="464" t="e">
        <f>SUM($M$15:M250)</f>
        <v>#N/A</v>
      </c>
      <c r="O250" s="464" t="e">
        <f t="shared" si="26"/>
        <v>#DIV/0!</v>
      </c>
      <c r="P250" s="464" t="e">
        <f>SUM($O$15:O250)</f>
        <v>#DIV/0!</v>
      </c>
    </row>
    <row r="251" spans="2:16">
      <c r="B251" s="176">
        <f t="shared" si="27"/>
        <v>44523</v>
      </c>
      <c r="C251" s="209">
        <f t="shared" si="25"/>
        <v>11</v>
      </c>
      <c r="D251" s="208"/>
      <c r="E251" s="208"/>
      <c r="F251" s="208"/>
      <c r="G251" s="625" t="e">
        <f t="shared" si="28"/>
        <v>#DIV/0!</v>
      </c>
      <c r="H251" s="464" t="e">
        <f t="shared" si="29"/>
        <v>#DIV/0!</v>
      </c>
      <c r="I251" s="464" t="e">
        <f>SUM($H$15:H251)</f>
        <v>#DIV/0!</v>
      </c>
      <c r="J251" s="207"/>
      <c r="K251" s="626" t="e">
        <f t="shared" si="30"/>
        <v>#N/A</v>
      </c>
      <c r="L251" s="630" t="e">
        <f t="shared" si="31"/>
        <v>#N/A</v>
      </c>
      <c r="M251" s="631" t="e">
        <f t="shared" si="24"/>
        <v>#N/A</v>
      </c>
      <c r="N251" s="464" t="e">
        <f>SUM($M$15:M251)</f>
        <v>#N/A</v>
      </c>
      <c r="O251" s="464" t="e">
        <f t="shared" si="26"/>
        <v>#DIV/0!</v>
      </c>
      <c r="P251" s="464" t="e">
        <f>SUM($O$15:O251)</f>
        <v>#DIV/0!</v>
      </c>
    </row>
    <row r="252" spans="2:16">
      <c r="B252" s="176">
        <f t="shared" si="27"/>
        <v>44524</v>
      </c>
      <c r="C252" s="209">
        <f t="shared" si="25"/>
        <v>11</v>
      </c>
      <c r="D252" s="208"/>
      <c r="E252" s="208"/>
      <c r="F252" s="208"/>
      <c r="G252" s="625" t="e">
        <f t="shared" si="28"/>
        <v>#DIV/0!</v>
      </c>
      <c r="H252" s="464" t="e">
        <f t="shared" si="29"/>
        <v>#DIV/0!</v>
      </c>
      <c r="I252" s="464" t="e">
        <f>SUM($H$15:H252)</f>
        <v>#DIV/0!</v>
      </c>
      <c r="J252" s="207"/>
      <c r="K252" s="626" t="e">
        <f t="shared" si="30"/>
        <v>#N/A</v>
      </c>
      <c r="L252" s="630" t="e">
        <f t="shared" si="31"/>
        <v>#N/A</v>
      </c>
      <c r="M252" s="631" t="e">
        <f t="shared" si="24"/>
        <v>#N/A</v>
      </c>
      <c r="N252" s="464" t="e">
        <f>SUM($M$15:M252)</f>
        <v>#N/A</v>
      </c>
      <c r="O252" s="464" t="e">
        <f t="shared" si="26"/>
        <v>#DIV/0!</v>
      </c>
      <c r="P252" s="464" t="e">
        <f>SUM($O$15:O252)</f>
        <v>#DIV/0!</v>
      </c>
    </row>
    <row r="253" spans="2:16">
      <c r="B253" s="176">
        <f t="shared" si="27"/>
        <v>44525</v>
      </c>
      <c r="C253" s="209">
        <f t="shared" si="25"/>
        <v>11</v>
      </c>
      <c r="D253" s="208"/>
      <c r="E253" s="208"/>
      <c r="F253" s="208"/>
      <c r="G253" s="625" t="e">
        <f t="shared" si="28"/>
        <v>#DIV/0!</v>
      </c>
      <c r="H253" s="464" t="e">
        <f t="shared" si="29"/>
        <v>#DIV/0!</v>
      </c>
      <c r="I253" s="464" t="e">
        <f>SUM($H$15:H253)</f>
        <v>#DIV/0!</v>
      </c>
      <c r="J253" s="207"/>
      <c r="K253" s="626" t="e">
        <f t="shared" si="30"/>
        <v>#N/A</v>
      </c>
      <c r="L253" s="630" t="e">
        <f t="shared" si="31"/>
        <v>#N/A</v>
      </c>
      <c r="M253" s="631" t="e">
        <f t="shared" si="24"/>
        <v>#N/A</v>
      </c>
      <c r="N253" s="464" t="e">
        <f>SUM($M$15:M253)</f>
        <v>#N/A</v>
      </c>
      <c r="O253" s="464" t="e">
        <f t="shared" si="26"/>
        <v>#DIV/0!</v>
      </c>
      <c r="P253" s="464" t="e">
        <f>SUM($O$15:O253)</f>
        <v>#DIV/0!</v>
      </c>
    </row>
    <row r="254" spans="2:16">
      <c r="B254" s="176">
        <f t="shared" si="27"/>
        <v>44526</v>
      </c>
      <c r="C254" s="209">
        <f t="shared" si="25"/>
        <v>11</v>
      </c>
      <c r="D254" s="208"/>
      <c r="E254" s="208"/>
      <c r="F254" s="208"/>
      <c r="G254" s="625" t="e">
        <f t="shared" si="28"/>
        <v>#DIV/0!</v>
      </c>
      <c r="H254" s="464" t="e">
        <f t="shared" si="29"/>
        <v>#DIV/0!</v>
      </c>
      <c r="I254" s="464" t="e">
        <f>SUM($H$15:H254)</f>
        <v>#DIV/0!</v>
      </c>
      <c r="J254" s="207"/>
      <c r="K254" s="626" t="e">
        <f t="shared" si="30"/>
        <v>#N/A</v>
      </c>
      <c r="L254" s="630" t="e">
        <f t="shared" si="31"/>
        <v>#N/A</v>
      </c>
      <c r="M254" s="631" t="e">
        <f t="shared" si="24"/>
        <v>#N/A</v>
      </c>
      <c r="N254" s="464" t="e">
        <f>SUM($M$15:M254)</f>
        <v>#N/A</v>
      </c>
      <c r="O254" s="464" t="e">
        <f t="shared" si="26"/>
        <v>#DIV/0!</v>
      </c>
      <c r="P254" s="464" t="e">
        <f>SUM($O$15:O254)</f>
        <v>#DIV/0!</v>
      </c>
    </row>
    <row r="255" spans="2:16">
      <c r="B255" s="176">
        <f t="shared" si="27"/>
        <v>44527</v>
      </c>
      <c r="C255" s="209">
        <f t="shared" si="25"/>
        <v>11</v>
      </c>
      <c r="D255" s="208"/>
      <c r="E255" s="208"/>
      <c r="F255" s="208"/>
      <c r="G255" s="625" t="e">
        <f t="shared" si="28"/>
        <v>#DIV/0!</v>
      </c>
      <c r="H255" s="464" t="e">
        <f t="shared" si="29"/>
        <v>#DIV/0!</v>
      </c>
      <c r="I255" s="464" t="e">
        <f>SUM($H$15:H255)</f>
        <v>#DIV/0!</v>
      </c>
      <c r="J255" s="207"/>
      <c r="K255" s="626" t="e">
        <f t="shared" si="30"/>
        <v>#N/A</v>
      </c>
      <c r="L255" s="630" t="e">
        <f t="shared" si="31"/>
        <v>#N/A</v>
      </c>
      <c r="M255" s="631" t="e">
        <f t="shared" si="24"/>
        <v>#N/A</v>
      </c>
      <c r="N255" s="464" t="e">
        <f>SUM($M$15:M255)</f>
        <v>#N/A</v>
      </c>
      <c r="O255" s="464" t="e">
        <f t="shared" si="26"/>
        <v>#DIV/0!</v>
      </c>
      <c r="P255" s="464" t="e">
        <f>SUM($O$15:O255)</f>
        <v>#DIV/0!</v>
      </c>
    </row>
    <row r="256" spans="2:16">
      <c r="B256" s="176">
        <f t="shared" si="27"/>
        <v>44528</v>
      </c>
      <c r="C256" s="209">
        <f t="shared" si="25"/>
        <v>11</v>
      </c>
      <c r="D256" s="208"/>
      <c r="E256" s="208"/>
      <c r="F256" s="208"/>
      <c r="G256" s="625" t="e">
        <f t="shared" si="28"/>
        <v>#DIV/0!</v>
      </c>
      <c r="H256" s="464" t="e">
        <f t="shared" si="29"/>
        <v>#DIV/0!</v>
      </c>
      <c r="I256" s="464" t="e">
        <f>SUM($H$15:H256)</f>
        <v>#DIV/0!</v>
      </c>
      <c r="J256" s="207"/>
      <c r="K256" s="626" t="e">
        <f t="shared" si="30"/>
        <v>#N/A</v>
      </c>
      <c r="L256" s="630" t="e">
        <f t="shared" si="31"/>
        <v>#N/A</v>
      </c>
      <c r="M256" s="631" t="e">
        <f t="shared" si="24"/>
        <v>#N/A</v>
      </c>
      <c r="N256" s="464" t="e">
        <f>SUM($M$15:M256)</f>
        <v>#N/A</v>
      </c>
      <c r="O256" s="464" t="e">
        <f t="shared" si="26"/>
        <v>#DIV/0!</v>
      </c>
      <c r="P256" s="464" t="e">
        <f>SUM($O$15:O256)</f>
        <v>#DIV/0!</v>
      </c>
    </row>
    <row r="257" spans="2:16">
      <c r="B257" s="176">
        <f t="shared" si="27"/>
        <v>44529</v>
      </c>
      <c r="C257" s="209">
        <f t="shared" si="25"/>
        <v>11</v>
      </c>
      <c r="D257" s="208"/>
      <c r="E257" s="208"/>
      <c r="F257" s="208"/>
      <c r="G257" s="625" t="e">
        <f t="shared" si="28"/>
        <v>#DIV/0!</v>
      </c>
      <c r="H257" s="464" t="e">
        <f t="shared" si="29"/>
        <v>#DIV/0!</v>
      </c>
      <c r="I257" s="464" t="e">
        <f>SUM($H$15:H257)</f>
        <v>#DIV/0!</v>
      </c>
      <c r="J257" s="207"/>
      <c r="K257" s="626" t="e">
        <f t="shared" si="30"/>
        <v>#N/A</v>
      </c>
      <c r="L257" s="630" t="e">
        <f t="shared" si="31"/>
        <v>#N/A</v>
      </c>
      <c r="M257" s="631" t="e">
        <f t="shared" si="24"/>
        <v>#N/A</v>
      </c>
      <c r="N257" s="464" t="e">
        <f>SUM($M$15:M257)</f>
        <v>#N/A</v>
      </c>
      <c r="O257" s="464" t="e">
        <f t="shared" si="26"/>
        <v>#DIV/0!</v>
      </c>
      <c r="P257" s="464" t="e">
        <f>SUM($O$15:O257)</f>
        <v>#DIV/0!</v>
      </c>
    </row>
    <row r="258" spans="2:16">
      <c r="B258" s="176">
        <f t="shared" si="27"/>
        <v>44530</v>
      </c>
      <c r="C258" s="209">
        <f t="shared" si="25"/>
        <v>11</v>
      </c>
      <c r="D258" s="208"/>
      <c r="E258" s="208"/>
      <c r="F258" s="208"/>
      <c r="G258" s="625" t="e">
        <f t="shared" si="28"/>
        <v>#DIV/0!</v>
      </c>
      <c r="H258" s="464" t="e">
        <f t="shared" si="29"/>
        <v>#DIV/0!</v>
      </c>
      <c r="I258" s="464" t="e">
        <f>SUM($H$15:H258)</f>
        <v>#DIV/0!</v>
      </c>
      <c r="J258" s="207"/>
      <c r="K258" s="626" t="e">
        <f t="shared" si="30"/>
        <v>#N/A</v>
      </c>
      <c r="L258" s="630" t="e">
        <f t="shared" si="31"/>
        <v>#N/A</v>
      </c>
      <c r="M258" s="631" t="e">
        <f t="shared" si="24"/>
        <v>#N/A</v>
      </c>
      <c r="N258" s="464" t="e">
        <f>SUM($M$15:M258)</f>
        <v>#N/A</v>
      </c>
      <c r="O258" s="464" t="e">
        <f t="shared" si="26"/>
        <v>#DIV/0!</v>
      </c>
      <c r="P258" s="464" t="e">
        <f>SUM($O$15:O258)</f>
        <v>#DIV/0!</v>
      </c>
    </row>
    <row r="259" spans="2:16">
      <c r="B259" s="176">
        <f t="shared" si="27"/>
        <v>44531</v>
      </c>
      <c r="C259" s="209">
        <f t="shared" si="25"/>
        <v>12</v>
      </c>
      <c r="D259" s="208"/>
      <c r="E259" s="208"/>
      <c r="F259" s="208"/>
      <c r="G259" s="625" t="e">
        <f t="shared" si="28"/>
        <v>#DIV/0!</v>
      </c>
      <c r="H259" s="464" t="e">
        <f t="shared" si="29"/>
        <v>#DIV/0!</v>
      </c>
      <c r="I259" s="464" t="e">
        <f>SUM($H$15:H259)</f>
        <v>#DIV/0!</v>
      </c>
      <c r="J259" s="207"/>
      <c r="K259" s="626" t="e">
        <f t="shared" si="30"/>
        <v>#N/A</v>
      </c>
      <c r="L259" s="627" t="e">
        <f t="shared" si="31"/>
        <v>#N/A</v>
      </c>
      <c r="M259" s="628" t="e">
        <f>IF(AND(L259&gt;=0, L259&lt;=1.5), 3200, IF(AND(L259&gt;1.5,L259&lt;=2.8),3200*((2.8-L259)/1.3),IF(AND(L259&gt;2.8, L259&lt;15), -24000*((2.8-L259)/-12.2), -24000)))</f>
        <v>#N/A</v>
      </c>
      <c r="N259" s="464" t="e">
        <f>SUM($M$15:M259)</f>
        <v>#N/A</v>
      </c>
      <c r="O259" s="464" t="e">
        <f t="shared" si="26"/>
        <v>#DIV/0!</v>
      </c>
      <c r="P259" s="464" t="e">
        <f>SUM($O$15:O259)</f>
        <v>#DIV/0!</v>
      </c>
    </row>
    <row r="260" spans="2:16">
      <c r="B260" s="176">
        <f t="shared" si="27"/>
        <v>44532</v>
      </c>
      <c r="C260" s="209">
        <f t="shared" si="25"/>
        <v>12</v>
      </c>
      <c r="D260" s="208"/>
      <c r="E260" s="208"/>
      <c r="F260" s="208"/>
      <c r="G260" s="625" t="e">
        <f t="shared" si="28"/>
        <v>#DIV/0!</v>
      </c>
      <c r="H260" s="464" t="e">
        <f t="shared" si="29"/>
        <v>#DIV/0!</v>
      </c>
      <c r="I260" s="464" t="e">
        <f>SUM($H$15:H260)</f>
        <v>#DIV/0!</v>
      </c>
      <c r="J260" s="207"/>
      <c r="K260" s="626" t="e">
        <f t="shared" si="30"/>
        <v>#N/A</v>
      </c>
      <c r="L260" s="627" t="e">
        <f t="shared" si="31"/>
        <v>#N/A</v>
      </c>
      <c r="M260" s="628" t="e">
        <f t="shared" ref="M260:M320" si="32">IF(AND(L260&gt;=0, L260&lt;=1.5), 3200, IF(AND(L260&gt;1.5,L260&lt;=2.8),3200*((2.8-L260)/1.3),IF(AND(L260&gt;2.8, L260&lt;15), -24000*((2.8-L260)/-12.2), -24000)))</f>
        <v>#N/A</v>
      </c>
      <c r="N260" s="464" t="e">
        <f>SUM($M$15:M260)</f>
        <v>#N/A</v>
      </c>
      <c r="O260" s="464" t="e">
        <f t="shared" si="26"/>
        <v>#DIV/0!</v>
      </c>
      <c r="P260" s="464" t="e">
        <f>SUM($O$15:O260)</f>
        <v>#DIV/0!</v>
      </c>
    </row>
    <row r="261" spans="2:16">
      <c r="B261" s="176">
        <f t="shared" si="27"/>
        <v>44533</v>
      </c>
      <c r="C261" s="209">
        <f t="shared" si="25"/>
        <v>12</v>
      </c>
      <c r="D261" s="208"/>
      <c r="E261" s="208"/>
      <c r="F261" s="208"/>
      <c r="G261" s="625" t="e">
        <f t="shared" si="28"/>
        <v>#DIV/0!</v>
      </c>
      <c r="H261" s="464" t="e">
        <f t="shared" si="29"/>
        <v>#DIV/0!</v>
      </c>
      <c r="I261" s="464" t="e">
        <f>SUM($H$15:H261)</f>
        <v>#DIV/0!</v>
      </c>
      <c r="J261" s="207"/>
      <c r="K261" s="626" t="e">
        <f t="shared" si="30"/>
        <v>#N/A</v>
      </c>
      <c r="L261" s="627" t="e">
        <f t="shared" si="31"/>
        <v>#N/A</v>
      </c>
      <c r="M261" s="628" t="e">
        <f t="shared" si="32"/>
        <v>#N/A</v>
      </c>
      <c r="N261" s="464" t="e">
        <f>SUM($M$15:M261)</f>
        <v>#N/A</v>
      </c>
      <c r="O261" s="464" t="e">
        <f t="shared" si="26"/>
        <v>#DIV/0!</v>
      </c>
      <c r="P261" s="464" t="e">
        <f>SUM($O$15:O261)</f>
        <v>#DIV/0!</v>
      </c>
    </row>
    <row r="262" spans="2:16">
      <c r="B262" s="176">
        <f t="shared" si="27"/>
        <v>44534</v>
      </c>
      <c r="C262" s="209">
        <f t="shared" si="25"/>
        <v>12</v>
      </c>
      <c r="D262" s="208"/>
      <c r="E262" s="208"/>
      <c r="F262" s="208"/>
      <c r="G262" s="625" t="e">
        <f t="shared" si="28"/>
        <v>#DIV/0!</v>
      </c>
      <c r="H262" s="464" t="e">
        <f t="shared" si="29"/>
        <v>#DIV/0!</v>
      </c>
      <c r="I262" s="464" t="e">
        <f>SUM($H$15:H262)</f>
        <v>#DIV/0!</v>
      </c>
      <c r="J262" s="207"/>
      <c r="K262" s="626" t="e">
        <f t="shared" si="30"/>
        <v>#N/A</v>
      </c>
      <c r="L262" s="627" t="e">
        <f t="shared" si="31"/>
        <v>#N/A</v>
      </c>
      <c r="M262" s="628" t="e">
        <f t="shared" si="32"/>
        <v>#N/A</v>
      </c>
      <c r="N262" s="464" t="e">
        <f>SUM($M$15:M262)</f>
        <v>#N/A</v>
      </c>
      <c r="O262" s="464" t="e">
        <f t="shared" si="26"/>
        <v>#DIV/0!</v>
      </c>
      <c r="P262" s="464" t="e">
        <f>SUM($O$15:O262)</f>
        <v>#DIV/0!</v>
      </c>
    </row>
    <row r="263" spans="2:16">
      <c r="B263" s="176">
        <f t="shared" si="27"/>
        <v>44535</v>
      </c>
      <c r="C263" s="209">
        <f t="shared" si="25"/>
        <v>12</v>
      </c>
      <c r="D263" s="208"/>
      <c r="E263" s="208"/>
      <c r="F263" s="208"/>
      <c r="G263" s="625" t="e">
        <f t="shared" si="28"/>
        <v>#DIV/0!</v>
      </c>
      <c r="H263" s="464" t="e">
        <f t="shared" si="29"/>
        <v>#DIV/0!</v>
      </c>
      <c r="I263" s="464" t="e">
        <f>SUM($H$15:H263)</f>
        <v>#DIV/0!</v>
      </c>
      <c r="J263" s="207"/>
      <c r="K263" s="626" t="e">
        <f t="shared" si="30"/>
        <v>#N/A</v>
      </c>
      <c r="L263" s="627" t="e">
        <f t="shared" si="31"/>
        <v>#N/A</v>
      </c>
      <c r="M263" s="628" t="e">
        <f t="shared" si="32"/>
        <v>#N/A</v>
      </c>
      <c r="N263" s="464" t="e">
        <f>SUM($M$15:M263)</f>
        <v>#N/A</v>
      </c>
      <c r="O263" s="464" t="e">
        <f t="shared" si="26"/>
        <v>#DIV/0!</v>
      </c>
      <c r="P263" s="464" t="e">
        <f>SUM($O$15:O263)</f>
        <v>#DIV/0!</v>
      </c>
    </row>
    <row r="264" spans="2:16">
      <c r="B264" s="176">
        <f t="shared" si="27"/>
        <v>44536</v>
      </c>
      <c r="C264" s="209">
        <f t="shared" si="25"/>
        <v>12</v>
      </c>
      <c r="D264" s="208"/>
      <c r="E264" s="208"/>
      <c r="F264" s="208"/>
      <c r="G264" s="625" t="e">
        <f t="shared" si="28"/>
        <v>#DIV/0!</v>
      </c>
      <c r="H264" s="464" t="e">
        <f t="shared" si="29"/>
        <v>#DIV/0!</v>
      </c>
      <c r="I264" s="464" t="e">
        <f>SUM($H$15:H264)</f>
        <v>#DIV/0!</v>
      </c>
      <c r="J264" s="207"/>
      <c r="K264" s="626" t="e">
        <f t="shared" si="30"/>
        <v>#N/A</v>
      </c>
      <c r="L264" s="627" t="e">
        <f t="shared" si="31"/>
        <v>#N/A</v>
      </c>
      <c r="M264" s="628" t="e">
        <f t="shared" si="32"/>
        <v>#N/A</v>
      </c>
      <c r="N264" s="464" t="e">
        <f>SUM($M$15:M264)</f>
        <v>#N/A</v>
      </c>
      <c r="O264" s="464" t="e">
        <f t="shared" si="26"/>
        <v>#DIV/0!</v>
      </c>
      <c r="P264" s="464" t="e">
        <f>SUM($O$15:O264)</f>
        <v>#DIV/0!</v>
      </c>
    </row>
    <row r="265" spans="2:16">
      <c r="B265" s="176">
        <f t="shared" si="27"/>
        <v>44537</v>
      </c>
      <c r="C265" s="209">
        <f t="shared" si="25"/>
        <v>12</v>
      </c>
      <c r="D265" s="208"/>
      <c r="E265" s="208"/>
      <c r="F265" s="208"/>
      <c r="G265" s="625" t="e">
        <f t="shared" si="28"/>
        <v>#DIV/0!</v>
      </c>
      <c r="H265" s="464" t="e">
        <f t="shared" si="29"/>
        <v>#DIV/0!</v>
      </c>
      <c r="I265" s="464" t="e">
        <f>SUM($H$15:H265)</f>
        <v>#DIV/0!</v>
      </c>
      <c r="J265" s="207"/>
      <c r="K265" s="626" t="e">
        <f t="shared" si="30"/>
        <v>#N/A</v>
      </c>
      <c r="L265" s="627" t="e">
        <f t="shared" si="31"/>
        <v>#N/A</v>
      </c>
      <c r="M265" s="628" t="e">
        <f t="shared" si="32"/>
        <v>#N/A</v>
      </c>
      <c r="N265" s="464" t="e">
        <f>SUM($M$15:M265)</f>
        <v>#N/A</v>
      </c>
      <c r="O265" s="464" t="e">
        <f t="shared" si="26"/>
        <v>#DIV/0!</v>
      </c>
      <c r="P265" s="464" t="e">
        <f>SUM($O$15:O265)</f>
        <v>#DIV/0!</v>
      </c>
    </row>
    <row r="266" spans="2:16">
      <c r="B266" s="176">
        <f t="shared" si="27"/>
        <v>44538</v>
      </c>
      <c r="C266" s="209">
        <f t="shared" si="25"/>
        <v>12</v>
      </c>
      <c r="D266" s="208"/>
      <c r="E266" s="208"/>
      <c r="F266" s="208"/>
      <c r="G266" s="625" t="e">
        <f t="shared" si="28"/>
        <v>#DIV/0!</v>
      </c>
      <c r="H266" s="464" t="e">
        <f t="shared" si="29"/>
        <v>#DIV/0!</v>
      </c>
      <c r="I266" s="464" t="e">
        <f>SUM($H$15:H266)</f>
        <v>#DIV/0!</v>
      </c>
      <c r="J266" s="207"/>
      <c r="K266" s="626" t="e">
        <f t="shared" si="30"/>
        <v>#N/A</v>
      </c>
      <c r="L266" s="627" t="e">
        <f t="shared" si="31"/>
        <v>#N/A</v>
      </c>
      <c r="M266" s="628" t="e">
        <f t="shared" si="32"/>
        <v>#N/A</v>
      </c>
      <c r="N266" s="464" t="e">
        <f>SUM($M$15:M266)</f>
        <v>#N/A</v>
      </c>
      <c r="O266" s="464" t="e">
        <f t="shared" si="26"/>
        <v>#DIV/0!</v>
      </c>
      <c r="P266" s="464" t="e">
        <f>SUM($O$15:O266)</f>
        <v>#DIV/0!</v>
      </c>
    </row>
    <row r="267" spans="2:16">
      <c r="B267" s="176">
        <f t="shared" si="27"/>
        <v>44539</v>
      </c>
      <c r="C267" s="209">
        <f t="shared" si="25"/>
        <v>12</v>
      </c>
      <c r="D267" s="208"/>
      <c r="E267" s="208"/>
      <c r="F267" s="208"/>
      <c r="G267" s="625" t="e">
        <f t="shared" si="28"/>
        <v>#DIV/0!</v>
      </c>
      <c r="H267" s="464" t="e">
        <f t="shared" si="29"/>
        <v>#DIV/0!</v>
      </c>
      <c r="I267" s="464" t="e">
        <f>SUM($H$15:H267)</f>
        <v>#DIV/0!</v>
      </c>
      <c r="J267" s="207"/>
      <c r="K267" s="626" t="e">
        <f t="shared" si="30"/>
        <v>#N/A</v>
      </c>
      <c r="L267" s="627" t="e">
        <f t="shared" si="31"/>
        <v>#N/A</v>
      </c>
      <c r="M267" s="628" t="e">
        <f t="shared" si="32"/>
        <v>#N/A</v>
      </c>
      <c r="N267" s="464" t="e">
        <f>SUM($M$15:M267)</f>
        <v>#N/A</v>
      </c>
      <c r="O267" s="464" t="e">
        <f t="shared" si="26"/>
        <v>#DIV/0!</v>
      </c>
      <c r="P267" s="464" t="e">
        <f>SUM($O$15:O267)</f>
        <v>#DIV/0!</v>
      </c>
    </row>
    <row r="268" spans="2:16">
      <c r="B268" s="176">
        <f t="shared" si="27"/>
        <v>44540</v>
      </c>
      <c r="C268" s="209">
        <f t="shared" si="25"/>
        <v>12</v>
      </c>
      <c r="D268" s="208"/>
      <c r="E268" s="208"/>
      <c r="F268" s="208"/>
      <c r="G268" s="625" t="e">
        <f t="shared" si="28"/>
        <v>#DIV/0!</v>
      </c>
      <c r="H268" s="464" t="e">
        <f t="shared" si="29"/>
        <v>#DIV/0!</v>
      </c>
      <c r="I268" s="464" t="e">
        <f>SUM($H$15:H268)</f>
        <v>#DIV/0!</v>
      </c>
      <c r="J268" s="207"/>
      <c r="K268" s="626" t="e">
        <f t="shared" si="30"/>
        <v>#N/A</v>
      </c>
      <c r="L268" s="627" t="e">
        <f t="shared" si="31"/>
        <v>#N/A</v>
      </c>
      <c r="M268" s="628" t="e">
        <f t="shared" si="32"/>
        <v>#N/A</v>
      </c>
      <c r="N268" s="464" t="e">
        <f>SUM($M$15:M268)</f>
        <v>#N/A</v>
      </c>
      <c r="O268" s="464" t="e">
        <f t="shared" si="26"/>
        <v>#DIV/0!</v>
      </c>
      <c r="P268" s="464" t="e">
        <f>SUM($O$15:O268)</f>
        <v>#DIV/0!</v>
      </c>
    </row>
    <row r="269" spans="2:16">
      <c r="B269" s="176">
        <f t="shared" si="27"/>
        <v>44541</v>
      </c>
      <c r="C269" s="209">
        <f t="shared" si="25"/>
        <v>12</v>
      </c>
      <c r="D269" s="208"/>
      <c r="E269" s="208"/>
      <c r="F269" s="208"/>
      <c r="G269" s="625" t="e">
        <f t="shared" si="28"/>
        <v>#DIV/0!</v>
      </c>
      <c r="H269" s="464" t="e">
        <f t="shared" si="29"/>
        <v>#DIV/0!</v>
      </c>
      <c r="I269" s="464" t="e">
        <f>SUM($H$15:H269)</f>
        <v>#DIV/0!</v>
      </c>
      <c r="J269" s="207"/>
      <c r="K269" s="626" t="e">
        <f t="shared" si="30"/>
        <v>#N/A</v>
      </c>
      <c r="L269" s="627" t="e">
        <f t="shared" si="31"/>
        <v>#N/A</v>
      </c>
      <c r="M269" s="628" t="e">
        <f t="shared" si="32"/>
        <v>#N/A</v>
      </c>
      <c r="N269" s="464" t="e">
        <f>SUM($M$15:M269)</f>
        <v>#N/A</v>
      </c>
      <c r="O269" s="464" t="e">
        <f t="shared" si="26"/>
        <v>#DIV/0!</v>
      </c>
      <c r="P269" s="464" t="e">
        <f>SUM($O$15:O269)</f>
        <v>#DIV/0!</v>
      </c>
    </row>
    <row r="270" spans="2:16">
      <c r="B270" s="176">
        <f t="shared" si="27"/>
        <v>44542</v>
      </c>
      <c r="C270" s="209">
        <f t="shared" si="25"/>
        <v>12</v>
      </c>
      <c r="D270" s="208"/>
      <c r="E270" s="208"/>
      <c r="F270" s="208"/>
      <c r="G270" s="625" t="e">
        <f t="shared" si="28"/>
        <v>#DIV/0!</v>
      </c>
      <c r="H270" s="464" t="e">
        <f t="shared" si="29"/>
        <v>#DIV/0!</v>
      </c>
      <c r="I270" s="464" t="e">
        <f>SUM($H$15:H270)</f>
        <v>#DIV/0!</v>
      </c>
      <c r="J270" s="207"/>
      <c r="K270" s="626" t="e">
        <f t="shared" si="30"/>
        <v>#N/A</v>
      </c>
      <c r="L270" s="627" t="e">
        <f t="shared" si="31"/>
        <v>#N/A</v>
      </c>
      <c r="M270" s="628" t="e">
        <f t="shared" si="32"/>
        <v>#N/A</v>
      </c>
      <c r="N270" s="464" t="e">
        <f>SUM($M$15:M270)</f>
        <v>#N/A</v>
      </c>
      <c r="O270" s="464" t="e">
        <f t="shared" si="26"/>
        <v>#DIV/0!</v>
      </c>
      <c r="P270" s="464" t="e">
        <f>SUM($O$15:O270)</f>
        <v>#DIV/0!</v>
      </c>
    </row>
    <row r="271" spans="2:16">
      <c r="B271" s="176">
        <f t="shared" si="27"/>
        <v>44543</v>
      </c>
      <c r="C271" s="209">
        <f t="shared" ref="C271:C334" si="33">MONTH(B271)</f>
        <v>12</v>
      </c>
      <c r="D271" s="208"/>
      <c r="E271" s="208"/>
      <c r="F271" s="208"/>
      <c r="G271" s="625" t="e">
        <f t="shared" si="28"/>
        <v>#DIV/0!</v>
      </c>
      <c r="H271" s="464" t="e">
        <f t="shared" si="29"/>
        <v>#DIV/0!</v>
      </c>
      <c r="I271" s="464" t="e">
        <f>SUM($H$15:H271)</f>
        <v>#DIV/0!</v>
      </c>
      <c r="J271" s="207"/>
      <c r="K271" s="626" t="e">
        <f t="shared" si="30"/>
        <v>#N/A</v>
      </c>
      <c r="L271" s="627" t="e">
        <f t="shared" si="31"/>
        <v>#N/A</v>
      </c>
      <c r="M271" s="628" t="e">
        <f t="shared" si="32"/>
        <v>#N/A</v>
      </c>
      <c r="N271" s="464" t="e">
        <f>SUM($M$15:M271)</f>
        <v>#N/A</v>
      </c>
      <c r="O271" s="464" t="e">
        <f t="shared" ref="O271:O334" si="34">SUM(H271+M271)</f>
        <v>#DIV/0!</v>
      </c>
      <c r="P271" s="464" t="e">
        <f>SUM($O$15:O271)</f>
        <v>#DIV/0!</v>
      </c>
    </row>
    <row r="272" spans="2:16">
      <c r="B272" s="176">
        <f t="shared" ref="B272:B335" si="35">B271+1</f>
        <v>44544</v>
      </c>
      <c r="C272" s="209">
        <f t="shared" si="33"/>
        <v>12</v>
      </c>
      <c r="D272" s="208"/>
      <c r="E272" s="208"/>
      <c r="F272" s="208"/>
      <c r="G272" s="625" t="e">
        <f t="shared" ref="G272:G335" si="36">((E272-F272)/D272)*100</f>
        <v>#DIV/0!</v>
      </c>
      <c r="H272" s="464" t="e">
        <f t="shared" ref="H272:H335" si="37">IF(AND(G272&gt;=0,G272&lt;=5),1200-(G272*800),IF(AND(G272&gt;5,G272&lt;75.667),-2800-(300*(G272-5)),-24000))</f>
        <v>#DIV/0!</v>
      </c>
      <c r="I272" s="464" t="e">
        <f>SUM($H$15:H272)</f>
        <v>#DIV/0!</v>
      </c>
      <c r="J272" s="207"/>
      <c r="K272" s="626" t="e">
        <f t="shared" ref="K272:K335" si="38">IF(ISBLANK(J273),#N/A,J273)</f>
        <v>#N/A</v>
      </c>
      <c r="L272" s="627" t="e">
        <f t="shared" ref="L272:L335" si="39">MAX((J272-K272),(K272-J272))</f>
        <v>#N/A</v>
      </c>
      <c r="M272" s="628" t="e">
        <f t="shared" si="32"/>
        <v>#N/A</v>
      </c>
      <c r="N272" s="464" t="e">
        <f>SUM($M$15:M272)</f>
        <v>#N/A</v>
      </c>
      <c r="O272" s="464" t="e">
        <f t="shared" si="34"/>
        <v>#DIV/0!</v>
      </c>
      <c r="P272" s="464" t="e">
        <f>SUM($O$15:O272)</f>
        <v>#DIV/0!</v>
      </c>
    </row>
    <row r="273" spans="2:16">
      <c r="B273" s="176">
        <f t="shared" si="35"/>
        <v>44545</v>
      </c>
      <c r="C273" s="209">
        <f t="shared" si="33"/>
        <v>12</v>
      </c>
      <c r="D273" s="208"/>
      <c r="E273" s="208"/>
      <c r="F273" s="208"/>
      <c r="G273" s="625" t="e">
        <f t="shared" si="36"/>
        <v>#DIV/0!</v>
      </c>
      <c r="H273" s="464" t="e">
        <f t="shared" si="37"/>
        <v>#DIV/0!</v>
      </c>
      <c r="I273" s="464" t="e">
        <f>SUM($H$15:H273)</f>
        <v>#DIV/0!</v>
      </c>
      <c r="J273" s="207"/>
      <c r="K273" s="626" t="e">
        <f t="shared" si="38"/>
        <v>#N/A</v>
      </c>
      <c r="L273" s="627" t="e">
        <f t="shared" si="39"/>
        <v>#N/A</v>
      </c>
      <c r="M273" s="628" t="e">
        <f t="shared" si="32"/>
        <v>#N/A</v>
      </c>
      <c r="N273" s="464" t="e">
        <f>SUM($M$15:M273)</f>
        <v>#N/A</v>
      </c>
      <c r="O273" s="464" t="e">
        <f t="shared" si="34"/>
        <v>#DIV/0!</v>
      </c>
      <c r="P273" s="464" t="e">
        <f>SUM($O$15:O273)</f>
        <v>#DIV/0!</v>
      </c>
    </row>
    <row r="274" spans="2:16">
      <c r="B274" s="176">
        <f t="shared" si="35"/>
        <v>44546</v>
      </c>
      <c r="C274" s="209">
        <f t="shared" si="33"/>
        <v>12</v>
      </c>
      <c r="D274" s="208"/>
      <c r="E274" s="208"/>
      <c r="F274" s="208"/>
      <c r="G274" s="625" t="e">
        <f t="shared" si="36"/>
        <v>#DIV/0!</v>
      </c>
      <c r="H274" s="464" t="e">
        <f t="shared" si="37"/>
        <v>#DIV/0!</v>
      </c>
      <c r="I274" s="464" t="e">
        <f>SUM($H$15:H274)</f>
        <v>#DIV/0!</v>
      </c>
      <c r="J274" s="207"/>
      <c r="K274" s="626" t="e">
        <f t="shared" si="38"/>
        <v>#N/A</v>
      </c>
      <c r="L274" s="627" t="e">
        <f t="shared" si="39"/>
        <v>#N/A</v>
      </c>
      <c r="M274" s="628" t="e">
        <f t="shared" si="32"/>
        <v>#N/A</v>
      </c>
      <c r="N274" s="464" t="e">
        <f>SUM($M$15:M274)</f>
        <v>#N/A</v>
      </c>
      <c r="O274" s="464" t="e">
        <f t="shared" si="34"/>
        <v>#DIV/0!</v>
      </c>
      <c r="P274" s="464" t="e">
        <f>SUM($O$15:O274)</f>
        <v>#DIV/0!</v>
      </c>
    </row>
    <row r="275" spans="2:16">
      <c r="B275" s="176">
        <f t="shared" si="35"/>
        <v>44547</v>
      </c>
      <c r="C275" s="209">
        <f t="shared" si="33"/>
        <v>12</v>
      </c>
      <c r="D275" s="208"/>
      <c r="E275" s="208"/>
      <c r="F275" s="208"/>
      <c r="G275" s="625" t="e">
        <f t="shared" si="36"/>
        <v>#DIV/0!</v>
      </c>
      <c r="H275" s="464" t="e">
        <f t="shared" si="37"/>
        <v>#DIV/0!</v>
      </c>
      <c r="I275" s="464" t="e">
        <f>SUM($H$15:H275)</f>
        <v>#DIV/0!</v>
      </c>
      <c r="J275" s="207"/>
      <c r="K275" s="626" t="e">
        <f t="shared" si="38"/>
        <v>#N/A</v>
      </c>
      <c r="L275" s="627" t="e">
        <f t="shared" si="39"/>
        <v>#N/A</v>
      </c>
      <c r="M275" s="628" t="e">
        <f t="shared" si="32"/>
        <v>#N/A</v>
      </c>
      <c r="N275" s="464" t="e">
        <f>SUM($M$15:M275)</f>
        <v>#N/A</v>
      </c>
      <c r="O275" s="464" t="e">
        <f t="shared" si="34"/>
        <v>#DIV/0!</v>
      </c>
      <c r="P275" s="464" t="e">
        <f>SUM($O$15:O275)</f>
        <v>#DIV/0!</v>
      </c>
    </row>
    <row r="276" spans="2:16">
      <c r="B276" s="176">
        <f t="shared" si="35"/>
        <v>44548</v>
      </c>
      <c r="C276" s="209">
        <f t="shared" si="33"/>
        <v>12</v>
      </c>
      <c r="D276" s="208"/>
      <c r="E276" s="208"/>
      <c r="F276" s="208"/>
      <c r="G276" s="625" t="e">
        <f t="shared" si="36"/>
        <v>#DIV/0!</v>
      </c>
      <c r="H276" s="464" t="e">
        <f t="shared" si="37"/>
        <v>#DIV/0!</v>
      </c>
      <c r="I276" s="464" t="e">
        <f>SUM($H$15:H276)</f>
        <v>#DIV/0!</v>
      </c>
      <c r="J276" s="207"/>
      <c r="K276" s="626" t="e">
        <f t="shared" si="38"/>
        <v>#N/A</v>
      </c>
      <c r="L276" s="627" t="e">
        <f t="shared" si="39"/>
        <v>#N/A</v>
      </c>
      <c r="M276" s="628" t="e">
        <f t="shared" si="32"/>
        <v>#N/A</v>
      </c>
      <c r="N276" s="464" t="e">
        <f>SUM($M$15:M276)</f>
        <v>#N/A</v>
      </c>
      <c r="O276" s="464" t="e">
        <f t="shared" si="34"/>
        <v>#DIV/0!</v>
      </c>
      <c r="P276" s="464" t="e">
        <f>SUM($O$15:O276)</f>
        <v>#DIV/0!</v>
      </c>
    </row>
    <row r="277" spans="2:16">
      <c r="B277" s="176">
        <f t="shared" si="35"/>
        <v>44549</v>
      </c>
      <c r="C277" s="209">
        <f t="shared" si="33"/>
        <v>12</v>
      </c>
      <c r="D277" s="208"/>
      <c r="E277" s="208"/>
      <c r="F277" s="208"/>
      <c r="G277" s="625" t="e">
        <f t="shared" si="36"/>
        <v>#DIV/0!</v>
      </c>
      <c r="H277" s="464" t="e">
        <f t="shared" si="37"/>
        <v>#DIV/0!</v>
      </c>
      <c r="I277" s="464" t="e">
        <f>SUM($H$15:H277)</f>
        <v>#DIV/0!</v>
      </c>
      <c r="J277" s="207"/>
      <c r="K277" s="626" t="e">
        <f t="shared" si="38"/>
        <v>#N/A</v>
      </c>
      <c r="L277" s="627" t="e">
        <f t="shared" si="39"/>
        <v>#N/A</v>
      </c>
      <c r="M277" s="628" t="e">
        <f t="shared" si="32"/>
        <v>#N/A</v>
      </c>
      <c r="N277" s="464" t="e">
        <f>SUM($M$15:M277)</f>
        <v>#N/A</v>
      </c>
      <c r="O277" s="464" t="e">
        <f t="shared" si="34"/>
        <v>#DIV/0!</v>
      </c>
      <c r="P277" s="464" t="e">
        <f>SUM($O$15:O277)</f>
        <v>#DIV/0!</v>
      </c>
    </row>
    <row r="278" spans="2:16">
      <c r="B278" s="176">
        <f t="shared" si="35"/>
        <v>44550</v>
      </c>
      <c r="C278" s="209">
        <f t="shared" si="33"/>
        <v>12</v>
      </c>
      <c r="D278" s="208"/>
      <c r="E278" s="208"/>
      <c r="F278" s="208"/>
      <c r="G278" s="625" t="e">
        <f t="shared" si="36"/>
        <v>#DIV/0!</v>
      </c>
      <c r="H278" s="464" t="e">
        <f t="shared" si="37"/>
        <v>#DIV/0!</v>
      </c>
      <c r="I278" s="464" t="e">
        <f>SUM($H$15:H278)</f>
        <v>#DIV/0!</v>
      </c>
      <c r="J278" s="207"/>
      <c r="K278" s="626" t="e">
        <f t="shared" si="38"/>
        <v>#N/A</v>
      </c>
      <c r="L278" s="627" t="e">
        <f t="shared" si="39"/>
        <v>#N/A</v>
      </c>
      <c r="M278" s="628" t="e">
        <f t="shared" si="32"/>
        <v>#N/A</v>
      </c>
      <c r="N278" s="464" t="e">
        <f>SUM($M$15:M278)</f>
        <v>#N/A</v>
      </c>
      <c r="O278" s="464" t="e">
        <f t="shared" si="34"/>
        <v>#DIV/0!</v>
      </c>
      <c r="P278" s="464" t="e">
        <f>SUM($O$15:O278)</f>
        <v>#DIV/0!</v>
      </c>
    </row>
    <row r="279" spans="2:16">
      <c r="B279" s="176">
        <f t="shared" si="35"/>
        <v>44551</v>
      </c>
      <c r="C279" s="209">
        <f t="shared" si="33"/>
        <v>12</v>
      </c>
      <c r="D279" s="208"/>
      <c r="E279" s="208"/>
      <c r="F279" s="208"/>
      <c r="G279" s="625" t="e">
        <f t="shared" si="36"/>
        <v>#DIV/0!</v>
      </c>
      <c r="H279" s="464" t="e">
        <f t="shared" si="37"/>
        <v>#DIV/0!</v>
      </c>
      <c r="I279" s="464" t="e">
        <f>SUM($H$15:H279)</f>
        <v>#DIV/0!</v>
      </c>
      <c r="J279" s="207"/>
      <c r="K279" s="626" t="e">
        <f t="shared" si="38"/>
        <v>#N/A</v>
      </c>
      <c r="L279" s="627" t="e">
        <f t="shared" si="39"/>
        <v>#N/A</v>
      </c>
      <c r="M279" s="628" t="e">
        <f t="shared" si="32"/>
        <v>#N/A</v>
      </c>
      <c r="N279" s="464" t="e">
        <f>SUM($M$15:M279)</f>
        <v>#N/A</v>
      </c>
      <c r="O279" s="464" t="e">
        <f t="shared" si="34"/>
        <v>#DIV/0!</v>
      </c>
      <c r="P279" s="464" t="e">
        <f>SUM($O$15:O279)</f>
        <v>#DIV/0!</v>
      </c>
    </row>
    <row r="280" spans="2:16">
      <c r="B280" s="176">
        <f t="shared" si="35"/>
        <v>44552</v>
      </c>
      <c r="C280" s="209">
        <f t="shared" si="33"/>
        <v>12</v>
      </c>
      <c r="D280" s="208"/>
      <c r="E280" s="208"/>
      <c r="F280" s="208"/>
      <c r="G280" s="625" t="e">
        <f t="shared" si="36"/>
        <v>#DIV/0!</v>
      </c>
      <c r="H280" s="464" t="e">
        <f t="shared" si="37"/>
        <v>#DIV/0!</v>
      </c>
      <c r="I280" s="464" t="e">
        <f>SUM($H$15:H280)</f>
        <v>#DIV/0!</v>
      </c>
      <c r="J280" s="207"/>
      <c r="K280" s="626" t="e">
        <f t="shared" si="38"/>
        <v>#N/A</v>
      </c>
      <c r="L280" s="627" t="e">
        <f t="shared" si="39"/>
        <v>#N/A</v>
      </c>
      <c r="M280" s="628" t="e">
        <f t="shared" si="32"/>
        <v>#N/A</v>
      </c>
      <c r="N280" s="464" t="e">
        <f>SUM($M$15:M280)</f>
        <v>#N/A</v>
      </c>
      <c r="O280" s="464" t="e">
        <f t="shared" si="34"/>
        <v>#DIV/0!</v>
      </c>
      <c r="P280" s="464" t="e">
        <f>SUM($O$15:O280)</f>
        <v>#DIV/0!</v>
      </c>
    </row>
    <row r="281" spans="2:16">
      <c r="B281" s="176">
        <f t="shared" si="35"/>
        <v>44553</v>
      </c>
      <c r="C281" s="209">
        <f t="shared" si="33"/>
        <v>12</v>
      </c>
      <c r="D281" s="208"/>
      <c r="E281" s="208"/>
      <c r="F281" s="208"/>
      <c r="G281" s="625" t="e">
        <f t="shared" si="36"/>
        <v>#DIV/0!</v>
      </c>
      <c r="H281" s="464" t="e">
        <f t="shared" si="37"/>
        <v>#DIV/0!</v>
      </c>
      <c r="I281" s="464" t="e">
        <f>SUM($H$15:H281)</f>
        <v>#DIV/0!</v>
      </c>
      <c r="J281" s="207"/>
      <c r="K281" s="626" t="e">
        <f t="shared" si="38"/>
        <v>#N/A</v>
      </c>
      <c r="L281" s="627" t="e">
        <f t="shared" si="39"/>
        <v>#N/A</v>
      </c>
      <c r="M281" s="628" t="e">
        <f t="shared" si="32"/>
        <v>#N/A</v>
      </c>
      <c r="N281" s="464" t="e">
        <f>SUM($M$15:M281)</f>
        <v>#N/A</v>
      </c>
      <c r="O281" s="464" t="e">
        <f t="shared" si="34"/>
        <v>#DIV/0!</v>
      </c>
      <c r="P281" s="464" t="e">
        <f>SUM($O$15:O281)</f>
        <v>#DIV/0!</v>
      </c>
    </row>
    <row r="282" spans="2:16">
      <c r="B282" s="176">
        <f t="shared" si="35"/>
        <v>44554</v>
      </c>
      <c r="C282" s="209">
        <f t="shared" si="33"/>
        <v>12</v>
      </c>
      <c r="D282" s="208"/>
      <c r="E282" s="208"/>
      <c r="F282" s="208"/>
      <c r="G282" s="625" t="e">
        <f t="shared" si="36"/>
        <v>#DIV/0!</v>
      </c>
      <c r="H282" s="464" t="e">
        <f t="shared" si="37"/>
        <v>#DIV/0!</v>
      </c>
      <c r="I282" s="464" t="e">
        <f>SUM($H$15:H282)</f>
        <v>#DIV/0!</v>
      </c>
      <c r="J282" s="207"/>
      <c r="K282" s="626" t="e">
        <f t="shared" si="38"/>
        <v>#N/A</v>
      </c>
      <c r="L282" s="627" t="e">
        <f t="shared" si="39"/>
        <v>#N/A</v>
      </c>
      <c r="M282" s="628" t="e">
        <f t="shared" si="32"/>
        <v>#N/A</v>
      </c>
      <c r="N282" s="464" t="e">
        <f>SUM($M$15:M282)</f>
        <v>#N/A</v>
      </c>
      <c r="O282" s="464" t="e">
        <f t="shared" si="34"/>
        <v>#DIV/0!</v>
      </c>
      <c r="P282" s="464" t="e">
        <f>SUM($O$15:O282)</f>
        <v>#DIV/0!</v>
      </c>
    </row>
    <row r="283" spans="2:16">
      <c r="B283" s="176">
        <f t="shared" si="35"/>
        <v>44555</v>
      </c>
      <c r="C283" s="209">
        <f t="shared" si="33"/>
        <v>12</v>
      </c>
      <c r="D283" s="208"/>
      <c r="E283" s="208"/>
      <c r="F283" s="208"/>
      <c r="G283" s="625" t="e">
        <f t="shared" si="36"/>
        <v>#DIV/0!</v>
      </c>
      <c r="H283" s="464" t="e">
        <f t="shared" si="37"/>
        <v>#DIV/0!</v>
      </c>
      <c r="I283" s="464" t="e">
        <f>SUM($H$15:H283)</f>
        <v>#DIV/0!</v>
      </c>
      <c r="J283" s="207"/>
      <c r="K283" s="626" t="e">
        <f t="shared" si="38"/>
        <v>#N/A</v>
      </c>
      <c r="L283" s="627" t="e">
        <f t="shared" si="39"/>
        <v>#N/A</v>
      </c>
      <c r="M283" s="628" t="e">
        <f t="shared" si="32"/>
        <v>#N/A</v>
      </c>
      <c r="N283" s="464" t="e">
        <f>SUM($M$15:M283)</f>
        <v>#N/A</v>
      </c>
      <c r="O283" s="464" t="e">
        <f t="shared" si="34"/>
        <v>#DIV/0!</v>
      </c>
      <c r="P283" s="464" t="e">
        <f>SUM($O$15:O283)</f>
        <v>#DIV/0!</v>
      </c>
    </row>
    <row r="284" spans="2:16">
      <c r="B284" s="176">
        <f t="shared" si="35"/>
        <v>44556</v>
      </c>
      <c r="C284" s="209">
        <f t="shared" si="33"/>
        <v>12</v>
      </c>
      <c r="D284" s="208"/>
      <c r="E284" s="208"/>
      <c r="F284" s="208"/>
      <c r="G284" s="625" t="e">
        <f t="shared" si="36"/>
        <v>#DIV/0!</v>
      </c>
      <c r="H284" s="464" t="e">
        <f t="shared" si="37"/>
        <v>#DIV/0!</v>
      </c>
      <c r="I284" s="464" t="e">
        <f>SUM($H$15:H284)</f>
        <v>#DIV/0!</v>
      </c>
      <c r="J284" s="207"/>
      <c r="K284" s="626" t="e">
        <f t="shared" si="38"/>
        <v>#N/A</v>
      </c>
      <c r="L284" s="627" t="e">
        <f t="shared" si="39"/>
        <v>#N/A</v>
      </c>
      <c r="M284" s="628" t="e">
        <f t="shared" si="32"/>
        <v>#N/A</v>
      </c>
      <c r="N284" s="464" t="e">
        <f>SUM($M$15:M284)</f>
        <v>#N/A</v>
      </c>
      <c r="O284" s="464" t="e">
        <f t="shared" si="34"/>
        <v>#DIV/0!</v>
      </c>
      <c r="P284" s="464" t="e">
        <f>SUM($O$15:O284)</f>
        <v>#DIV/0!</v>
      </c>
    </row>
    <row r="285" spans="2:16">
      <c r="B285" s="176">
        <f t="shared" si="35"/>
        <v>44557</v>
      </c>
      <c r="C285" s="209">
        <f t="shared" si="33"/>
        <v>12</v>
      </c>
      <c r="D285" s="208"/>
      <c r="E285" s="208"/>
      <c r="F285" s="208"/>
      <c r="G285" s="625" t="e">
        <f t="shared" si="36"/>
        <v>#DIV/0!</v>
      </c>
      <c r="H285" s="464" t="e">
        <f t="shared" si="37"/>
        <v>#DIV/0!</v>
      </c>
      <c r="I285" s="464" t="e">
        <f>SUM($H$15:H285)</f>
        <v>#DIV/0!</v>
      </c>
      <c r="J285" s="207"/>
      <c r="K285" s="626" t="e">
        <f t="shared" si="38"/>
        <v>#N/A</v>
      </c>
      <c r="L285" s="627" t="e">
        <f t="shared" si="39"/>
        <v>#N/A</v>
      </c>
      <c r="M285" s="628" t="e">
        <f t="shared" si="32"/>
        <v>#N/A</v>
      </c>
      <c r="N285" s="464" t="e">
        <f>SUM($M$15:M285)</f>
        <v>#N/A</v>
      </c>
      <c r="O285" s="464" t="e">
        <f t="shared" si="34"/>
        <v>#DIV/0!</v>
      </c>
      <c r="P285" s="464" t="e">
        <f>SUM($O$15:O285)</f>
        <v>#DIV/0!</v>
      </c>
    </row>
    <row r="286" spans="2:16">
      <c r="B286" s="176">
        <f t="shared" si="35"/>
        <v>44558</v>
      </c>
      <c r="C286" s="209">
        <f t="shared" si="33"/>
        <v>12</v>
      </c>
      <c r="D286" s="208"/>
      <c r="E286" s="208"/>
      <c r="F286" s="208"/>
      <c r="G286" s="625" t="e">
        <f t="shared" si="36"/>
        <v>#DIV/0!</v>
      </c>
      <c r="H286" s="464" t="e">
        <f t="shared" si="37"/>
        <v>#DIV/0!</v>
      </c>
      <c r="I286" s="464" t="e">
        <f>SUM($H$15:H286)</f>
        <v>#DIV/0!</v>
      </c>
      <c r="J286" s="207"/>
      <c r="K286" s="626" t="e">
        <f t="shared" si="38"/>
        <v>#N/A</v>
      </c>
      <c r="L286" s="627" t="e">
        <f t="shared" si="39"/>
        <v>#N/A</v>
      </c>
      <c r="M286" s="628" t="e">
        <f t="shared" si="32"/>
        <v>#N/A</v>
      </c>
      <c r="N286" s="464" t="e">
        <f>SUM($M$15:M286)</f>
        <v>#N/A</v>
      </c>
      <c r="O286" s="464" t="e">
        <f t="shared" si="34"/>
        <v>#DIV/0!</v>
      </c>
      <c r="P286" s="464" t="e">
        <f>SUM($O$15:O286)</f>
        <v>#DIV/0!</v>
      </c>
    </row>
    <row r="287" spans="2:16">
      <c r="B287" s="176">
        <f t="shared" si="35"/>
        <v>44559</v>
      </c>
      <c r="C287" s="209">
        <f t="shared" si="33"/>
        <v>12</v>
      </c>
      <c r="D287" s="208"/>
      <c r="E287" s="208"/>
      <c r="F287" s="208"/>
      <c r="G287" s="625" t="e">
        <f t="shared" si="36"/>
        <v>#DIV/0!</v>
      </c>
      <c r="H287" s="464" t="e">
        <f t="shared" si="37"/>
        <v>#DIV/0!</v>
      </c>
      <c r="I287" s="464" t="e">
        <f>SUM($H$15:H287)</f>
        <v>#DIV/0!</v>
      </c>
      <c r="J287" s="207"/>
      <c r="K287" s="626" t="e">
        <f t="shared" si="38"/>
        <v>#N/A</v>
      </c>
      <c r="L287" s="627" t="e">
        <f t="shared" si="39"/>
        <v>#N/A</v>
      </c>
      <c r="M287" s="628" t="e">
        <f t="shared" si="32"/>
        <v>#N/A</v>
      </c>
      <c r="N287" s="464" t="e">
        <f>SUM($M$15:M287)</f>
        <v>#N/A</v>
      </c>
      <c r="O287" s="464" t="e">
        <f t="shared" si="34"/>
        <v>#DIV/0!</v>
      </c>
      <c r="P287" s="464" t="e">
        <f>SUM($O$15:O287)</f>
        <v>#DIV/0!</v>
      </c>
    </row>
    <row r="288" spans="2:16">
      <c r="B288" s="176">
        <f t="shared" si="35"/>
        <v>44560</v>
      </c>
      <c r="C288" s="209">
        <f t="shared" si="33"/>
        <v>12</v>
      </c>
      <c r="D288" s="208"/>
      <c r="E288" s="208"/>
      <c r="F288" s="208"/>
      <c r="G288" s="625" t="e">
        <f t="shared" si="36"/>
        <v>#DIV/0!</v>
      </c>
      <c r="H288" s="464" t="e">
        <f t="shared" si="37"/>
        <v>#DIV/0!</v>
      </c>
      <c r="I288" s="464" t="e">
        <f>SUM($H$15:H288)</f>
        <v>#DIV/0!</v>
      </c>
      <c r="J288" s="207"/>
      <c r="K288" s="626" t="e">
        <f t="shared" si="38"/>
        <v>#N/A</v>
      </c>
      <c r="L288" s="627" t="e">
        <f t="shared" si="39"/>
        <v>#N/A</v>
      </c>
      <c r="M288" s="628" t="e">
        <f t="shared" si="32"/>
        <v>#N/A</v>
      </c>
      <c r="N288" s="464" t="e">
        <f>SUM($M$15:M288)</f>
        <v>#N/A</v>
      </c>
      <c r="O288" s="464" t="e">
        <f t="shared" si="34"/>
        <v>#DIV/0!</v>
      </c>
      <c r="P288" s="464" t="e">
        <f>SUM($O$15:O288)</f>
        <v>#DIV/0!</v>
      </c>
    </row>
    <row r="289" spans="2:16">
      <c r="B289" s="176">
        <f t="shared" si="35"/>
        <v>44561</v>
      </c>
      <c r="C289" s="209">
        <f t="shared" si="33"/>
        <v>12</v>
      </c>
      <c r="D289" s="208"/>
      <c r="E289" s="208"/>
      <c r="F289" s="208"/>
      <c r="G289" s="625" t="e">
        <f t="shared" si="36"/>
        <v>#DIV/0!</v>
      </c>
      <c r="H289" s="464" t="e">
        <f t="shared" si="37"/>
        <v>#DIV/0!</v>
      </c>
      <c r="I289" s="464" t="e">
        <f>SUM($H$15:H289)</f>
        <v>#DIV/0!</v>
      </c>
      <c r="J289" s="207"/>
      <c r="K289" s="626" t="e">
        <f t="shared" si="38"/>
        <v>#N/A</v>
      </c>
      <c r="L289" s="627" t="e">
        <f t="shared" si="39"/>
        <v>#N/A</v>
      </c>
      <c r="M289" s="628" t="e">
        <f t="shared" si="32"/>
        <v>#N/A</v>
      </c>
      <c r="N289" s="464" t="e">
        <f>SUM($M$15:M289)</f>
        <v>#N/A</v>
      </c>
      <c r="O289" s="464" t="e">
        <f t="shared" si="34"/>
        <v>#DIV/0!</v>
      </c>
      <c r="P289" s="464" t="e">
        <f>SUM($O$15:O289)</f>
        <v>#DIV/0!</v>
      </c>
    </row>
    <row r="290" spans="2:16">
      <c r="B290" s="176">
        <f t="shared" si="35"/>
        <v>44562</v>
      </c>
      <c r="C290" s="209">
        <f t="shared" si="33"/>
        <v>1</v>
      </c>
      <c r="D290" s="208"/>
      <c r="E290" s="208"/>
      <c r="F290" s="208"/>
      <c r="G290" s="625" t="e">
        <f t="shared" si="36"/>
        <v>#DIV/0!</v>
      </c>
      <c r="H290" s="464" t="e">
        <f t="shared" si="37"/>
        <v>#DIV/0!</v>
      </c>
      <c r="I290" s="464" t="e">
        <f>SUM($H$15:H290)</f>
        <v>#DIV/0!</v>
      </c>
      <c r="J290" s="207"/>
      <c r="K290" s="626" t="e">
        <f t="shared" si="38"/>
        <v>#N/A</v>
      </c>
      <c r="L290" s="627" t="e">
        <f t="shared" si="39"/>
        <v>#N/A</v>
      </c>
      <c r="M290" s="628" t="e">
        <f t="shared" si="32"/>
        <v>#N/A</v>
      </c>
      <c r="N290" s="464" t="e">
        <f>SUM($M$15:M290)</f>
        <v>#N/A</v>
      </c>
      <c r="O290" s="464" t="e">
        <f t="shared" si="34"/>
        <v>#DIV/0!</v>
      </c>
      <c r="P290" s="464" t="e">
        <f>SUM($O$15:O290)</f>
        <v>#DIV/0!</v>
      </c>
    </row>
    <row r="291" spans="2:16">
      <c r="B291" s="176">
        <f t="shared" si="35"/>
        <v>44563</v>
      </c>
      <c r="C291" s="209">
        <f t="shared" si="33"/>
        <v>1</v>
      </c>
      <c r="D291" s="208"/>
      <c r="E291" s="208"/>
      <c r="F291" s="208"/>
      <c r="G291" s="625" t="e">
        <f t="shared" si="36"/>
        <v>#DIV/0!</v>
      </c>
      <c r="H291" s="464" t="e">
        <f t="shared" si="37"/>
        <v>#DIV/0!</v>
      </c>
      <c r="I291" s="464" t="e">
        <f>SUM($H$15:H291)</f>
        <v>#DIV/0!</v>
      </c>
      <c r="J291" s="207"/>
      <c r="K291" s="626" t="e">
        <f t="shared" si="38"/>
        <v>#N/A</v>
      </c>
      <c r="L291" s="627" t="e">
        <f t="shared" si="39"/>
        <v>#N/A</v>
      </c>
      <c r="M291" s="628" t="e">
        <f t="shared" si="32"/>
        <v>#N/A</v>
      </c>
      <c r="N291" s="464" t="e">
        <f>SUM($M$15:M291)</f>
        <v>#N/A</v>
      </c>
      <c r="O291" s="464" t="e">
        <f t="shared" si="34"/>
        <v>#DIV/0!</v>
      </c>
      <c r="P291" s="464" t="e">
        <f>SUM($O$15:O291)</f>
        <v>#DIV/0!</v>
      </c>
    </row>
    <row r="292" spans="2:16">
      <c r="B292" s="176">
        <f t="shared" si="35"/>
        <v>44564</v>
      </c>
      <c r="C292" s="209">
        <f t="shared" si="33"/>
        <v>1</v>
      </c>
      <c r="D292" s="208"/>
      <c r="E292" s="208"/>
      <c r="F292" s="208"/>
      <c r="G292" s="625" t="e">
        <f t="shared" si="36"/>
        <v>#DIV/0!</v>
      </c>
      <c r="H292" s="464" t="e">
        <f t="shared" si="37"/>
        <v>#DIV/0!</v>
      </c>
      <c r="I292" s="464" t="e">
        <f>SUM($H$15:H292)</f>
        <v>#DIV/0!</v>
      </c>
      <c r="J292" s="207"/>
      <c r="K292" s="626" t="e">
        <f t="shared" si="38"/>
        <v>#N/A</v>
      </c>
      <c r="L292" s="627" t="e">
        <f t="shared" si="39"/>
        <v>#N/A</v>
      </c>
      <c r="M292" s="628" t="e">
        <f t="shared" si="32"/>
        <v>#N/A</v>
      </c>
      <c r="N292" s="464" t="e">
        <f>SUM($M$15:M292)</f>
        <v>#N/A</v>
      </c>
      <c r="O292" s="464" t="e">
        <f t="shared" si="34"/>
        <v>#DIV/0!</v>
      </c>
      <c r="P292" s="464" t="e">
        <f>SUM($O$15:O292)</f>
        <v>#DIV/0!</v>
      </c>
    </row>
    <row r="293" spans="2:16">
      <c r="B293" s="176">
        <f t="shared" si="35"/>
        <v>44565</v>
      </c>
      <c r="C293" s="209">
        <f t="shared" si="33"/>
        <v>1</v>
      </c>
      <c r="D293" s="208"/>
      <c r="E293" s="208"/>
      <c r="F293" s="208"/>
      <c r="G293" s="625" t="e">
        <f t="shared" si="36"/>
        <v>#DIV/0!</v>
      </c>
      <c r="H293" s="464" t="e">
        <f t="shared" si="37"/>
        <v>#DIV/0!</v>
      </c>
      <c r="I293" s="464" t="e">
        <f>SUM($H$15:H293)</f>
        <v>#DIV/0!</v>
      </c>
      <c r="J293" s="207"/>
      <c r="K293" s="626" t="e">
        <f t="shared" si="38"/>
        <v>#N/A</v>
      </c>
      <c r="L293" s="627" t="e">
        <f t="shared" si="39"/>
        <v>#N/A</v>
      </c>
      <c r="M293" s="628" t="e">
        <f t="shared" si="32"/>
        <v>#N/A</v>
      </c>
      <c r="N293" s="464" t="e">
        <f>SUM($M$15:M293)</f>
        <v>#N/A</v>
      </c>
      <c r="O293" s="464" t="e">
        <f t="shared" si="34"/>
        <v>#DIV/0!</v>
      </c>
      <c r="P293" s="464" t="e">
        <f>SUM($O$15:O293)</f>
        <v>#DIV/0!</v>
      </c>
    </row>
    <row r="294" spans="2:16">
      <c r="B294" s="176">
        <f t="shared" si="35"/>
        <v>44566</v>
      </c>
      <c r="C294" s="209">
        <f t="shared" si="33"/>
        <v>1</v>
      </c>
      <c r="D294" s="208"/>
      <c r="E294" s="208"/>
      <c r="F294" s="208"/>
      <c r="G294" s="625" t="e">
        <f t="shared" si="36"/>
        <v>#DIV/0!</v>
      </c>
      <c r="H294" s="464" t="e">
        <f t="shared" si="37"/>
        <v>#DIV/0!</v>
      </c>
      <c r="I294" s="464" t="e">
        <f>SUM($H$15:H294)</f>
        <v>#DIV/0!</v>
      </c>
      <c r="J294" s="207"/>
      <c r="K294" s="626" t="e">
        <f t="shared" si="38"/>
        <v>#N/A</v>
      </c>
      <c r="L294" s="627" t="e">
        <f t="shared" si="39"/>
        <v>#N/A</v>
      </c>
      <c r="M294" s="628" t="e">
        <f t="shared" si="32"/>
        <v>#N/A</v>
      </c>
      <c r="N294" s="464" t="e">
        <f>SUM($M$15:M294)</f>
        <v>#N/A</v>
      </c>
      <c r="O294" s="464" t="e">
        <f t="shared" si="34"/>
        <v>#DIV/0!</v>
      </c>
      <c r="P294" s="464" t="e">
        <f>SUM($O$15:O294)</f>
        <v>#DIV/0!</v>
      </c>
    </row>
    <row r="295" spans="2:16">
      <c r="B295" s="176">
        <f t="shared" si="35"/>
        <v>44567</v>
      </c>
      <c r="C295" s="209">
        <f t="shared" si="33"/>
        <v>1</v>
      </c>
      <c r="D295" s="208"/>
      <c r="E295" s="208"/>
      <c r="F295" s="208"/>
      <c r="G295" s="625" t="e">
        <f t="shared" si="36"/>
        <v>#DIV/0!</v>
      </c>
      <c r="H295" s="464" t="e">
        <f t="shared" si="37"/>
        <v>#DIV/0!</v>
      </c>
      <c r="I295" s="464" t="e">
        <f>SUM($H$15:H295)</f>
        <v>#DIV/0!</v>
      </c>
      <c r="J295" s="207"/>
      <c r="K295" s="626" t="e">
        <f t="shared" si="38"/>
        <v>#N/A</v>
      </c>
      <c r="L295" s="627" t="e">
        <f t="shared" si="39"/>
        <v>#N/A</v>
      </c>
      <c r="M295" s="628" t="e">
        <f t="shared" si="32"/>
        <v>#N/A</v>
      </c>
      <c r="N295" s="464" t="e">
        <f>SUM($M$15:M295)</f>
        <v>#N/A</v>
      </c>
      <c r="O295" s="464" t="e">
        <f t="shared" si="34"/>
        <v>#DIV/0!</v>
      </c>
      <c r="P295" s="464" t="e">
        <f>SUM($O$15:O295)</f>
        <v>#DIV/0!</v>
      </c>
    </row>
    <row r="296" spans="2:16">
      <c r="B296" s="176">
        <f t="shared" si="35"/>
        <v>44568</v>
      </c>
      <c r="C296" s="209">
        <f t="shared" si="33"/>
        <v>1</v>
      </c>
      <c r="D296" s="208"/>
      <c r="E296" s="208"/>
      <c r="F296" s="208"/>
      <c r="G296" s="625" t="e">
        <f t="shared" si="36"/>
        <v>#DIV/0!</v>
      </c>
      <c r="H296" s="464" t="e">
        <f t="shared" si="37"/>
        <v>#DIV/0!</v>
      </c>
      <c r="I296" s="464" t="e">
        <f>SUM($H$15:H296)</f>
        <v>#DIV/0!</v>
      </c>
      <c r="J296" s="207"/>
      <c r="K296" s="626" t="e">
        <f t="shared" si="38"/>
        <v>#N/A</v>
      </c>
      <c r="L296" s="627" t="e">
        <f t="shared" si="39"/>
        <v>#N/A</v>
      </c>
      <c r="M296" s="628" t="e">
        <f t="shared" si="32"/>
        <v>#N/A</v>
      </c>
      <c r="N296" s="464" t="e">
        <f>SUM($M$15:M296)</f>
        <v>#N/A</v>
      </c>
      <c r="O296" s="464" t="e">
        <f t="shared" si="34"/>
        <v>#DIV/0!</v>
      </c>
      <c r="P296" s="464" t="e">
        <f>SUM($O$15:O296)</f>
        <v>#DIV/0!</v>
      </c>
    </row>
    <row r="297" spans="2:16">
      <c r="B297" s="176">
        <f t="shared" si="35"/>
        <v>44569</v>
      </c>
      <c r="C297" s="209">
        <f t="shared" si="33"/>
        <v>1</v>
      </c>
      <c r="D297" s="208"/>
      <c r="E297" s="208"/>
      <c r="F297" s="208"/>
      <c r="G297" s="625" t="e">
        <f t="shared" si="36"/>
        <v>#DIV/0!</v>
      </c>
      <c r="H297" s="464" t="e">
        <f t="shared" si="37"/>
        <v>#DIV/0!</v>
      </c>
      <c r="I297" s="464" t="e">
        <f>SUM($H$15:H297)</f>
        <v>#DIV/0!</v>
      </c>
      <c r="J297" s="207"/>
      <c r="K297" s="626" t="e">
        <f t="shared" si="38"/>
        <v>#N/A</v>
      </c>
      <c r="L297" s="627" t="e">
        <f t="shared" si="39"/>
        <v>#N/A</v>
      </c>
      <c r="M297" s="628" t="e">
        <f t="shared" si="32"/>
        <v>#N/A</v>
      </c>
      <c r="N297" s="464" t="e">
        <f>SUM($M$15:M297)</f>
        <v>#N/A</v>
      </c>
      <c r="O297" s="464" t="e">
        <f t="shared" si="34"/>
        <v>#DIV/0!</v>
      </c>
      <c r="P297" s="464" t="e">
        <f>SUM($O$15:O297)</f>
        <v>#DIV/0!</v>
      </c>
    </row>
    <row r="298" spans="2:16">
      <c r="B298" s="176">
        <f t="shared" si="35"/>
        <v>44570</v>
      </c>
      <c r="C298" s="209">
        <f t="shared" si="33"/>
        <v>1</v>
      </c>
      <c r="D298" s="208"/>
      <c r="E298" s="208"/>
      <c r="F298" s="208"/>
      <c r="G298" s="625" t="e">
        <f t="shared" si="36"/>
        <v>#DIV/0!</v>
      </c>
      <c r="H298" s="464" t="e">
        <f t="shared" si="37"/>
        <v>#DIV/0!</v>
      </c>
      <c r="I298" s="464" t="e">
        <f>SUM($H$15:H298)</f>
        <v>#DIV/0!</v>
      </c>
      <c r="J298" s="207"/>
      <c r="K298" s="626" t="e">
        <f t="shared" si="38"/>
        <v>#N/A</v>
      </c>
      <c r="L298" s="627" t="e">
        <f t="shared" si="39"/>
        <v>#N/A</v>
      </c>
      <c r="M298" s="628" t="e">
        <f t="shared" si="32"/>
        <v>#N/A</v>
      </c>
      <c r="N298" s="464" t="e">
        <f>SUM($M$15:M298)</f>
        <v>#N/A</v>
      </c>
      <c r="O298" s="464" t="e">
        <f t="shared" si="34"/>
        <v>#DIV/0!</v>
      </c>
      <c r="P298" s="464" t="e">
        <f>SUM($O$15:O298)</f>
        <v>#DIV/0!</v>
      </c>
    </row>
    <row r="299" spans="2:16">
      <c r="B299" s="176">
        <f t="shared" si="35"/>
        <v>44571</v>
      </c>
      <c r="C299" s="209">
        <f t="shared" si="33"/>
        <v>1</v>
      </c>
      <c r="D299" s="208"/>
      <c r="E299" s="208"/>
      <c r="F299" s="208"/>
      <c r="G299" s="625" t="e">
        <f t="shared" si="36"/>
        <v>#DIV/0!</v>
      </c>
      <c r="H299" s="464" t="e">
        <f t="shared" si="37"/>
        <v>#DIV/0!</v>
      </c>
      <c r="I299" s="464" t="e">
        <f>SUM($H$15:H299)</f>
        <v>#DIV/0!</v>
      </c>
      <c r="J299" s="207"/>
      <c r="K299" s="626" t="e">
        <f t="shared" si="38"/>
        <v>#N/A</v>
      </c>
      <c r="L299" s="627" t="e">
        <f t="shared" si="39"/>
        <v>#N/A</v>
      </c>
      <c r="M299" s="628" t="e">
        <f t="shared" si="32"/>
        <v>#N/A</v>
      </c>
      <c r="N299" s="464" t="e">
        <f>SUM($M$15:M299)</f>
        <v>#N/A</v>
      </c>
      <c r="O299" s="464" t="e">
        <f t="shared" si="34"/>
        <v>#DIV/0!</v>
      </c>
      <c r="P299" s="464" t="e">
        <f>SUM($O$15:O299)</f>
        <v>#DIV/0!</v>
      </c>
    </row>
    <row r="300" spans="2:16">
      <c r="B300" s="176">
        <f t="shared" si="35"/>
        <v>44572</v>
      </c>
      <c r="C300" s="209">
        <f t="shared" si="33"/>
        <v>1</v>
      </c>
      <c r="D300" s="208"/>
      <c r="E300" s="208"/>
      <c r="F300" s="208"/>
      <c r="G300" s="625" t="e">
        <f t="shared" si="36"/>
        <v>#DIV/0!</v>
      </c>
      <c r="H300" s="464" t="e">
        <f t="shared" si="37"/>
        <v>#DIV/0!</v>
      </c>
      <c r="I300" s="464" t="e">
        <f>SUM($H$15:H300)</f>
        <v>#DIV/0!</v>
      </c>
      <c r="J300" s="207"/>
      <c r="K300" s="626" t="e">
        <f t="shared" si="38"/>
        <v>#N/A</v>
      </c>
      <c r="L300" s="627" t="e">
        <f t="shared" si="39"/>
        <v>#N/A</v>
      </c>
      <c r="M300" s="628" t="e">
        <f t="shared" si="32"/>
        <v>#N/A</v>
      </c>
      <c r="N300" s="464" t="e">
        <f>SUM($M$15:M300)</f>
        <v>#N/A</v>
      </c>
      <c r="O300" s="464" t="e">
        <f t="shared" si="34"/>
        <v>#DIV/0!</v>
      </c>
      <c r="P300" s="464" t="e">
        <f>SUM($O$15:O300)</f>
        <v>#DIV/0!</v>
      </c>
    </row>
    <row r="301" spans="2:16">
      <c r="B301" s="176">
        <f t="shared" si="35"/>
        <v>44573</v>
      </c>
      <c r="C301" s="209">
        <f t="shared" si="33"/>
        <v>1</v>
      </c>
      <c r="D301" s="208"/>
      <c r="E301" s="208"/>
      <c r="F301" s="208"/>
      <c r="G301" s="625" t="e">
        <f t="shared" si="36"/>
        <v>#DIV/0!</v>
      </c>
      <c r="H301" s="464" t="e">
        <f t="shared" si="37"/>
        <v>#DIV/0!</v>
      </c>
      <c r="I301" s="464" t="e">
        <f>SUM($H$15:H301)</f>
        <v>#DIV/0!</v>
      </c>
      <c r="J301" s="207"/>
      <c r="K301" s="626" t="e">
        <f t="shared" si="38"/>
        <v>#N/A</v>
      </c>
      <c r="L301" s="627" t="e">
        <f t="shared" si="39"/>
        <v>#N/A</v>
      </c>
      <c r="M301" s="628" t="e">
        <f t="shared" si="32"/>
        <v>#N/A</v>
      </c>
      <c r="N301" s="464" t="e">
        <f>SUM($M$15:M301)</f>
        <v>#N/A</v>
      </c>
      <c r="O301" s="464" t="e">
        <f t="shared" si="34"/>
        <v>#DIV/0!</v>
      </c>
      <c r="P301" s="464" t="e">
        <f>SUM($O$15:O301)</f>
        <v>#DIV/0!</v>
      </c>
    </row>
    <row r="302" spans="2:16">
      <c r="B302" s="176">
        <f t="shared" si="35"/>
        <v>44574</v>
      </c>
      <c r="C302" s="209">
        <f t="shared" si="33"/>
        <v>1</v>
      </c>
      <c r="D302" s="208"/>
      <c r="E302" s="208"/>
      <c r="F302" s="208"/>
      <c r="G302" s="625" t="e">
        <f t="shared" si="36"/>
        <v>#DIV/0!</v>
      </c>
      <c r="H302" s="464" t="e">
        <f t="shared" si="37"/>
        <v>#DIV/0!</v>
      </c>
      <c r="I302" s="464" t="e">
        <f>SUM($H$15:H302)</f>
        <v>#DIV/0!</v>
      </c>
      <c r="J302" s="207"/>
      <c r="K302" s="626" t="e">
        <f t="shared" si="38"/>
        <v>#N/A</v>
      </c>
      <c r="L302" s="627" t="e">
        <f t="shared" si="39"/>
        <v>#N/A</v>
      </c>
      <c r="M302" s="628" t="e">
        <f t="shared" si="32"/>
        <v>#N/A</v>
      </c>
      <c r="N302" s="464" t="e">
        <f>SUM($M$15:M302)</f>
        <v>#N/A</v>
      </c>
      <c r="O302" s="464" t="e">
        <f t="shared" si="34"/>
        <v>#DIV/0!</v>
      </c>
      <c r="P302" s="464" t="e">
        <f>SUM($O$15:O302)</f>
        <v>#DIV/0!</v>
      </c>
    </row>
    <row r="303" spans="2:16">
      <c r="B303" s="176">
        <f t="shared" si="35"/>
        <v>44575</v>
      </c>
      <c r="C303" s="209">
        <f t="shared" si="33"/>
        <v>1</v>
      </c>
      <c r="D303" s="208"/>
      <c r="E303" s="208"/>
      <c r="F303" s="208"/>
      <c r="G303" s="625" t="e">
        <f t="shared" si="36"/>
        <v>#DIV/0!</v>
      </c>
      <c r="H303" s="464" t="e">
        <f t="shared" si="37"/>
        <v>#DIV/0!</v>
      </c>
      <c r="I303" s="464" t="e">
        <f>SUM($H$15:H303)</f>
        <v>#DIV/0!</v>
      </c>
      <c r="J303" s="207"/>
      <c r="K303" s="626" t="e">
        <f t="shared" si="38"/>
        <v>#N/A</v>
      </c>
      <c r="L303" s="627" t="e">
        <f t="shared" si="39"/>
        <v>#N/A</v>
      </c>
      <c r="M303" s="628" t="e">
        <f t="shared" si="32"/>
        <v>#N/A</v>
      </c>
      <c r="N303" s="464" t="e">
        <f>SUM($M$15:M303)</f>
        <v>#N/A</v>
      </c>
      <c r="O303" s="464" t="e">
        <f t="shared" si="34"/>
        <v>#DIV/0!</v>
      </c>
      <c r="P303" s="464" t="e">
        <f>SUM($O$15:O303)</f>
        <v>#DIV/0!</v>
      </c>
    </row>
    <row r="304" spans="2:16">
      <c r="B304" s="176">
        <f t="shared" si="35"/>
        <v>44576</v>
      </c>
      <c r="C304" s="209">
        <f t="shared" si="33"/>
        <v>1</v>
      </c>
      <c r="D304" s="208"/>
      <c r="E304" s="208"/>
      <c r="F304" s="208"/>
      <c r="G304" s="625" t="e">
        <f t="shared" si="36"/>
        <v>#DIV/0!</v>
      </c>
      <c r="H304" s="464" t="e">
        <f t="shared" si="37"/>
        <v>#DIV/0!</v>
      </c>
      <c r="I304" s="464" t="e">
        <f>SUM($H$15:H304)</f>
        <v>#DIV/0!</v>
      </c>
      <c r="J304" s="207"/>
      <c r="K304" s="626" t="e">
        <f t="shared" si="38"/>
        <v>#N/A</v>
      </c>
      <c r="L304" s="627" t="e">
        <f t="shared" si="39"/>
        <v>#N/A</v>
      </c>
      <c r="M304" s="628" t="e">
        <f t="shared" si="32"/>
        <v>#N/A</v>
      </c>
      <c r="N304" s="464" t="e">
        <f>SUM($M$15:M304)</f>
        <v>#N/A</v>
      </c>
      <c r="O304" s="464" t="e">
        <f t="shared" si="34"/>
        <v>#DIV/0!</v>
      </c>
      <c r="P304" s="464" t="e">
        <f>SUM($O$15:O304)</f>
        <v>#DIV/0!</v>
      </c>
    </row>
    <row r="305" spans="2:16">
      <c r="B305" s="176">
        <f t="shared" si="35"/>
        <v>44577</v>
      </c>
      <c r="C305" s="209">
        <f t="shared" si="33"/>
        <v>1</v>
      </c>
      <c r="D305" s="208"/>
      <c r="E305" s="208"/>
      <c r="F305" s="208"/>
      <c r="G305" s="625" t="e">
        <f t="shared" si="36"/>
        <v>#DIV/0!</v>
      </c>
      <c r="H305" s="464" t="e">
        <f t="shared" si="37"/>
        <v>#DIV/0!</v>
      </c>
      <c r="I305" s="464" t="e">
        <f>SUM($H$15:H305)</f>
        <v>#DIV/0!</v>
      </c>
      <c r="J305" s="207"/>
      <c r="K305" s="626" t="e">
        <f t="shared" si="38"/>
        <v>#N/A</v>
      </c>
      <c r="L305" s="627" t="e">
        <f t="shared" si="39"/>
        <v>#N/A</v>
      </c>
      <c r="M305" s="628" t="e">
        <f t="shared" si="32"/>
        <v>#N/A</v>
      </c>
      <c r="N305" s="464" t="e">
        <f>SUM($M$15:M305)</f>
        <v>#N/A</v>
      </c>
      <c r="O305" s="464" t="e">
        <f t="shared" si="34"/>
        <v>#DIV/0!</v>
      </c>
      <c r="P305" s="464" t="e">
        <f>SUM($O$15:O305)</f>
        <v>#DIV/0!</v>
      </c>
    </row>
    <row r="306" spans="2:16">
      <c r="B306" s="176">
        <f t="shared" si="35"/>
        <v>44578</v>
      </c>
      <c r="C306" s="209">
        <f t="shared" si="33"/>
        <v>1</v>
      </c>
      <c r="D306" s="208"/>
      <c r="E306" s="208"/>
      <c r="F306" s="208"/>
      <c r="G306" s="625" t="e">
        <f t="shared" si="36"/>
        <v>#DIV/0!</v>
      </c>
      <c r="H306" s="464" t="e">
        <f t="shared" si="37"/>
        <v>#DIV/0!</v>
      </c>
      <c r="I306" s="464" t="e">
        <f>SUM($H$15:H306)</f>
        <v>#DIV/0!</v>
      </c>
      <c r="J306" s="207"/>
      <c r="K306" s="626" t="e">
        <f t="shared" si="38"/>
        <v>#N/A</v>
      </c>
      <c r="L306" s="627" t="e">
        <f t="shared" si="39"/>
        <v>#N/A</v>
      </c>
      <c r="M306" s="628" t="e">
        <f t="shared" si="32"/>
        <v>#N/A</v>
      </c>
      <c r="N306" s="464" t="e">
        <f>SUM($M$15:M306)</f>
        <v>#N/A</v>
      </c>
      <c r="O306" s="464" t="e">
        <f t="shared" si="34"/>
        <v>#DIV/0!</v>
      </c>
      <c r="P306" s="464" t="e">
        <f>SUM($O$15:O306)</f>
        <v>#DIV/0!</v>
      </c>
    </row>
    <row r="307" spans="2:16">
      <c r="B307" s="176">
        <f t="shared" si="35"/>
        <v>44579</v>
      </c>
      <c r="C307" s="209">
        <f t="shared" si="33"/>
        <v>1</v>
      </c>
      <c r="D307" s="208"/>
      <c r="E307" s="208"/>
      <c r="F307" s="208"/>
      <c r="G307" s="625" t="e">
        <f t="shared" si="36"/>
        <v>#DIV/0!</v>
      </c>
      <c r="H307" s="464" t="e">
        <f t="shared" si="37"/>
        <v>#DIV/0!</v>
      </c>
      <c r="I307" s="464" t="e">
        <f>SUM($H$15:H307)</f>
        <v>#DIV/0!</v>
      </c>
      <c r="J307" s="207"/>
      <c r="K307" s="626" t="e">
        <f t="shared" si="38"/>
        <v>#N/A</v>
      </c>
      <c r="L307" s="627" t="e">
        <f t="shared" si="39"/>
        <v>#N/A</v>
      </c>
      <c r="M307" s="628" t="e">
        <f t="shared" si="32"/>
        <v>#N/A</v>
      </c>
      <c r="N307" s="464" t="e">
        <f>SUM($M$15:M307)</f>
        <v>#N/A</v>
      </c>
      <c r="O307" s="464" t="e">
        <f t="shared" si="34"/>
        <v>#DIV/0!</v>
      </c>
      <c r="P307" s="464" t="e">
        <f>SUM($O$15:O307)</f>
        <v>#DIV/0!</v>
      </c>
    </row>
    <row r="308" spans="2:16">
      <c r="B308" s="176">
        <f t="shared" si="35"/>
        <v>44580</v>
      </c>
      <c r="C308" s="209">
        <f t="shared" si="33"/>
        <v>1</v>
      </c>
      <c r="D308" s="208"/>
      <c r="E308" s="208"/>
      <c r="F308" s="208"/>
      <c r="G308" s="625" t="e">
        <f t="shared" si="36"/>
        <v>#DIV/0!</v>
      </c>
      <c r="H308" s="464" t="e">
        <f t="shared" si="37"/>
        <v>#DIV/0!</v>
      </c>
      <c r="I308" s="464" t="e">
        <f>SUM($H$15:H308)</f>
        <v>#DIV/0!</v>
      </c>
      <c r="J308" s="207"/>
      <c r="K308" s="626" t="e">
        <f t="shared" si="38"/>
        <v>#N/A</v>
      </c>
      <c r="L308" s="627" t="e">
        <f t="shared" si="39"/>
        <v>#N/A</v>
      </c>
      <c r="M308" s="628" t="e">
        <f t="shared" si="32"/>
        <v>#N/A</v>
      </c>
      <c r="N308" s="464" t="e">
        <f>SUM($M$15:M308)</f>
        <v>#N/A</v>
      </c>
      <c r="O308" s="464" t="e">
        <f t="shared" si="34"/>
        <v>#DIV/0!</v>
      </c>
      <c r="P308" s="464" t="e">
        <f>SUM($O$15:O308)</f>
        <v>#DIV/0!</v>
      </c>
    </row>
    <row r="309" spans="2:16">
      <c r="B309" s="176">
        <f t="shared" si="35"/>
        <v>44581</v>
      </c>
      <c r="C309" s="209">
        <f t="shared" si="33"/>
        <v>1</v>
      </c>
      <c r="D309" s="208"/>
      <c r="E309" s="208"/>
      <c r="F309" s="208"/>
      <c r="G309" s="625" t="e">
        <f t="shared" si="36"/>
        <v>#DIV/0!</v>
      </c>
      <c r="H309" s="464" t="e">
        <f t="shared" si="37"/>
        <v>#DIV/0!</v>
      </c>
      <c r="I309" s="464" t="e">
        <f>SUM($H$15:H309)</f>
        <v>#DIV/0!</v>
      </c>
      <c r="J309" s="207"/>
      <c r="K309" s="626" t="e">
        <f t="shared" si="38"/>
        <v>#N/A</v>
      </c>
      <c r="L309" s="627" t="e">
        <f t="shared" si="39"/>
        <v>#N/A</v>
      </c>
      <c r="M309" s="628" t="e">
        <f t="shared" si="32"/>
        <v>#N/A</v>
      </c>
      <c r="N309" s="464" t="e">
        <f>SUM($M$15:M309)</f>
        <v>#N/A</v>
      </c>
      <c r="O309" s="464" t="e">
        <f t="shared" si="34"/>
        <v>#DIV/0!</v>
      </c>
      <c r="P309" s="464" t="e">
        <f>SUM($O$15:O309)</f>
        <v>#DIV/0!</v>
      </c>
    </row>
    <row r="310" spans="2:16">
      <c r="B310" s="176">
        <f t="shared" si="35"/>
        <v>44582</v>
      </c>
      <c r="C310" s="209">
        <f t="shared" si="33"/>
        <v>1</v>
      </c>
      <c r="D310" s="208"/>
      <c r="E310" s="208"/>
      <c r="F310" s="208"/>
      <c r="G310" s="625" t="e">
        <f t="shared" si="36"/>
        <v>#DIV/0!</v>
      </c>
      <c r="H310" s="464" t="e">
        <f t="shared" si="37"/>
        <v>#DIV/0!</v>
      </c>
      <c r="I310" s="464" t="e">
        <f>SUM($H$15:H310)</f>
        <v>#DIV/0!</v>
      </c>
      <c r="J310" s="207"/>
      <c r="K310" s="626" t="e">
        <f t="shared" si="38"/>
        <v>#N/A</v>
      </c>
      <c r="L310" s="627" t="e">
        <f t="shared" si="39"/>
        <v>#N/A</v>
      </c>
      <c r="M310" s="628" t="e">
        <f t="shared" si="32"/>
        <v>#N/A</v>
      </c>
      <c r="N310" s="464" t="e">
        <f>SUM($M$15:M310)</f>
        <v>#N/A</v>
      </c>
      <c r="O310" s="464" t="e">
        <f t="shared" si="34"/>
        <v>#DIV/0!</v>
      </c>
      <c r="P310" s="464" t="e">
        <f>SUM($O$15:O310)</f>
        <v>#DIV/0!</v>
      </c>
    </row>
    <row r="311" spans="2:16">
      <c r="B311" s="176">
        <f t="shared" si="35"/>
        <v>44583</v>
      </c>
      <c r="C311" s="209">
        <f t="shared" si="33"/>
        <v>1</v>
      </c>
      <c r="D311" s="208"/>
      <c r="E311" s="208"/>
      <c r="F311" s="208"/>
      <c r="G311" s="625" t="e">
        <f t="shared" si="36"/>
        <v>#DIV/0!</v>
      </c>
      <c r="H311" s="464" t="e">
        <f t="shared" si="37"/>
        <v>#DIV/0!</v>
      </c>
      <c r="I311" s="464" t="e">
        <f>SUM($H$15:H311)</f>
        <v>#DIV/0!</v>
      </c>
      <c r="J311" s="207"/>
      <c r="K311" s="626" t="e">
        <f t="shared" si="38"/>
        <v>#N/A</v>
      </c>
      <c r="L311" s="627" t="e">
        <f t="shared" si="39"/>
        <v>#N/A</v>
      </c>
      <c r="M311" s="628" t="e">
        <f t="shared" si="32"/>
        <v>#N/A</v>
      </c>
      <c r="N311" s="464" t="e">
        <f>SUM($M$15:M311)</f>
        <v>#N/A</v>
      </c>
      <c r="O311" s="464" t="e">
        <f t="shared" si="34"/>
        <v>#DIV/0!</v>
      </c>
      <c r="P311" s="464" t="e">
        <f>SUM($O$15:O311)</f>
        <v>#DIV/0!</v>
      </c>
    </row>
    <row r="312" spans="2:16">
      <c r="B312" s="176">
        <f t="shared" si="35"/>
        <v>44584</v>
      </c>
      <c r="C312" s="209">
        <f t="shared" si="33"/>
        <v>1</v>
      </c>
      <c r="D312" s="208"/>
      <c r="E312" s="208"/>
      <c r="F312" s="208"/>
      <c r="G312" s="625" t="e">
        <f t="shared" si="36"/>
        <v>#DIV/0!</v>
      </c>
      <c r="H312" s="464" t="e">
        <f t="shared" si="37"/>
        <v>#DIV/0!</v>
      </c>
      <c r="I312" s="464" t="e">
        <f>SUM($H$15:H312)</f>
        <v>#DIV/0!</v>
      </c>
      <c r="J312" s="207"/>
      <c r="K312" s="626" t="e">
        <f t="shared" si="38"/>
        <v>#N/A</v>
      </c>
      <c r="L312" s="627" t="e">
        <f t="shared" si="39"/>
        <v>#N/A</v>
      </c>
      <c r="M312" s="628" t="e">
        <f t="shared" si="32"/>
        <v>#N/A</v>
      </c>
      <c r="N312" s="464" t="e">
        <f>SUM($M$15:M312)</f>
        <v>#N/A</v>
      </c>
      <c r="O312" s="464" t="e">
        <f t="shared" si="34"/>
        <v>#DIV/0!</v>
      </c>
      <c r="P312" s="464" t="e">
        <f>SUM($O$15:O312)</f>
        <v>#DIV/0!</v>
      </c>
    </row>
    <row r="313" spans="2:16">
      <c r="B313" s="176">
        <f t="shared" si="35"/>
        <v>44585</v>
      </c>
      <c r="C313" s="209">
        <f t="shared" si="33"/>
        <v>1</v>
      </c>
      <c r="D313" s="208"/>
      <c r="E313" s="208"/>
      <c r="F313" s="208"/>
      <c r="G313" s="625" t="e">
        <f t="shared" si="36"/>
        <v>#DIV/0!</v>
      </c>
      <c r="H313" s="464" t="e">
        <f t="shared" si="37"/>
        <v>#DIV/0!</v>
      </c>
      <c r="I313" s="464" t="e">
        <f>SUM($H$15:H313)</f>
        <v>#DIV/0!</v>
      </c>
      <c r="J313" s="207"/>
      <c r="K313" s="626" t="e">
        <f t="shared" si="38"/>
        <v>#N/A</v>
      </c>
      <c r="L313" s="627" t="e">
        <f t="shared" si="39"/>
        <v>#N/A</v>
      </c>
      <c r="M313" s="628" t="e">
        <f t="shared" si="32"/>
        <v>#N/A</v>
      </c>
      <c r="N313" s="464" t="e">
        <f>SUM($M$15:M313)</f>
        <v>#N/A</v>
      </c>
      <c r="O313" s="464" t="e">
        <f t="shared" si="34"/>
        <v>#DIV/0!</v>
      </c>
      <c r="P313" s="464" t="e">
        <f>SUM($O$15:O313)</f>
        <v>#DIV/0!</v>
      </c>
    </row>
    <row r="314" spans="2:16">
      <c r="B314" s="176">
        <f t="shared" si="35"/>
        <v>44586</v>
      </c>
      <c r="C314" s="209">
        <f t="shared" si="33"/>
        <v>1</v>
      </c>
      <c r="D314" s="208"/>
      <c r="E314" s="208"/>
      <c r="F314" s="208"/>
      <c r="G314" s="625" t="e">
        <f t="shared" si="36"/>
        <v>#DIV/0!</v>
      </c>
      <c r="H314" s="464" t="e">
        <f t="shared" si="37"/>
        <v>#DIV/0!</v>
      </c>
      <c r="I314" s="464" t="e">
        <f>SUM($H$15:H314)</f>
        <v>#DIV/0!</v>
      </c>
      <c r="J314" s="207"/>
      <c r="K314" s="626" t="e">
        <f t="shared" si="38"/>
        <v>#N/A</v>
      </c>
      <c r="L314" s="627" t="e">
        <f t="shared" si="39"/>
        <v>#N/A</v>
      </c>
      <c r="M314" s="628" t="e">
        <f t="shared" si="32"/>
        <v>#N/A</v>
      </c>
      <c r="N314" s="464" t="e">
        <f>SUM($M$15:M314)</f>
        <v>#N/A</v>
      </c>
      <c r="O314" s="464" t="e">
        <f t="shared" si="34"/>
        <v>#DIV/0!</v>
      </c>
      <c r="P314" s="464" t="e">
        <f>SUM($O$15:O314)</f>
        <v>#DIV/0!</v>
      </c>
    </row>
    <row r="315" spans="2:16">
      <c r="B315" s="176">
        <f t="shared" si="35"/>
        <v>44587</v>
      </c>
      <c r="C315" s="209">
        <f t="shared" si="33"/>
        <v>1</v>
      </c>
      <c r="D315" s="208"/>
      <c r="E315" s="208"/>
      <c r="F315" s="208"/>
      <c r="G315" s="625" t="e">
        <f t="shared" si="36"/>
        <v>#DIV/0!</v>
      </c>
      <c r="H315" s="464" t="e">
        <f t="shared" si="37"/>
        <v>#DIV/0!</v>
      </c>
      <c r="I315" s="464" t="e">
        <f>SUM($H$15:H315)</f>
        <v>#DIV/0!</v>
      </c>
      <c r="J315" s="207"/>
      <c r="K315" s="626" t="e">
        <f t="shared" si="38"/>
        <v>#N/A</v>
      </c>
      <c r="L315" s="627" t="e">
        <f t="shared" si="39"/>
        <v>#N/A</v>
      </c>
      <c r="M315" s="628" t="e">
        <f t="shared" si="32"/>
        <v>#N/A</v>
      </c>
      <c r="N315" s="464" t="e">
        <f>SUM($M$15:M315)</f>
        <v>#N/A</v>
      </c>
      <c r="O315" s="464" t="e">
        <f t="shared" si="34"/>
        <v>#DIV/0!</v>
      </c>
      <c r="P315" s="464" t="e">
        <f>SUM($O$15:O315)</f>
        <v>#DIV/0!</v>
      </c>
    </row>
    <row r="316" spans="2:16">
      <c r="B316" s="176">
        <f t="shared" si="35"/>
        <v>44588</v>
      </c>
      <c r="C316" s="209">
        <f t="shared" si="33"/>
        <v>1</v>
      </c>
      <c r="D316" s="208"/>
      <c r="E316" s="208"/>
      <c r="F316" s="208"/>
      <c r="G316" s="625" t="e">
        <f t="shared" si="36"/>
        <v>#DIV/0!</v>
      </c>
      <c r="H316" s="464" t="e">
        <f t="shared" si="37"/>
        <v>#DIV/0!</v>
      </c>
      <c r="I316" s="464" t="e">
        <f>SUM($H$15:H316)</f>
        <v>#DIV/0!</v>
      </c>
      <c r="J316" s="207"/>
      <c r="K316" s="626" t="e">
        <f t="shared" si="38"/>
        <v>#N/A</v>
      </c>
      <c r="L316" s="627" t="e">
        <f t="shared" si="39"/>
        <v>#N/A</v>
      </c>
      <c r="M316" s="628" t="e">
        <f t="shared" si="32"/>
        <v>#N/A</v>
      </c>
      <c r="N316" s="464" t="e">
        <f>SUM($M$15:M316)</f>
        <v>#N/A</v>
      </c>
      <c r="O316" s="464" t="e">
        <f t="shared" si="34"/>
        <v>#DIV/0!</v>
      </c>
      <c r="P316" s="464" t="e">
        <f>SUM($O$15:O316)</f>
        <v>#DIV/0!</v>
      </c>
    </row>
    <row r="317" spans="2:16">
      <c r="B317" s="176">
        <f t="shared" si="35"/>
        <v>44589</v>
      </c>
      <c r="C317" s="209">
        <f t="shared" si="33"/>
        <v>1</v>
      </c>
      <c r="D317" s="208"/>
      <c r="E317" s="208"/>
      <c r="F317" s="208"/>
      <c r="G317" s="625" t="e">
        <f t="shared" si="36"/>
        <v>#DIV/0!</v>
      </c>
      <c r="H317" s="464" t="e">
        <f t="shared" si="37"/>
        <v>#DIV/0!</v>
      </c>
      <c r="I317" s="464" t="e">
        <f>SUM($H$15:H317)</f>
        <v>#DIV/0!</v>
      </c>
      <c r="J317" s="207"/>
      <c r="K317" s="626" t="e">
        <f t="shared" si="38"/>
        <v>#N/A</v>
      </c>
      <c r="L317" s="627" t="e">
        <f t="shared" si="39"/>
        <v>#N/A</v>
      </c>
      <c r="M317" s="628" t="e">
        <f t="shared" si="32"/>
        <v>#N/A</v>
      </c>
      <c r="N317" s="464" t="e">
        <f>SUM($M$15:M317)</f>
        <v>#N/A</v>
      </c>
      <c r="O317" s="464" t="e">
        <f t="shared" si="34"/>
        <v>#DIV/0!</v>
      </c>
      <c r="P317" s="464" t="e">
        <f>SUM($O$15:O317)</f>
        <v>#DIV/0!</v>
      </c>
    </row>
    <row r="318" spans="2:16">
      <c r="B318" s="176">
        <f t="shared" si="35"/>
        <v>44590</v>
      </c>
      <c r="C318" s="209">
        <f t="shared" si="33"/>
        <v>1</v>
      </c>
      <c r="D318" s="208"/>
      <c r="E318" s="208"/>
      <c r="F318" s="208"/>
      <c r="G318" s="625" t="e">
        <f t="shared" si="36"/>
        <v>#DIV/0!</v>
      </c>
      <c r="H318" s="464" t="e">
        <f t="shared" si="37"/>
        <v>#DIV/0!</v>
      </c>
      <c r="I318" s="464" t="e">
        <f>SUM($H$15:H318)</f>
        <v>#DIV/0!</v>
      </c>
      <c r="J318" s="207"/>
      <c r="K318" s="626" t="e">
        <f t="shared" si="38"/>
        <v>#N/A</v>
      </c>
      <c r="L318" s="627" t="e">
        <f t="shared" si="39"/>
        <v>#N/A</v>
      </c>
      <c r="M318" s="628" t="e">
        <f t="shared" si="32"/>
        <v>#N/A</v>
      </c>
      <c r="N318" s="464" t="e">
        <f>SUM($M$15:M318)</f>
        <v>#N/A</v>
      </c>
      <c r="O318" s="464" t="e">
        <f t="shared" si="34"/>
        <v>#DIV/0!</v>
      </c>
      <c r="P318" s="464" t="e">
        <f>SUM($O$15:O318)</f>
        <v>#DIV/0!</v>
      </c>
    </row>
    <row r="319" spans="2:16">
      <c r="B319" s="176">
        <f t="shared" si="35"/>
        <v>44591</v>
      </c>
      <c r="C319" s="209">
        <f t="shared" si="33"/>
        <v>1</v>
      </c>
      <c r="D319" s="208"/>
      <c r="E319" s="208"/>
      <c r="F319" s="208"/>
      <c r="G319" s="625" t="e">
        <f t="shared" si="36"/>
        <v>#DIV/0!</v>
      </c>
      <c r="H319" s="464" t="e">
        <f t="shared" si="37"/>
        <v>#DIV/0!</v>
      </c>
      <c r="I319" s="464" t="e">
        <f>SUM($H$15:H319)</f>
        <v>#DIV/0!</v>
      </c>
      <c r="J319" s="207"/>
      <c r="K319" s="626" t="e">
        <f t="shared" si="38"/>
        <v>#N/A</v>
      </c>
      <c r="L319" s="627" t="e">
        <f t="shared" si="39"/>
        <v>#N/A</v>
      </c>
      <c r="M319" s="628" t="e">
        <f t="shared" si="32"/>
        <v>#N/A</v>
      </c>
      <c r="N319" s="464" t="e">
        <f>SUM($M$15:M319)</f>
        <v>#N/A</v>
      </c>
      <c r="O319" s="464" t="e">
        <f t="shared" si="34"/>
        <v>#DIV/0!</v>
      </c>
      <c r="P319" s="464" t="e">
        <f>SUM($O$15:O319)</f>
        <v>#DIV/0!</v>
      </c>
    </row>
    <row r="320" spans="2:16">
      <c r="B320" s="176">
        <f t="shared" si="35"/>
        <v>44592</v>
      </c>
      <c r="C320" s="209">
        <f t="shared" si="33"/>
        <v>1</v>
      </c>
      <c r="D320" s="208"/>
      <c r="E320" s="208"/>
      <c r="F320" s="208"/>
      <c r="G320" s="625" t="e">
        <f t="shared" si="36"/>
        <v>#DIV/0!</v>
      </c>
      <c r="H320" s="464" t="e">
        <f t="shared" si="37"/>
        <v>#DIV/0!</v>
      </c>
      <c r="I320" s="464" t="e">
        <f>SUM($H$15:H320)</f>
        <v>#DIV/0!</v>
      </c>
      <c r="J320" s="207"/>
      <c r="K320" s="626" t="e">
        <f t="shared" si="38"/>
        <v>#N/A</v>
      </c>
      <c r="L320" s="627" t="e">
        <f t="shared" si="39"/>
        <v>#N/A</v>
      </c>
      <c r="M320" s="628" t="e">
        <f t="shared" si="32"/>
        <v>#N/A</v>
      </c>
      <c r="N320" s="464" t="e">
        <f>SUM($M$15:M320)</f>
        <v>#N/A</v>
      </c>
      <c r="O320" s="464" t="e">
        <f t="shared" si="34"/>
        <v>#DIV/0!</v>
      </c>
      <c r="P320" s="464" t="e">
        <f>SUM($O$15:O320)</f>
        <v>#DIV/0!</v>
      </c>
    </row>
    <row r="321" spans="2:16">
      <c r="B321" s="176">
        <f t="shared" si="35"/>
        <v>44593</v>
      </c>
      <c r="C321" s="209">
        <f t="shared" si="33"/>
        <v>2</v>
      </c>
      <c r="D321" s="208"/>
      <c r="E321" s="208"/>
      <c r="F321" s="208"/>
      <c r="G321" s="625" t="e">
        <f t="shared" si="36"/>
        <v>#DIV/0!</v>
      </c>
      <c r="H321" s="464" t="e">
        <f t="shared" si="37"/>
        <v>#DIV/0!</v>
      </c>
      <c r="I321" s="464" t="e">
        <f>SUM($H$15:H321)</f>
        <v>#DIV/0!</v>
      </c>
      <c r="J321" s="207"/>
      <c r="K321" s="626" t="e">
        <f t="shared" si="38"/>
        <v>#N/A</v>
      </c>
      <c r="L321" s="630" t="e">
        <f t="shared" si="39"/>
        <v>#N/A</v>
      </c>
      <c r="M321" s="631" t="e">
        <f>IF(AND(L321&gt;=0, L321&lt;=1.5), 3200, IF(AND(L321&gt;1.5,L321&lt;2.8),3200*((2.8-L321)/1.3),IF(AND(L321&gt;=2.8, L321&lt;=5.6), 0, IF(AND(L321&gt;5.6,L321&lt;15),-24000*((5.6-L321)/-9.4), -24000))))</f>
        <v>#N/A</v>
      </c>
      <c r="N321" s="464" t="e">
        <f>SUM($M$15:M321)</f>
        <v>#N/A</v>
      </c>
      <c r="O321" s="464" t="e">
        <f t="shared" si="34"/>
        <v>#DIV/0!</v>
      </c>
      <c r="P321" s="464" t="e">
        <f>SUM($O$15:O321)</f>
        <v>#DIV/0!</v>
      </c>
    </row>
    <row r="322" spans="2:16">
      <c r="B322" s="176">
        <f t="shared" si="35"/>
        <v>44594</v>
      </c>
      <c r="C322" s="209">
        <f t="shared" si="33"/>
        <v>2</v>
      </c>
      <c r="D322" s="208"/>
      <c r="E322" s="208"/>
      <c r="F322" s="208"/>
      <c r="G322" s="625" t="e">
        <f t="shared" si="36"/>
        <v>#DIV/0!</v>
      </c>
      <c r="H322" s="464" t="e">
        <f t="shared" si="37"/>
        <v>#DIV/0!</v>
      </c>
      <c r="I322" s="464" t="e">
        <f>SUM($H$15:H322)</f>
        <v>#DIV/0!</v>
      </c>
      <c r="J322" s="207"/>
      <c r="K322" s="626" t="e">
        <f t="shared" si="38"/>
        <v>#N/A</v>
      </c>
      <c r="L322" s="630" t="e">
        <f t="shared" si="39"/>
        <v>#N/A</v>
      </c>
      <c r="M322" s="631" t="e">
        <f t="shared" ref="M322:M379" si="40">IF(AND(L322&gt;=0, L322&lt;=1.5), 3200, IF(AND(L322&gt;1.5,L322&lt;2.8),3200*((2.8-L322)/1.3),IF(AND(L322&gt;=2.8, L322&lt;=5.6), 0, IF(AND(L322&gt;5.6,L322&lt;15),-24000*((5.6-L322)/-9.4), -24000))))</f>
        <v>#N/A</v>
      </c>
      <c r="N322" s="464" t="e">
        <f>SUM($M$15:M322)</f>
        <v>#N/A</v>
      </c>
      <c r="O322" s="464" t="e">
        <f t="shared" si="34"/>
        <v>#DIV/0!</v>
      </c>
      <c r="P322" s="464" t="e">
        <f>SUM($O$15:O322)</f>
        <v>#DIV/0!</v>
      </c>
    </row>
    <row r="323" spans="2:16">
      <c r="B323" s="176">
        <f t="shared" si="35"/>
        <v>44595</v>
      </c>
      <c r="C323" s="209">
        <f t="shared" si="33"/>
        <v>2</v>
      </c>
      <c r="D323" s="208"/>
      <c r="E323" s="208"/>
      <c r="F323" s="208"/>
      <c r="G323" s="625" t="e">
        <f t="shared" si="36"/>
        <v>#DIV/0!</v>
      </c>
      <c r="H323" s="464" t="e">
        <f t="shared" si="37"/>
        <v>#DIV/0!</v>
      </c>
      <c r="I323" s="464" t="e">
        <f>SUM($H$15:H323)</f>
        <v>#DIV/0!</v>
      </c>
      <c r="J323" s="207"/>
      <c r="K323" s="626" t="e">
        <f t="shared" si="38"/>
        <v>#N/A</v>
      </c>
      <c r="L323" s="630" t="e">
        <f t="shared" si="39"/>
        <v>#N/A</v>
      </c>
      <c r="M323" s="631" t="e">
        <f t="shared" si="40"/>
        <v>#N/A</v>
      </c>
      <c r="N323" s="464" t="e">
        <f>SUM($M$15:M323)</f>
        <v>#N/A</v>
      </c>
      <c r="O323" s="464" t="e">
        <f t="shared" si="34"/>
        <v>#DIV/0!</v>
      </c>
      <c r="P323" s="464" t="e">
        <f>SUM($O$15:O323)</f>
        <v>#DIV/0!</v>
      </c>
    </row>
    <row r="324" spans="2:16">
      <c r="B324" s="176">
        <f t="shared" si="35"/>
        <v>44596</v>
      </c>
      <c r="C324" s="209">
        <f t="shared" si="33"/>
        <v>2</v>
      </c>
      <c r="D324" s="208"/>
      <c r="E324" s="208"/>
      <c r="F324" s="208"/>
      <c r="G324" s="625" t="e">
        <f t="shared" si="36"/>
        <v>#DIV/0!</v>
      </c>
      <c r="H324" s="464" t="e">
        <f t="shared" si="37"/>
        <v>#DIV/0!</v>
      </c>
      <c r="I324" s="464" t="e">
        <f>SUM($H$15:H324)</f>
        <v>#DIV/0!</v>
      </c>
      <c r="J324" s="207"/>
      <c r="K324" s="626" t="e">
        <f t="shared" si="38"/>
        <v>#N/A</v>
      </c>
      <c r="L324" s="630" t="e">
        <f t="shared" si="39"/>
        <v>#N/A</v>
      </c>
      <c r="M324" s="631" t="e">
        <f t="shared" si="40"/>
        <v>#N/A</v>
      </c>
      <c r="N324" s="464" t="e">
        <f>SUM($M$15:M324)</f>
        <v>#N/A</v>
      </c>
      <c r="O324" s="464" t="e">
        <f t="shared" si="34"/>
        <v>#DIV/0!</v>
      </c>
      <c r="P324" s="464" t="e">
        <f>SUM($O$15:O324)</f>
        <v>#DIV/0!</v>
      </c>
    </row>
    <row r="325" spans="2:16">
      <c r="B325" s="176">
        <f t="shared" si="35"/>
        <v>44597</v>
      </c>
      <c r="C325" s="209">
        <f t="shared" si="33"/>
        <v>2</v>
      </c>
      <c r="D325" s="208"/>
      <c r="E325" s="208"/>
      <c r="F325" s="208"/>
      <c r="G325" s="625" t="e">
        <f t="shared" si="36"/>
        <v>#DIV/0!</v>
      </c>
      <c r="H325" s="464" t="e">
        <f t="shared" si="37"/>
        <v>#DIV/0!</v>
      </c>
      <c r="I325" s="464" t="e">
        <f>SUM($H$15:H325)</f>
        <v>#DIV/0!</v>
      </c>
      <c r="J325" s="207"/>
      <c r="K325" s="626" t="e">
        <f t="shared" si="38"/>
        <v>#N/A</v>
      </c>
      <c r="L325" s="630" t="e">
        <f t="shared" si="39"/>
        <v>#N/A</v>
      </c>
      <c r="M325" s="631" t="e">
        <f t="shared" si="40"/>
        <v>#N/A</v>
      </c>
      <c r="N325" s="464" t="e">
        <f>SUM($M$15:M325)</f>
        <v>#N/A</v>
      </c>
      <c r="O325" s="464" t="e">
        <f t="shared" si="34"/>
        <v>#DIV/0!</v>
      </c>
      <c r="P325" s="464" t="e">
        <f>SUM($O$15:O325)</f>
        <v>#DIV/0!</v>
      </c>
    </row>
    <row r="326" spans="2:16">
      <c r="B326" s="176">
        <f t="shared" si="35"/>
        <v>44598</v>
      </c>
      <c r="C326" s="209">
        <f t="shared" si="33"/>
        <v>2</v>
      </c>
      <c r="D326" s="208"/>
      <c r="E326" s="208"/>
      <c r="F326" s="208"/>
      <c r="G326" s="625" t="e">
        <f t="shared" si="36"/>
        <v>#DIV/0!</v>
      </c>
      <c r="H326" s="464" t="e">
        <f t="shared" si="37"/>
        <v>#DIV/0!</v>
      </c>
      <c r="I326" s="464" t="e">
        <f>SUM($H$15:H326)</f>
        <v>#DIV/0!</v>
      </c>
      <c r="J326" s="207"/>
      <c r="K326" s="626" t="e">
        <f t="shared" si="38"/>
        <v>#N/A</v>
      </c>
      <c r="L326" s="630" t="e">
        <f t="shared" si="39"/>
        <v>#N/A</v>
      </c>
      <c r="M326" s="631" t="e">
        <f t="shared" si="40"/>
        <v>#N/A</v>
      </c>
      <c r="N326" s="464" t="e">
        <f>SUM($M$15:M326)</f>
        <v>#N/A</v>
      </c>
      <c r="O326" s="464" t="e">
        <f t="shared" si="34"/>
        <v>#DIV/0!</v>
      </c>
      <c r="P326" s="464" t="e">
        <f>SUM($O$15:O326)</f>
        <v>#DIV/0!</v>
      </c>
    </row>
    <row r="327" spans="2:16">
      <c r="B327" s="176">
        <f t="shared" si="35"/>
        <v>44599</v>
      </c>
      <c r="C327" s="209">
        <f t="shared" si="33"/>
        <v>2</v>
      </c>
      <c r="D327" s="208"/>
      <c r="E327" s="208"/>
      <c r="F327" s="208"/>
      <c r="G327" s="625" t="e">
        <f t="shared" si="36"/>
        <v>#DIV/0!</v>
      </c>
      <c r="H327" s="464" t="e">
        <f t="shared" si="37"/>
        <v>#DIV/0!</v>
      </c>
      <c r="I327" s="464" t="e">
        <f>SUM($H$15:H327)</f>
        <v>#DIV/0!</v>
      </c>
      <c r="J327" s="207"/>
      <c r="K327" s="626" t="e">
        <f t="shared" si="38"/>
        <v>#N/A</v>
      </c>
      <c r="L327" s="630" t="e">
        <f t="shared" si="39"/>
        <v>#N/A</v>
      </c>
      <c r="M327" s="631" t="e">
        <f t="shared" si="40"/>
        <v>#N/A</v>
      </c>
      <c r="N327" s="464" t="e">
        <f>SUM($M$15:M327)</f>
        <v>#N/A</v>
      </c>
      <c r="O327" s="464" t="e">
        <f t="shared" si="34"/>
        <v>#DIV/0!</v>
      </c>
      <c r="P327" s="464" t="e">
        <f>SUM($O$15:O327)</f>
        <v>#DIV/0!</v>
      </c>
    </row>
    <row r="328" spans="2:16">
      <c r="B328" s="176">
        <f t="shared" si="35"/>
        <v>44600</v>
      </c>
      <c r="C328" s="209">
        <f t="shared" si="33"/>
        <v>2</v>
      </c>
      <c r="D328" s="208"/>
      <c r="E328" s="208"/>
      <c r="F328" s="208"/>
      <c r="G328" s="625" t="e">
        <f t="shared" si="36"/>
        <v>#DIV/0!</v>
      </c>
      <c r="H328" s="464" t="e">
        <f t="shared" si="37"/>
        <v>#DIV/0!</v>
      </c>
      <c r="I328" s="464" t="e">
        <f>SUM($H$15:H328)</f>
        <v>#DIV/0!</v>
      </c>
      <c r="J328" s="207"/>
      <c r="K328" s="626" t="e">
        <f t="shared" si="38"/>
        <v>#N/A</v>
      </c>
      <c r="L328" s="630" t="e">
        <f t="shared" si="39"/>
        <v>#N/A</v>
      </c>
      <c r="M328" s="631" t="e">
        <f t="shared" si="40"/>
        <v>#N/A</v>
      </c>
      <c r="N328" s="464" t="e">
        <f>SUM($M$15:M328)</f>
        <v>#N/A</v>
      </c>
      <c r="O328" s="464" t="e">
        <f t="shared" si="34"/>
        <v>#DIV/0!</v>
      </c>
      <c r="P328" s="464" t="e">
        <f>SUM($O$15:O328)</f>
        <v>#DIV/0!</v>
      </c>
    </row>
    <row r="329" spans="2:16">
      <c r="B329" s="176">
        <f t="shared" si="35"/>
        <v>44601</v>
      </c>
      <c r="C329" s="209">
        <f t="shared" si="33"/>
        <v>2</v>
      </c>
      <c r="D329" s="208"/>
      <c r="E329" s="208"/>
      <c r="F329" s="208"/>
      <c r="G329" s="625" t="e">
        <f t="shared" si="36"/>
        <v>#DIV/0!</v>
      </c>
      <c r="H329" s="464" t="e">
        <f t="shared" si="37"/>
        <v>#DIV/0!</v>
      </c>
      <c r="I329" s="464" t="e">
        <f>SUM($H$15:H329)</f>
        <v>#DIV/0!</v>
      </c>
      <c r="J329" s="207"/>
      <c r="K329" s="626" t="e">
        <f t="shared" si="38"/>
        <v>#N/A</v>
      </c>
      <c r="L329" s="630" t="e">
        <f t="shared" si="39"/>
        <v>#N/A</v>
      </c>
      <c r="M329" s="631" t="e">
        <f t="shared" si="40"/>
        <v>#N/A</v>
      </c>
      <c r="N329" s="464" t="e">
        <f>SUM($M$15:M329)</f>
        <v>#N/A</v>
      </c>
      <c r="O329" s="464" t="e">
        <f t="shared" si="34"/>
        <v>#DIV/0!</v>
      </c>
      <c r="P329" s="464" t="e">
        <f>SUM($O$15:O329)</f>
        <v>#DIV/0!</v>
      </c>
    </row>
    <row r="330" spans="2:16">
      <c r="B330" s="176">
        <f t="shared" si="35"/>
        <v>44602</v>
      </c>
      <c r="C330" s="209">
        <f t="shared" si="33"/>
        <v>2</v>
      </c>
      <c r="D330" s="208"/>
      <c r="E330" s="208"/>
      <c r="F330" s="208"/>
      <c r="G330" s="625" t="e">
        <f t="shared" si="36"/>
        <v>#DIV/0!</v>
      </c>
      <c r="H330" s="464" t="e">
        <f t="shared" si="37"/>
        <v>#DIV/0!</v>
      </c>
      <c r="I330" s="464" t="e">
        <f>SUM($H$15:H330)</f>
        <v>#DIV/0!</v>
      </c>
      <c r="J330" s="207"/>
      <c r="K330" s="626" t="e">
        <f t="shared" si="38"/>
        <v>#N/A</v>
      </c>
      <c r="L330" s="630" t="e">
        <f t="shared" si="39"/>
        <v>#N/A</v>
      </c>
      <c r="M330" s="631" t="e">
        <f t="shared" si="40"/>
        <v>#N/A</v>
      </c>
      <c r="N330" s="464" t="e">
        <f>SUM($M$15:M330)</f>
        <v>#N/A</v>
      </c>
      <c r="O330" s="464" t="e">
        <f t="shared" si="34"/>
        <v>#DIV/0!</v>
      </c>
      <c r="P330" s="464" t="e">
        <f>SUM($O$15:O330)</f>
        <v>#DIV/0!</v>
      </c>
    </row>
    <row r="331" spans="2:16">
      <c r="B331" s="176">
        <f t="shared" si="35"/>
        <v>44603</v>
      </c>
      <c r="C331" s="209">
        <f t="shared" si="33"/>
        <v>2</v>
      </c>
      <c r="D331" s="208"/>
      <c r="E331" s="208"/>
      <c r="F331" s="208"/>
      <c r="G331" s="625" t="e">
        <f t="shared" si="36"/>
        <v>#DIV/0!</v>
      </c>
      <c r="H331" s="464" t="e">
        <f t="shared" si="37"/>
        <v>#DIV/0!</v>
      </c>
      <c r="I331" s="464" t="e">
        <f>SUM($H$15:H331)</f>
        <v>#DIV/0!</v>
      </c>
      <c r="J331" s="207"/>
      <c r="K331" s="626" t="e">
        <f t="shared" si="38"/>
        <v>#N/A</v>
      </c>
      <c r="L331" s="630" t="e">
        <f t="shared" si="39"/>
        <v>#N/A</v>
      </c>
      <c r="M331" s="631" t="e">
        <f t="shared" si="40"/>
        <v>#N/A</v>
      </c>
      <c r="N331" s="464" t="e">
        <f>SUM($M$15:M331)</f>
        <v>#N/A</v>
      </c>
      <c r="O331" s="464" t="e">
        <f t="shared" si="34"/>
        <v>#DIV/0!</v>
      </c>
      <c r="P331" s="464" t="e">
        <f>SUM($O$15:O331)</f>
        <v>#DIV/0!</v>
      </c>
    </row>
    <row r="332" spans="2:16">
      <c r="B332" s="176">
        <f t="shared" si="35"/>
        <v>44604</v>
      </c>
      <c r="C332" s="209">
        <f t="shared" si="33"/>
        <v>2</v>
      </c>
      <c r="D332" s="208"/>
      <c r="E332" s="208"/>
      <c r="F332" s="208"/>
      <c r="G332" s="625" t="e">
        <f t="shared" si="36"/>
        <v>#DIV/0!</v>
      </c>
      <c r="H332" s="464" t="e">
        <f t="shared" si="37"/>
        <v>#DIV/0!</v>
      </c>
      <c r="I332" s="464" t="e">
        <f>SUM($H$15:H332)</f>
        <v>#DIV/0!</v>
      </c>
      <c r="J332" s="207"/>
      <c r="K332" s="626" t="e">
        <f t="shared" si="38"/>
        <v>#N/A</v>
      </c>
      <c r="L332" s="630" t="e">
        <f t="shared" si="39"/>
        <v>#N/A</v>
      </c>
      <c r="M332" s="631" t="e">
        <f t="shared" si="40"/>
        <v>#N/A</v>
      </c>
      <c r="N332" s="464" t="e">
        <f>SUM($M$15:M332)</f>
        <v>#N/A</v>
      </c>
      <c r="O332" s="464" t="e">
        <f t="shared" si="34"/>
        <v>#DIV/0!</v>
      </c>
      <c r="P332" s="464" t="e">
        <f>SUM($O$15:O332)</f>
        <v>#DIV/0!</v>
      </c>
    </row>
    <row r="333" spans="2:16">
      <c r="B333" s="176">
        <f t="shared" si="35"/>
        <v>44605</v>
      </c>
      <c r="C333" s="209">
        <f t="shared" si="33"/>
        <v>2</v>
      </c>
      <c r="D333" s="208"/>
      <c r="E333" s="208"/>
      <c r="F333" s="208"/>
      <c r="G333" s="625" t="e">
        <f t="shared" si="36"/>
        <v>#DIV/0!</v>
      </c>
      <c r="H333" s="464" t="e">
        <f t="shared" si="37"/>
        <v>#DIV/0!</v>
      </c>
      <c r="I333" s="464" t="e">
        <f>SUM($H$15:H333)</f>
        <v>#DIV/0!</v>
      </c>
      <c r="J333" s="207"/>
      <c r="K333" s="626" t="e">
        <f t="shared" si="38"/>
        <v>#N/A</v>
      </c>
      <c r="L333" s="630" t="e">
        <f t="shared" si="39"/>
        <v>#N/A</v>
      </c>
      <c r="M333" s="631" t="e">
        <f t="shared" si="40"/>
        <v>#N/A</v>
      </c>
      <c r="N333" s="464" t="e">
        <f>SUM($M$15:M333)</f>
        <v>#N/A</v>
      </c>
      <c r="O333" s="464" t="e">
        <f t="shared" si="34"/>
        <v>#DIV/0!</v>
      </c>
      <c r="P333" s="464" t="e">
        <f>SUM($O$15:O333)</f>
        <v>#DIV/0!</v>
      </c>
    </row>
    <row r="334" spans="2:16">
      <c r="B334" s="176">
        <f t="shared" si="35"/>
        <v>44606</v>
      </c>
      <c r="C334" s="209">
        <f t="shared" si="33"/>
        <v>2</v>
      </c>
      <c r="D334" s="208"/>
      <c r="E334" s="208"/>
      <c r="F334" s="208"/>
      <c r="G334" s="625" t="e">
        <f t="shared" si="36"/>
        <v>#DIV/0!</v>
      </c>
      <c r="H334" s="464" t="e">
        <f t="shared" si="37"/>
        <v>#DIV/0!</v>
      </c>
      <c r="I334" s="464" t="e">
        <f>SUM($H$15:H334)</f>
        <v>#DIV/0!</v>
      </c>
      <c r="J334" s="207"/>
      <c r="K334" s="626" t="e">
        <f t="shared" si="38"/>
        <v>#N/A</v>
      </c>
      <c r="L334" s="630" t="e">
        <f t="shared" si="39"/>
        <v>#N/A</v>
      </c>
      <c r="M334" s="631" t="e">
        <f t="shared" si="40"/>
        <v>#N/A</v>
      </c>
      <c r="N334" s="464" t="e">
        <f>SUM($M$15:M334)</f>
        <v>#N/A</v>
      </c>
      <c r="O334" s="464" t="e">
        <f t="shared" si="34"/>
        <v>#DIV/0!</v>
      </c>
      <c r="P334" s="464" t="e">
        <f>SUM($O$15:O334)</f>
        <v>#DIV/0!</v>
      </c>
    </row>
    <row r="335" spans="2:16">
      <c r="B335" s="176">
        <f t="shared" si="35"/>
        <v>44607</v>
      </c>
      <c r="C335" s="209">
        <f t="shared" ref="C335:C379" si="41">MONTH(B335)</f>
        <v>2</v>
      </c>
      <c r="D335" s="208"/>
      <c r="E335" s="208"/>
      <c r="F335" s="208"/>
      <c r="G335" s="625" t="e">
        <f t="shared" si="36"/>
        <v>#DIV/0!</v>
      </c>
      <c r="H335" s="464" t="e">
        <f t="shared" si="37"/>
        <v>#DIV/0!</v>
      </c>
      <c r="I335" s="464" t="e">
        <f>SUM($H$15:H335)</f>
        <v>#DIV/0!</v>
      </c>
      <c r="J335" s="207"/>
      <c r="K335" s="626" t="e">
        <f t="shared" si="38"/>
        <v>#N/A</v>
      </c>
      <c r="L335" s="630" t="e">
        <f t="shared" si="39"/>
        <v>#N/A</v>
      </c>
      <c r="M335" s="631" t="e">
        <f t="shared" si="40"/>
        <v>#N/A</v>
      </c>
      <c r="N335" s="464" t="e">
        <f>SUM($M$15:M335)</f>
        <v>#N/A</v>
      </c>
      <c r="O335" s="464" t="e">
        <f t="shared" ref="O335:O379" si="42">SUM(H335+M335)</f>
        <v>#DIV/0!</v>
      </c>
      <c r="P335" s="464" t="e">
        <f>SUM($O$15:O335)</f>
        <v>#DIV/0!</v>
      </c>
    </row>
    <row r="336" spans="2:16">
      <c r="B336" s="176">
        <f t="shared" ref="B336:B379" si="43">B335+1</f>
        <v>44608</v>
      </c>
      <c r="C336" s="209">
        <f t="shared" si="41"/>
        <v>2</v>
      </c>
      <c r="D336" s="208"/>
      <c r="E336" s="208"/>
      <c r="F336" s="208"/>
      <c r="G336" s="625" t="e">
        <f t="shared" ref="G336:G379" si="44">((E336-F336)/D336)*100</f>
        <v>#DIV/0!</v>
      </c>
      <c r="H336" s="464" t="e">
        <f t="shared" ref="H336:H379" si="45">IF(AND(G336&gt;=0,G336&lt;=5),1200-(G336*800),IF(AND(G336&gt;5,G336&lt;75.667),-2800-(300*(G336-5)),-24000))</f>
        <v>#DIV/0!</v>
      </c>
      <c r="I336" s="464" t="e">
        <f>SUM($H$15:H336)</f>
        <v>#DIV/0!</v>
      </c>
      <c r="J336" s="207"/>
      <c r="K336" s="626" t="e">
        <f t="shared" ref="K336:K379" si="46">IF(ISBLANK(J337),#N/A,J337)</f>
        <v>#N/A</v>
      </c>
      <c r="L336" s="630" t="e">
        <f t="shared" ref="L336:L379" si="47">MAX((J336-K336),(K336-J336))</f>
        <v>#N/A</v>
      </c>
      <c r="M336" s="631" t="e">
        <f t="shared" si="40"/>
        <v>#N/A</v>
      </c>
      <c r="N336" s="464" t="e">
        <f>SUM($M$15:M336)</f>
        <v>#N/A</v>
      </c>
      <c r="O336" s="464" t="e">
        <f t="shared" si="42"/>
        <v>#DIV/0!</v>
      </c>
      <c r="P336" s="464" t="e">
        <f>SUM($O$15:O336)</f>
        <v>#DIV/0!</v>
      </c>
    </row>
    <row r="337" spans="2:16">
      <c r="B337" s="176">
        <f t="shared" si="43"/>
        <v>44609</v>
      </c>
      <c r="C337" s="209">
        <f t="shared" si="41"/>
        <v>2</v>
      </c>
      <c r="D337" s="208"/>
      <c r="E337" s="208"/>
      <c r="F337" s="208"/>
      <c r="G337" s="625" t="e">
        <f t="shared" si="44"/>
        <v>#DIV/0!</v>
      </c>
      <c r="H337" s="464" t="e">
        <f t="shared" si="45"/>
        <v>#DIV/0!</v>
      </c>
      <c r="I337" s="464" t="e">
        <f>SUM($H$15:H337)</f>
        <v>#DIV/0!</v>
      </c>
      <c r="J337" s="207"/>
      <c r="K337" s="626" t="e">
        <f t="shared" si="46"/>
        <v>#N/A</v>
      </c>
      <c r="L337" s="630" t="e">
        <f t="shared" si="47"/>
        <v>#N/A</v>
      </c>
      <c r="M337" s="631" t="e">
        <f t="shared" si="40"/>
        <v>#N/A</v>
      </c>
      <c r="N337" s="464" t="e">
        <f>SUM($M$15:M337)</f>
        <v>#N/A</v>
      </c>
      <c r="O337" s="464" t="e">
        <f t="shared" si="42"/>
        <v>#DIV/0!</v>
      </c>
      <c r="P337" s="464" t="e">
        <f>SUM($O$15:O337)</f>
        <v>#DIV/0!</v>
      </c>
    </row>
    <row r="338" spans="2:16">
      <c r="B338" s="176">
        <f t="shared" si="43"/>
        <v>44610</v>
      </c>
      <c r="C338" s="209">
        <f t="shared" si="41"/>
        <v>2</v>
      </c>
      <c r="D338" s="208"/>
      <c r="E338" s="208"/>
      <c r="F338" s="208"/>
      <c r="G338" s="625" t="e">
        <f t="shared" si="44"/>
        <v>#DIV/0!</v>
      </c>
      <c r="H338" s="464" t="e">
        <f t="shared" si="45"/>
        <v>#DIV/0!</v>
      </c>
      <c r="I338" s="464" t="e">
        <f>SUM($H$15:H338)</f>
        <v>#DIV/0!</v>
      </c>
      <c r="J338" s="207"/>
      <c r="K338" s="626" t="e">
        <f t="shared" si="46"/>
        <v>#N/A</v>
      </c>
      <c r="L338" s="630" t="e">
        <f t="shared" si="47"/>
        <v>#N/A</v>
      </c>
      <c r="M338" s="631" t="e">
        <f t="shared" si="40"/>
        <v>#N/A</v>
      </c>
      <c r="N338" s="464" t="e">
        <f>SUM($M$15:M338)</f>
        <v>#N/A</v>
      </c>
      <c r="O338" s="464" t="e">
        <f t="shared" si="42"/>
        <v>#DIV/0!</v>
      </c>
      <c r="P338" s="464" t="e">
        <f>SUM($O$15:O338)</f>
        <v>#DIV/0!</v>
      </c>
    </row>
    <row r="339" spans="2:16">
      <c r="B339" s="176">
        <f t="shared" si="43"/>
        <v>44611</v>
      </c>
      <c r="C339" s="209">
        <f t="shared" si="41"/>
        <v>2</v>
      </c>
      <c r="D339" s="208"/>
      <c r="E339" s="208"/>
      <c r="F339" s="208"/>
      <c r="G339" s="625" t="e">
        <f t="shared" si="44"/>
        <v>#DIV/0!</v>
      </c>
      <c r="H339" s="464" t="e">
        <f t="shared" si="45"/>
        <v>#DIV/0!</v>
      </c>
      <c r="I339" s="464" t="e">
        <f>SUM($H$15:H339)</f>
        <v>#DIV/0!</v>
      </c>
      <c r="J339" s="207"/>
      <c r="K339" s="626" t="e">
        <f t="shared" si="46"/>
        <v>#N/A</v>
      </c>
      <c r="L339" s="630" t="e">
        <f t="shared" si="47"/>
        <v>#N/A</v>
      </c>
      <c r="M339" s="631" t="e">
        <f t="shared" si="40"/>
        <v>#N/A</v>
      </c>
      <c r="N339" s="464" t="e">
        <f>SUM($M$15:M339)</f>
        <v>#N/A</v>
      </c>
      <c r="O339" s="464" t="e">
        <f t="shared" si="42"/>
        <v>#DIV/0!</v>
      </c>
      <c r="P339" s="464" t="e">
        <f>SUM($O$15:O339)</f>
        <v>#DIV/0!</v>
      </c>
    </row>
    <row r="340" spans="2:16">
      <c r="B340" s="176">
        <f t="shared" si="43"/>
        <v>44612</v>
      </c>
      <c r="C340" s="209">
        <f t="shared" si="41"/>
        <v>2</v>
      </c>
      <c r="D340" s="208"/>
      <c r="E340" s="208"/>
      <c r="F340" s="208"/>
      <c r="G340" s="625" t="e">
        <f t="shared" si="44"/>
        <v>#DIV/0!</v>
      </c>
      <c r="H340" s="464" t="e">
        <f t="shared" si="45"/>
        <v>#DIV/0!</v>
      </c>
      <c r="I340" s="464" t="e">
        <f>SUM($H$15:H340)</f>
        <v>#DIV/0!</v>
      </c>
      <c r="J340" s="207"/>
      <c r="K340" s="626" t="e">
        <f t="shared" si="46"/>
        <v>#N/A</v>
      </c>
      <c r="L340" s="630" t="e">
        <f t="shared" si="47"/>
        <v>#N/A</v>
      </c>
      <c r="M340" s="631" t="e">
        <f t="shared" si="40"/>
        <v>#N/A</v>
      </c>
      <c r="N340" s="464" t="e">
        <f>SUM($M$15:M340)</f>
        <v>#N/A</v>
      </c>
      <c r="O340" s="464" t="e">
        <f t="shared" si="42"/>
        <v>#DIV/0!</v>
      </c>
      <c r="P340" s="464" t="e">
        <f>SUM($O$15:O340)</f>
        <v>#DIV/0!</v>
      </c>
    </row>
    <row r="341" spans="2:16">
      <c r="B341" s="176">
        <f t="shared" si="43"/>
        <v>44613</v>
      </c>
      <c r="C341" s="209">
        <f t="shared" si="41"/>
        <v>2</v>
      </c>
      <c r="D341" s="208"/>
      <c r="E341" s="208"/>
      <c r="F341" s="208"/>
      <c r="G341" s="625" t="e">
        <f t="shared" si="44"/>
        <v>#DIV/0!</v>
      </c>
      <c r="H341" s="464" t="e">
        <f t="shared" si="45"/>
        <v>#DIV/0!</v>
      </c>
      <c r="I341" s="464" t="e">
        <f>SUM($H$15:H341)</f>
        <v>#DIV/0!</v>
      </c>
      <c r="J341" s="207"/>
      <c r="K341" s="626" t="e">
        <f t="shared" si="46"/>
        <v>#N/A</v>
      </c>
      <c r="L341" s="630" t="e">
        <f t="shared" si="47"/>
        <v>#N/A</v>
      </c>
      <c r="M341" s="631" t="e">
        <f t="shared" si="40"/>
        <v>#N/A</v>
      </c>
      <c r="N341" s="464" t="e">
        <f>SUM($M$15:M341)</f>
        <v>#N/A</v>
      </c>
      <c r="O341" s="464" t="e">
        <f t="shared" si="42"/>
        <v>#DIV/0!</v>
      </c>
      <c r="P341" s="464" t="e">
        <f>SUM($O$15:O341)</f>
        <v>#DIV/0!</v>
      </c>
    </row>
    <row r="342" spans="2:16">
      <c r="B342" s="176">
        <f t="shared" si="43"/>
        <v>44614</v>
      </c>
      <c r="C342" s="209">
        <f t="shared" si="41"/>
        <v>2</v>
      </c>
      <c r="D342" s="208"/>
      <c r="E342" s="208"/>
      <c r="F342" s="208"/>
      <c r="G342" s="625" t="e">
        <f t="shared" si="44"/>
        <v>#DIV/0!</v>
      </c>
      <c r="H342" s="464" t="e">
        <f t="shared" si="45"/>
        <v>#DIV/0!</v>
      </c>
      <c r="I342" s="464" t="e">
        <f>SUM($H$15:H342)</f>
        <v>#DIV/0!</v>
      </c>
      <c r="J342" s="207"/>
      <c r="K342" s="626" t="e">
        <f t="shared" si="46"/>
        <v>#N/A</v>
      </c>
      <c r="L342" s="630" t="e">
        <f t="shared" si="47"/>
        <v>#N/A</v>
      </c>
      <c r="M342" s="631" t="e">
        <f t="shared" si="40"/>
        <v>#N/A</v>
      </c>
      <c r="N342" s="464" t="e">
        <f>SUM($M$15:M342)</f>
        <v>#N/A</v>
      </c>
      <c r="O342" s="464" t="e">
        <f t="shared" si="42"/>
        <v>#DIV/0!</v>
      </c>
      <c r="P342" s="464" t="e">
        <f>SUM($O$15:O342)</f>
        <v>#DIV/0!</v>
      </c>
    </row>
    <row r="343" spans="2:16">
      <c r="B343" s="176">
        <f t="shared" si="43"/>
        <v>44615</v>
      </c>
      <c r="C343" s="209">
        <f t="shared" si="41"/>
        <v>2</v>
      </c>
      <c r="D343" s="208"/>
      <c r="E343" s="208"/>
      <c r="F343" s="208"/>
      <c r="G343" s="625" t="e">
        <f t="shared" si="44"/>
        <v>#DIV/0!</v>
      </c>
      <c r="H343" s="464" t="e">
        <f t="shared" si="45"/>
        <v>#DIV/0!</v>
      </c>
      <c r="I343" s="464" t="e">
        <f>SUM($H$15:H343)</f>
        <v>#DIV/0!</v>
      </c>
      <c r="J343" s="207"/>
      <c r="K343" s="626" t="e">
        <f t="shared" si="46"/>
        <v>#N/A</v>
      </c>
      <c r="L343" s="630" t="e">
        <f t="shared" si="47"/>
        <v>#N/A</v>
      </c>
      <c r="M343" s="631" t="e">
        <f t="shared" si="40"/>
        <v>#N/A</v>
      </c>
      <c r="N343" s="464" t="e">
        <f>SUM($M$15:M343)</f>
        <v>#N/A</v>
      </c>
      <c r="O343" s="464" t="e">
        <f t="shared" si="42"/>
        <v>#DIV/0!</v>
      </c>
      <c r="P343" s="464" t="e">
        <f>SUM($O$15:O343)</f>
        <v>#DIV/0!</v>
      </c>
    </row>
    <row r="344" spans="2:16">
      <c r="B344" s="176">
        <f t="shared" si="43"/>
        <v>44616</v>
      </c>
      <c r="C344" s="209">
        <f t="shared" si="41"/>
        <v>2</v>
      </c>
      <c r="D344" s="208"/>
      <c r="E344" s="208"/>
      <c r="F344" s="208"/>
      <c r="G344" s="625" t="e">
        <f t="shared" si="44"/>
        <v>#DIV/0!</v>
      </c>
      <c r="H344" s="464" t="e">
        <f t="shared" si="45"/>
        <v>#DIV/0!</v>
      </c>
      <c r="I344" s="464" t="e">
        <f>SUM($H$15:H344)</f>
        <v>#DIV/0!</v>
      </c>
      <c r="J344" s="207"/>
      <c r="K344" s="626" t="e">
        <f t="shared" si="46"/>
        <v>#N/A</v>
      </c>
      <c r="L344" s="630" t="e">
        <f t="shared" si="47"/>
        <v>#N/A</v>
      </c>
      <c r="M344" s="631" t="e">
        <f t="shared" si="40"/>
        <v>#N/A</v>
      </c>
      <c r="N344" s="464" t="e">
        <f>SUM($M$15:M344)</f>
        <v>#N/A</v>
      </c>
      <c r="O344" s="464" t="e">
        <f t="shared" si="42"/>
        <v>#DIV/0!</v>
      </c>
      <c r="P344" s="464" t="e">
        <f>SUM($O$15:O344)</f>
        <v>#DIV/0!</v>
      </c>
    </row>
    <row r="345" spans="2:16">
      <c r="B345" s="176">
        <f t="shared" si="43"/>
        <v>44617</v>
      </c>
      <c r="C345" s="209">
        <f t="shared" si="41"/>
        <v>2</v>
      </c>
      <c r="D345" s="208"/>
      <c r="E345" s="208"/>
      <c r="F345" s="208"/>
      <c r="G345" s="625" t="e">
        <f t="shared" si="44"/>
        <v>#DIV/0!</v>
      </c>
      <c r="H345" s="464" t="e">
        <f t="shared" si="45"/>
        <v>#DIV/0!</v>
      </c>
      <c r="I345" s="464" t="e">
        <f>SUM($H$15:H345)</f>
        <v>#DIV/0!</v>
      </c>
      <c r="J345" s="207"/>
      <c r="K345" s="626" t="e">
        <f t="shared" si="46"/>
        <v>#N/A</v>
      </c>
      <c r="L345" s="630" t="e">
        <f t="shared" si="47"/>
        <v>#N/A</v>
      </c>
      <c r="M345" s="631" t="e">
        <f t="shared" si="40"/>
        <v>#N/A</v>
      </c>
      <c r="N345" s="464" t="e">
        <f>SUM($M$15:M345)</f>
        <v>#N/A</v>
      </c>
      <c r="O345" s="464" t="e">
        <f t="shared" si="42"/>
        <v>#DIV/0!</v>
      </c>
      <c r="P345" s="464" t="e">
        <f>SUM($O$15:O345)</f>
        <v>#DIV/0!</v>
      </c>
    </row>
    <row r="346" spans="2:16">
      <c r="B346" s="176">
        <f t="shared" si="43"/>
        <v>44618</v>
      </c>
      <c r="C346" s="209">
        <f t="shared" si="41"/>
        <v>2</v>
      </c>
      <c r="D346" s="208"/>
      <c r="E346" s="208"/>
      <c r="F346" s="208"/>
      <c r="G346" s="625" t="e">
        <f t="shared" si="44"/>
        <v>#DIV/0!</v>
      </c>
      <c r="H346" s="464" t="e">
        <f t="shared" si="45"/>
        <v>#DIV/0!</v>
      </c>
      <c r="I346" s="464" t="e">
        <f>SUM($H$15:H346)</f>
        <v>#DIV/0!</v>
      </c>
      <c r="J346" s="207"/>
      <c r="K346" s="626" t="e">
        <f t="shared" si="46"/>
        <v>#N/A</v>
      </c>
      <c r="L346" s="630" t="e">
        <f t="shared" si="47"/>
        <v>#N/A</v>
      </c>
      <c r="M346" s="631" t="e">
        <f t="shared" si="40"/>
        <v>#N/A</v>
      </c>
      <c r="N346" s="464" t="e">
        <f>SUM($M$15:M346)</f>
        <v>#N/A</v>
      </c>
      <c r="O346" s="464" t="e">
        <f t="shared" si="42"/>
        <v>#DIV/0!</v>
      </c>
      <c r="P346" s="464" t="e">
        <f>SUM($O$15:O346)</f>
        <v>#DIV/0!</v>
      </c>
    </row>
    <row r="347" spans="2:16">
      <c r="B347" s="176">
        <f t="shared" si="43"/>
        <v>44619</v>
      </c>
      <c r="C347" s="209">
        <f t="shared" si="41"/>
        <v>2</v>
      </c>
      <c r="D347" s="208"/>
      <c r="E347" s="208"/>
      <c r="F347" s="208"/>
      <c r="G347" s="625" t="e">
        <f t="shared" si="44"/>
        <v>#DIV/0!</v>
      </c>
      <c r="H347" s="464" t="e">
        <f t="shared" si="45"/>
        <v>#DIV/0!</v>
      </c>
      <c r="I347" s="464" t="e">
        <f>SUM($H$15:H347)</f>
        <v>#DIV/0!</v>
      </c>
      <c r="J347" s="207"/>
      <c r="K347" s="626" t="e">
        <f t="shared" si="46"/>
        <v>#N/A</v>
      </c>
      <c r="L347" s="630" t="e">
        <f t="shared" si="47"/>
        <v>#N/A</v>
      </c>
      <c r="M347" s="631" t="e">
        <f t="shared" si="40"/>
        <v>#N/A</v>
      </c>
      <c r="N347" s="464" t="e">
        <f>SUM($M$15:M347)</f>
        <v>#N/A</v>
      </c>
      <c r="O347" s="464" t="e">
        <f t="shared" si="42"/>
        <v>#DIV/0!</v>
      </c>
      <c r="P347" s="464" t="e">
        <f>SUM($O$15:O347)</f>
        <v>#DIV/0!</v>
      </c>
    </row>
    <row r="348" spans="2:16">
      <c r="B348" s="176">
        <f t="shared" si="43"/>
        <v>44620</v>
      </c>
      <c r="C348" s="209">
        <f t="shared" si="41"/>
        <v>2</v>
      </c>
      <c r="D348" s="208"/>
      <c r="E348" s="208"/>
      <c r="F348" s="208"/>
      <c r="G348" s="625" t="e">
        <f t="shared" si="44"/>
        <v>#DIV/0!</v>
      </c>
      <c r="H348" s="464" t="e">
        <f t="shared" si="45"/>
        <v>#DIV/0!</v>
      </c>
      <c r="I348" s="464" t="e">
        <f>SUM($H$15:H348)</f>
        <v>#DIV/0!</v>
      </c>
      <c r="J348" s="207"/>
      <c r="K348" s="626" t="e">
        <f t="shared" si="46"/>
        <v>#N/A</v>
      </c>
      <c r="L348" s="630" t="e">
        <f t="shared" si="47"/>
        <v>#N/A</v>
      </c>
      <c r="M348" s="631" t="e">
        <f t="shared" si="40"/>
        <v>#N/A</v>
      </c>
      <c r="N348" s="464" t="e">
        <f>SUM($M$15:M348)</f>
        <v>#N/A</v>
      </c>
      <c r="O348" s="464" t="e">
        <f t="shared" si="42"/>
        <v>#DIV/0!</v>
      </c>
      <c r="P348" s="464" t="e">
        <f>SUM($O$15:O348)</f>
        <v>#DIV/0!</v>
      </c>
    </row>
    <row r="349" spans="2:16">
      <c r="B349" s="176">
        <f t="shared" si="43"/>
        <v>44621</v>
      </c>
      <c r="C349" s="209">
        <f t="shared" si="41"/>
        <v>3</v>
      </c>
      <c r="D349" s="208"/>
      <c r="E349" s="208"/>
      <c r="F349" s="208"/>
      <c r="G349" s="625" t="e">
        <f t="shared" si="44"/>
        <v>#DIV/0!</v>
      </c>
      <c r="H349" s="464" t="e">
        <f t="shared" si="45"/>
        <v>#DIV/0!</v>
      </c>
      <c r="I349" s="464" t="e">
        <f>SUM($H$15:H349)</f>
        <v>#DIV/0!</v>
      </c>
      <c r="J349" s="207"/>
      <c r="K349" s="626" t="e">
        <f t="shared" si="46"/>
        <v>#N/A</v>
      </c>
      <c r="L349" s="630" t="e">
        <f t="shared" si="47"/>
        <v>#N/A</v>
      </c>
      <c r="M349" s="631" t="e">
        <f t="shared" si="40"/>
        <v>#N/A</v>
      </c>
      <c r="N349" s="464" t="e">
        <f>SUM($M$15:M349)</f>
        <v>#N/A</v>
      </c>
      <c r="O349" s="464" t="e">
        <f t="shared" si="42"/>
        <v>#DIV/0!</v>
      </c>
      <c r="P349" s="464" t="e">
        <f>SUM($O$15:O349)</f>
        <v>#DIV/0!</v>
      </c>
    </row>
    <row r="350" spans="2:16">
      <c r="B350" s="176">
        <f t="shared" si="43"/>
        <v>44622</v>
      </c>
      <c r="C350" s="209">
        <f t="shared" si="41"/>
        <v>3</v>
      </c>
      <c r="D350" s="208"/>
      <c r="E350" s="208"/>
      <c r="F350" s="208"/>
      <c r="G350" s="625" t="e">
        <f t="shared" si="44"/>
        <v>#DIV/0!</v>
      </c>
      <c r="H350" s="464" t="e">
        <f t="shared" si="45"/>
        <v>#DIV/0!</v>
      </c>
      <c r="I350" s="464" t="e">
        <f>SUM($H$15:H350)</f>
        <v>#DIV/0!</v>
      </c>
      <c r="J350" s="207"/>
      <c r="K350" s="626" t="e">
        <f t="shared" si="46"/>
        <v>#N/A</v>
      </c>
      <c r="L350" s="630" t="e">
        <f t="shared" si="47"/>
        <v>#N/A</v>
      </c>
      <c r="M350" s="631" t="e">
        <f t="shared" si="40"/>
        <v>#N/A</v>
      </c>
      <c r="N350" s="464" t="e">
        <f>SUM($M$15:M350)</f>
        <v>#N/A</v>
      </c>
      <c r="O350" s="464" t="e">
        <f t="shared" si="42"/>
        <v>#DIV/0!</v>
      </c>
      <c r="P350" s="464" t="e">
        <f>SUM($O$15:O350)</f>
        <v>#DIV/0!</v>
      </c>
    </row>
    <row r="351" spans="2:16">
      <c r="B351" s="176">
        <f t="shared" si="43"/>
        <v>44623</v>
      </c>
      <c r="C351" s="209">
        <f t="shared" si="41"/>
        <v>3</v>
      </c>
      <c r="D351" s="208"/>
      <c r="E351" s="208"/>
      <c r="F351" s="208"/>
      <c r="G351" s="625" t="e">
        <f t="shared" si="44"/>
        <v>#DIV/0!</v>
      </c>
      <c r="H351" s="464" t="e">
        <f t="shared" si="45"/>
        <v>#DIV/0!</v>
      </c>
      <c r="I351" s="464" t="e">
        <f>SUM($H$15:H351)</f>
        <v>#DIV/0!</v>
      </c>
      <c r="J351" s="207"/>
      <c r="K351" s="626" t="e">
        <f t="shared" si="46"/>
        <v>#N/A</v>
      </c>
      <c r="L351" s="630" t="e">
        <f t="shared" si="47"/>
        <v>#N/A</v>
      </c>
      <c r="M351" s="631" t="e">
        <f t="shared" si="40"/>
        <v>#N/A</v>
      </c>
      <c r="N351" s="464" t="e">
        <f>SUM($M$15:M351)</f>
        <v>#N/A</v>
      </c>
      <c r="O351" s="464" t="e">
        <f t="shared" si="42"/>
        <v>#DIV/0!</v>
      </c>
      <c r="P351" s="464" t="e">
        <f>SUM($O$15:O351)</f>
        <v>#DIV/0!</v>
      </c>
    </row>
    <row r="352" spans="2:16">
      <c r="B352" s="176">
        <f t="shared" si="43"/>
        <v>44624</v>
      </c>
      <c r="C352" s="209">
        <f t="shared" si="41"/>
        <v>3</v>
      </c>
      <c r="D352" s="208"/>
      <c r="E352" s="208"/>
      <c r="F352" s="208"/>
      <c r="G352" s="625" t="e">
        <f t="shared" si="44"/>
        <v>#DIV/0!</v>
      </c>
      <c r="H352" s="464" t="e">
        <f t="shared" si="45"/>
        <v>#DIV/0!</v>
      </c>
      <c r="I352" s="464" t="e">
        <f>SUM($H$15:H352)</f>
        <v>#DIV/0!</v>
      </c>
      <c r="J352" s="207"/>
      <c r="K352" s="626" t="e">
        <f t="shared" si="46"/>
        <v>#N/A</v>
      </c>
      <c r="L352" s="630" t="e">
        <f t="shared" si="47"/>
        <v>#N/A</v>
      </c>
      <c r="M352" s="631" t="e">
        <f t="shared" si="40"/>
        <v>#N/A</v>
      </c>
      <c r="N352" s="464" t="e">
        <f>SUM($M$15:M352)</f>
        <v>#N/A</v>
      </c>
      <c r="O352" s="464" t="e">
        <f t="shared" si="42"/>
        <v>#DIV/0!</v>
      </c>
      <c r="P352" s="464" t="e">
        <f>SUM($O$15:O352)</f>
        <v>#DIV/0!</v>
      </c>
    </row>
    <row r="353" spans="2:16">
      <c r="B353" s="176">
        <f t="shared" si="43"/>
        <v>44625</v>
      </c>
      <c r="C353" s="209">
        <f t="shared" si="41"/>
        <v>3</v>
      </c>
      <c r="D353" s="208"/>
      <c r="E353" s="208"/>
      <c r="F353" s="208"/>
      <c r="G353" s="625" t="e">
        <f t="shared" si="44"/>
        <v>#DIV/0!</v>
      </c>
      <c r="H353" s="464" t="e">
        <f t="shared" si="45"/>
        <v>#DIV/0!</v>
      </c>
      <c r="I353" s="464" t="e">
        <f>SUM($H$15:H353)</f>
        <v>#DIV/0!</v>
      </c>
      <c r="J353" s="207"/>
      <c r="K353" s="626" t="e">
        <f t="shared" si="46"/>
        <v>#N/A</v>
      </c>
      <c r="L353" s="630" t="e">
        <f t="shared" si="47"/>
        <v>#N/A</v>
      </c>
      <c r="M353" s="631" t="e">
        <f t="shared" si="40"/>
        <v>#N/A</v>
      </c>
      <c r="N353" s="464" t="e">
        <f>SUM($M$15:M353)</f>
        <v>#N/A</v>
      </c>
      <c r="O353" s="464" t="e">
        <f t="shared" si="42"/>
        <v>#DIV/0!</v>
      </c>
      <c r="P353" s="464" t="e">
        <f>SUM($O$15:O353)</f>
        <v>#DIV/0!</v>
      </c>
    </row>
    <row r="354" spans="2:16">
      <c r="B354" s="176">
        <f t="shared" si="43"/>
        <v>44626</v>
      </c>
      <c r="C354" s="209">
        <f t="shared" si="41"/>
        <v>3</v>
      </c>
      <c r="D354" s="208"/>
      <c r="E354" s="208"/>
      <c r="F354" s="208"/>
      <c r="G354" s="625" t="e">
        <f t="shared" si="44"/>
        <v>#DIV/0!</v>
      </c>
      <c r="H354" s="464" t="e">
        <f t="shared" si="45"/>
        <v>#DIV/0!</v>
      </c>
      <c r="I354" s="464" t="e">
        <f>SUM($H$15:H354)</f>
        <v>#DIV/0!</v>
      </c>
      <c r="J354" s="207"/>
      <c r="K354" s="626" t="e">
        <f t="shared" si="46"/>
        <v>#N/A</v>
      </c>
      <c r="L354" s="630" t="e">
        <f t="shared" si="47"/>
        <v>#N/A</v>
      </c>
      <c r="M354" s="631" t="e">
        <f t="shared" si="40"/>
        <v>#N/A</v>
      </c>
      <c r="N354" s="464" t="e">
        <f>SUM($M$15:M354)</f>
        <v>#N/A</v>
      </c>
      <c r="O354" s="464" t="e">
        <f t="shared" si="42"/>
        <v>#DIV/0!</v>
      </c>
      <c r="P354" s="464" t="e">
        <f>SUM($O$15:O354)</f>
        <v>#DIV/0!</v>
      </c>
    </row>
    <row r="355" spans="2:16">
      <c r="B355" s="176">
        <f t="shared" si="43"/>
        <v>44627</v>
      </c>
      <c r="C355" s="209">
        <f t="shared" si="41"/>
        <v>3</v>
      </c>
      <c r="D355" s="208"/>
      <c r="E355" s="208"/>
      <c r="F355" s="208"/>
      <c r="G355" s="625" t="e">
        <f t="shared" si="44"/>
        <v>#DIV/0!</v>
      </c>
      <c r="H355" s="464" t="e">
        <f t="shared" si="45"/>
        <v>#DIV/0!</v>
      </c>
      <c r="I355" s="464" t="e">
        <f>SUM($H$15:H355)</f>
        <v>#DIV/0!</v>
      </c>
      <c r="J355" s="207"/>
      <c r="K355" s="626" t="e">
        <f t="shared" si="46"/>
        <v>#N/A</v>
      </c>
      <c r="L355" s="630" t="e">
        <f t="shared" si="47"/>
        <v>#N/A</v>
      </c>
      <c r="M355" s="631" t="e">
        <f t="shared" si="40"/>
        <v>#N/A</v>
      </c>
      <c r="N355" s="464" t="e">
        <f>SUM($M$15:M355)</f>
        <v>#N/A</v>
      </c>
      <c r="O355" s="464" t="e">
        <f t="shared" si="42"/>
        <v>#DIV/0!</v>
      </c>
      <c r="P355" s="464" t="e">
        <f>SUM($O$15:O355)</f>
        <v>#DIV/0!</v>
      </c>
    </row>
    <row r="356" spans="2:16">
      <c r="B356" s="176">
        <f t="shared" si="43"/>
        <v>44628</v>
      </c>
      <c r="C356" s="209">
        <f t="shared" si="41"/>
        <v>3</v>
      </c>
      <c r="D356" s="208"/>
      <c r="E356" s="208"/>
      <c r="F356" s="208"/>
      <c r="G356" s="625" t="e">
        <f t="shared" si="44"/>
        <v>#DIV/0!</v>
      </c>
      <c r="H356" s="464" t="e">
        <f t="shared" si="45"/>
        <v>#DIV/0!</v>
      </c>
      <c r="I356" s="464" t="e">
        <f>SUM($H$15:H356)</f>
        <v>#DIV/0!</v>
      </c>
      <c r="J356" s="207"/>
      <c r="K356" s="626" t="e">
        <f t="shared" si="46"/>
        <v>#N/A</v>
      </c>
      <c r="L356" s="630" t="e">
        <f t="shared" si="47"/>
        <v>#N/A</v>
      </c>
      <c r="M356" s="631" t="e">
        <f t="shared" si="40"/>
        <v>#N/A</v>
      </c>
      <c r="N356" s="464" t="e">
        <f>SUM($M$15:M356)</f>
        <v>#N/A</v>
      </c>
      <c r="O356" s="464" t="e">
        <f t="shared" si="42"/>
        <v>#DIV/0!</v>
      </c>
      <c r="P356" s="464" t="e">
        <f>SUM($O$15:O356)</f>
        <v>#DIV/0!</v>
      </c>
    </row>
    <row r="357" spans="2:16">
      <c r="B357" s="176">
        <f t="shared" si="43"/>
        <v>44629</v>
      </c>
      <c r="C357" s="209">
        <f t="shared" si="41"/>
        <v>3</v>
      </c>
      <c r="D357" s="208"/>
      <c r="E357" s="208"/>
      <c r="F357" s="208"/>
      <c r="G357" s="625" t="e">
        <f t="shared" si="44"/>
        <v>#DIV/0!</v>
      </c>
      <c r="H357" s="464" t="e">
        <f t="shared" si="45"/>
        <v>#DIV/0!</v>
      </c>
      <c r="I357" s="464" t="e">
        <f>SUM($H$15:H357)</f>
        <v>#DIV/0!</v>
      </c>
      <c r="J357" s="207"/>
      <c r="K357" s="626" t="e">
        <f t="shared" si="46"/>
        <v>#N/A</v>
      </c>
      <c r="L357" s="630" t="e">
        <f t="shared" si="47"/>
        <v>#N/A</v>
      </c>
      <c r="M357" s="631" t="e">
        <f t="shared" si="40"/>
        <v>#N/A</v>
      </c>
      <c r="N357" s="464" t="e">
        <f>SUM($M$15:M357)</f>
        <v>#N/A</v>
      </c>
      <c r="O357" s="464" t="e">
        <f t="shared" si="42"/>
        <v>#DIV/0!</v>
      </c>
      <c r="P357" s="464" t="e">
        <f>SUM($O$15:O357)</f>
        <v>#DIV/0!</v>
      </c>
    </row>
    <row r="358" spans="2:16">
      <c r="B358" s="176">
        <f t="shared" si="43"/>
        <v>44630</v>
      </c>
      <c r="C358" s="209">
        <f t="shared" si="41"/>
        <v>3</v>
      </c>
      <c r="D358" s="208"/>
      <c r="E358" s="208"/>
      <c r="F358" s="208"/>
      <c r="G358" s="625" t="e">
        <f t="shared" si="44"/>
        <v>#DIV/0!</v>
      </c>
      <c r="H358" s="464" t="e">
        <f t="shared" si="45"/>
        <v>#DIV/0!</v>
      </c>
      <c r="I358" s="464" t="e">
        <f>SUM($H$15:H358)</f>
        <v>#DIV/0!</v>
      </c>
      <c r="J358" s="207"/>
      <c r="K358" s="626" t="e">
        <f t="shared" si="46"/>
        <v>#N/A</v>
      </c>
      <c r="L358" s="630" t="e">
        <f t="shared" si="47"/>
        <v>#N/A</v>
      </c>
      <c r="M358" s="631" t="e">
        <f t="shared" si="40"/>
        <v>#N/A</v>
      </c>
      <c r="N358" s="464" t="e">
        <f>SUM($M$15:M358)</f>
        <v>#N/A</v>
      </c>
      <c r="O358" s="464" t="e">
        <f t="shared" si="42"/>
        <v>#DIV/0!</v>
      </c>
      <c r="P358" s="464" t="e">
        <f>SUM($O$15:O358)</f>
        <v>#DIV/0!</v>
      </c>
    </row>
    <row r="359" spans="2:16">
      <c r="B359" s="176">
        <f t="shared" si="43"/>
        <v>44631</v>
      </c>
      <c r="C359" s="209">
        <f t="shared" si="41"/>
        <v>3</v>
      </c>
      <c r="D359" s="208"/>
      <c r="E359" s="208"/>
      <c r="F359" s="208"/>
      <c r="G359" s="625" t="e">
        <f t="shared" si="44"/>
        <v>#DIV/0!</v>
      </c>
      <c r="H359" s="464" t="e">
        <f t="shared" si="45"/>
        <v>#DIV/0!</v>
      </c>
      <c r="I359" s="464" t="e">
        <f>SUM($H$15:H359)</f>
        <v>#DIV/0!</v>
      </c>
      <c r="J359" s="207"/>
      <c r="K359" s="626" t="e">
        <f t="shared" si="46"/>
        <v>#N/A</v>
      </c>
      <c r="L359" s="630" t="e">
        <f t="shared" si="47"/>
        <v>#N/A</v>
      </c>
      <c r="M359" s="631" t="e">
        <f t="shared" si="40"/>
        <v>#N/A</v>
      </c>
      <c r="N359" s="464" t="e">
        <f>SUM($M$15:M359)</f>
        <v>#N/A</v>
      </c>
      <c r="O359" s="464" t="e">
        <f t="shared" si="42"/>
        <v>#DIV/0!</v>
      </c>
      <c r="P359" s="464" t="e">
        <f>SUM($O$15:O359)</f>
        <v>#DIV/0!</v>
      </c>
    </row>
    <row r="360" spans="2:16">
      <c r="B360" s="176">
        <f t="shared" si="43"/>
        <v>44632</v>
      </c>
      <c r="C360" s="209">
        <f t="shared" si="41"/>
        <v>3</v>
      </c>
      <c r="D360" s="208"/>
      <c r="E360" s="208"/>
      <c r="F360" s="208"/>
      <c r="G360" s="625" t="e">
        <f t="shared" si="44"/>
        <v>#DIV/0!</v>
      </c>
      <c r="H360" s="464" t="e">
        <f t="shared" si="45"/>
        <v>#DIV/0!</v>
      </c>
      <c r="I360" s="464" t="e">
        <f>SUM($H$15:H360)</f>
        <v>#DIV/0!</v>
      </c>
      <c r="J360" s="207"/>
      <c r="K360" s="626" t="e">
        <f t="shared" si="46"/>
        <v>#N/A</v>
      </c>
      <c r="L360" s="630" t="e">
        <f t="shared" si="47"/>
        <v>#N/A</v>
      </c>
      <c r="M360" s="631" t="e">
        <f t="shared" si="40"/>
        <v>#N/A</v>
      </c>
      <c r="N360" s="464" t="e">
        <f>SUM($M$15:M360)</f>
        <v>#N/A</v>
      </c>
      <c r="O360" s="464" t="e">
        <f t="shared" si="42"/>
        <v>#DIV/0!</v>
      </c>
      <c r="P360" s="464" t="e">
        <f>SUM($O$15:O360)</f>
        <v>#DIV/0!</v>
      </c>
    </row>
    <row r="361" spans="2:16">
      <c r="B361" s="176">
        <f t="shared" si="43"/>
        <v>44633</v>
      </c>
      <c r="C361" s="209">
        <f t="shared" si="41"/>
        <v>3</v>
      </c>
      <c r="D361" s="208"/>
      <c r="E361" s="208"/>
      <c r="F361" s="208"/>
      <c r="G361" s="625" t="e">
        <f t="shared" si="44"/>
        <v>#DIV/0!</v>
      </c>
      <c r="H361" s="464" t="e">
        <f t="shared" si="45"/>
        <v>#DIV/0!</v>
      </c>
      <c r="I361" s="464" t="e">
        <f>SUM($H$15:H361)</f>
        <v>#DIV/0!</v>
      </c>
      <c r="J361" s="207"/>
      <c r="K361" s="626" t="e">
        <f t="shared" si="46"/>
        <v>#N/A</v>
      </c>
      <c r="L361" s="630" t="e">
        <f t="shared" si="47"/>
        <v>#N/A</v>
      </c>
      <c r="M361" s="631" t="e">
        <f t="shared" si="40"/>
        <v>#N/A</v>
      </c>
      <c r="N361" s="464" t="e">
        <f>SUM($M$15:M361)</f>
        <v>#N/A</v>
      </c>
      <c r="O361" s="464" t="e">
        <f t="shared" si="42"/>
        <v>#DIV/0!</v>
      </c>
      <c r="P361" s="464" t="e">
        <f>SUM($O$15:O361)</f>
        <v>#DIV/0!</v>
      </c>
    </row>
    <row r="362" spans="2:16">
      <c r="B362" s="176">
        <f t="shared" si="43"/>
        <v>44634</v>
      </c>
      <c r="C362" s="209">
        <f t="shared" si="41"/>
        <v>3</v>
      </c>
      <c r="D362" s="208"/>
      <c r="E362" s="208"/>
      <c r="F362" s="208"/>
      <c r="G362" s="625" t="e">
        <f t="shared" si="44"/>
        <v>#DIV/0!</v>
      </c>
      <c r="H362" s="464" t="e">
        <f t="shared" si="45"/>
        <v>#DIV/0!</v>
      </c>
      <c r="I362" s="464" t="e">
        <f>SUM($H$15:H362)</f>
        <v>#DIV/0!</v>
      </c>
      <c r="J362" s="207"/>
      <c r="K362" s="626" t="e">
        <f t="shared" si="46"/>
        <v>#N/A</v>
      </c>
      <c r="L362" s="630" t="e">
        <f t="shared" si="47"/>
        <v>#N/A</v>
      </c>
      <c r="M362" s="631" t="e">
        <f t="shared" si="40"/>
        <v>#N/A</v>
      </c>
      <c r="N362" s="464" t="e">
        <f>SUM($M$15:M362)</f>
        <v>#N/A</v>
      </c>
      <c r="O362" s="464" t="e">
        <f t="shared" si="42"/>
        <v>#DIV/0!</v>
      </c>
      <c r="P362" s="464" t="e">
        <f>SUM($O$15:O362)</f>
        <v>#DIV/0!</v>
      </c>
    </row>
    <row r="363" spans="2:16">
      <c r="B363" s="176">
        <f t="shared" si="43"/>
        <v>44635</v>
      </c>
      <c r="C363" s="209">
        <f t="shared" si="41"/>
        <v>3</v>
      </c>
      <c r="D363" s="208"/>
      <c r="E363" s="208"/>
      <c r="F363" s="208"/>
      <c r="G363" s="625" t="e">
        <f t="shared" si="44"/>
        <v>#DIV/0!</v>
      </c>
      <c r="H363" s="464" t="e">
        <f t="shared" si="45"/>
        <v>#DIV/0!</v>
      </c>
      <c r="I363" s="464" t="e">
        <f>SUM($H$15:H363)</f>
        <v>#DIV/0!</v>
      </c>
      <c r="J363" s="207"/>
      <c r="K363" s="626" t="e">
        <f t="shared" si="46"/>
        <v>#N/A</v>
      </c>
      <c r="L363" s="630" t="e">
        <f t="shared" si="47"/>
        <v>#N/A</v>
      </c>
      <c r="M363" s="631" t="e">
        <f t="shared" si="40"/>
        <v>#N/A</v>
      </c>
      <c r="N363" s="464" t="e">
        <f>SUM($M$15:M363)</f>
        <v>#N/A</v>
      </c>
      <c r="O363" s="464" t="e">
        <f t="shared" si="42"/>
        <v>#DIV/0!</v>
      </c>
      <c r="P363" s="464" t="e">
        <f>SUM($O$15:O363)</f>
        <v>#DIV/0!</v>
      </c>
    </row>
    <row r="364" spans="2:16">
      <c r="B364" s="176">
        <f t="shared" si="43"/>
        <v>44636</v>
      </c>
      <c r="C364" s="209">
        <f t="shared" si="41"/>
        <v>3</v>
      </c>
      <c r="D364" s="208"/>
      <c r="E364" s="208"/>
      <c r="F364" s="208"/>
      <c r="G364" s="625" t="e">
        <f t="shared" si="44"/>
        <v>#DIV/0!</v>
      </c>
      <c r="H364" s="464" t="e">
        <f t="shared" si="45"/>
        <v>#DIV/0!</v>
      </c>
      <c r="I364" s="464" t="e">
        <f>SUM($H$15:H364)</f>
        <v>#DIV/0!</v>
      </c>
      <c r="J364" s="207"/>
      <c r="K364" s="626" t="e">
        <f t="shared" si="46"/>
        <v>#N/A</v>
      </c>
      <c r="L364" s="630" t="e">
        <f t="shared" si="47"/>
        <v>#N/A</v>
      </c>
      <c r="M364" s="631" t="e">
        <f t="shared" si="40"/>
        <v>#N/A</v>
      </c>
      <c r="N364" s="464" t="e">
        <f>SUM($M$15:M364)</f>
        <v>#N/A</v>
      </c>
      <c r="O364" s="464" t="e">
        <f t="shared" si="42"/>
        <v>#DIV/0!</v>
      </c>
      <c r="P364" s="464" t="e">
        <f>SUM($O$15:O364)</f>
        <v>#DIV/0!</v>
      </c>
    </row>
    <row r="365" spans="2:16">
      <c r="B365" s="176">
        <f t="shared" si="43"/>
        <v>44637</v>
      </c>
      <c r="C365" s="209">
        <f t="shared" si="41"/>
        <v>3</v>
      </c>
      <c r="D365" s="208"/>
      <c r="E365" s="208"/>
      <c r="F365" s="208"/>
      <c r="G365" s="625" t="e">
        <f t="shared" si="44"/>
        <v>#DIV/0!</v>
      </c>
      <c r="H365" s="464" t="e">
        <f t="shared" si="45"/>
        <v>#DIV/0!</v>
      </c>
      <c r="I365" s="464" t="e">
        <f>SUM($H$15:H365)</f>
        <v>#DIV/0!</v>
      </c>
      <c r="J365" s="207"/>
      <c r="K365" s="626" t="e">
        <f t="shared" si="46"/>
        <v>#N/A</v>
      </c>
      <c r="L365" s="630" t="e">
        <f t="shared" si="47"/>
        <v>#N/A</v>
      </c>
      <c r="M365" s="631" t="e">
        <f t="shared" si="40"/>
        <v>#N/A</v>
      </c>
      <c r="N365" s="464" t="e">
        <f>SUM($M$15:M365)</f>
        <v>#N/A</v>
      </c>
      <c r="O365" s="464" t="e">
        <f t="shared" si="42"/>
        <v>#DIV/0!</v>
      </c>
      <c r="P365" s="464" t="e">
        <f>SUM($O$15:O365)</f>
        <v>#DIV/0!</v>
      </c>
    </row>
    <row r="366" spans="2:16">
      <c r="B366" s="176">
        <f t="shared" si="43"/>
        <v>44638</v>
      </c>
      <c r="C366" s="209">
        <f t="shared" si="41"/>
        <v>3</v>
      </c>
      <c r="D366" s="208"/>
      <c r="E366" s="208"/>
      <c r="F366" s="208"/>
      <c r="G366" s="625" t="e">
        <f t="shared" si="44"/>
        <v>#DIV/0!</v>
      </c>
      <c r="H366" s="464" t="e">
        <f t="shared" si="45"/>
        <v>#DIV/0!</v>
      </c>
      <c r="I366" s="464" t="e">
        <f>SUM($H$15:H366)</f>
        <v>#DIV/0!</v>
      </c>
      <c r="J366" s="207"/>
      <c r="K366" s="626" t="e">
        <f t="shared" si="46"/>
        <v>#N/A</v>
      </c>
      <c r="L366" s="630" t="e">
        <f t="shared" si="47"/>
        <v>#N/A</v>
      </c>
      <c r="M366" s="631" t="e">
        <f t="shared" si="40"/>
        <v>#N/A</v>
      </c>
      <c r="N366" s="464" t="e">
        <f>SUM($M$15:M366)</f>
        <v>#N/A</v>
      </c>
      <c r="O366" s="464" t="e">
        <f t="shared" si="42"/>
        <v>#DIV/0!</v>
      </c>
      <c r="P366" s="464" t="e">
        <f>SUM($O$15:O366)</f>
        <v>#DIV/0!</v>
      </c>
    </row>
    <row r="367" spans="2:16">
      <c r="B367" s="176">
        <f t="shared" si="43"/>
        <v>44639</v>
      </c>
      <c r="C367" s="209">
        <f t="shared" si="41"/>
        <v>3</v>
      </c>
      <c r="D367" s="208"/>
      <c r="E367" s="208"/>
      <c r="F367" s="208"/>
      <c r="G367" s="625" t="e">
        <f t="shared" si="44"/>
        <v>#DIV/0!</v>
      </c>
      <c r="H367" s="464" t="e">
        <f t="shared" si="45"/>
        <v>#DIV/0!</v>
      </c>
      <c r="I367" s="464" t="e">
        <f>SUM($H$15:H367)</f>
        <v>#DIV/0!</v>
      </c>
      <c r="J367" s="207"/>
      <c r="K367" s="626" t="e">
        <f t="shared" si="46"/>
        <v>#N/A</v>
      </c>
      <c r="L367" s="630" t="e">
        <f t="shared" si="47"/>
        <v>#N/A</v>
      </c>
      <c r="M367" s="631" t="e">
        <f t="shared" si="40"/>
        <v>#N/A</v>
      </c>
      <c r="N367" s="464" t="e">
        <f>SUM($M$15:M367)</f>
        <v>#N/A</v>
      </c>
      <c r="O367" s="464" t="e">
        <f t="shared" si="42"/>
        <v>#DIV/0!</v>
      </c>
      <c r="P367" s="464" t="e">
        <f>SUM($O$15:O367)</f>
        <v>#DIV/0!</v>
      </c>
    </row>
    <row r="368" spans="2:16">
      <c r="B368" s="176">
        <f t="shared" si="43"/>
        <v>44640</v>
      </c>
      <c r="C368" s="209">
        <f t="shared" si="41"/>
        <v>3</v>
      </c>
      <c r="D368" s="208"/>
      <c r="E368" s="208"/>
      <c r="F368" s="208"/>
      <c r="G368" s="625" t="e">
        <f t="shared" si="44"/>
        <v>#DIV/0!</v>
      </c>
      <c r="H368" s="464" t="e">
        <f t="shared" si="45"/>
        <v>#DIV/0!</v>
      </c>
      <c r="I368" s="464" t="e">
        <f>SUM($H$15:H368)</f>
        <v>#DIV/0!</v>
      </c>
      <c r="J368" s="207"/>
      <c r="K368" s="626" t="e">
        <f t="shared" si="46"/>
        <v>#N/A</v>
      </c>
      <c r="L368" s="630" t="e">
        <f t="shared" si="47"/>
        <v>#N/A</v>
      </c>
      <c r="M368" s="631" t="e">
        <f t="shared" si="40"/>
        <v>#N/A</v>
      </c>
      <c r="N368" s="464" t="e">
        <f>SUM($M$15:M368)</f>
        <v>#N/A</v>
      </c>
      <c r="O368" s="464" t="e">
        <f t="shared" si="42"/>
        <v>#DIV/0!</v>
      </c>
      <c r="P368" s="464" t="e">
        <f>SUM($O$15:O368)</f>
        <v>#DIV/0!</v>
      </c>
    </row>
    <row r="369" spans="2:16">
      <c r="B369" s="176">
        <f t="shared" si="43"/>
        <v>44641</v>
      </c>
      <c r="C369" s="209">
        <f t="shared" si="41"/>
        <v>3</v>
      </c>
      <c r="D369" s="208"/>
      <c r="E369" s="208"/>
      <c r="F369" s="208"/>
      <c r="G369" s="625" t="e">
        <f t="shared" si="44"/>
        <v>#DIV/0!</v>
      </c>
      <c r="H369" s="464" t="e">
        <f t="shared" si="45"/>
        <v>#DIV/0!</v>
      </c>
      <c r="I369" s="464" t="e">
        <f>SUM($H$15:H369)</f>
        <v>#DIV/0!</v>
      </c>
      <c r="J369" s="207"/>
      <c r="K369" s="626" t="e">
        <f t="shared" si="46"/>
        <v>#N/A</v>
      </c>
      <c r="L369" s="630" t="e">
        <f t="shared" si="47"/>
        <v>#N/A</v>
      </c>
      <c r="M369" s="631" t="e">
        <f t="shared" si="40"/>
        <v>#N/A</v>
      </c>
      <c r="N369" s="464" t="e">
        <f>SUM($M$15:M369)</f>
        <v>#N/A</v>
      </c>
      <c r="O369" s="464" t="e">
        <f t="shared" si="42"/>
        <v>#DIV/0!</v>
      </c>
      <c r="P369" s="464" t="e">
        <f>SUM($O$15:O369)</f>
        <v>#DIV/0!</v>
      </c>
    </row>
    <row r="370" spans="2:16">
      <c r="B370" s="176">
        <f t="shared" si="43"/>
        <v>44642</v>
      </c>
      <c r="C370" s="209">
        <f t="shared" si="41"/>
        <v>3</v>
      </c>
      <c r="D370" s="208"/>
      <c r="E370" s="208"/>
      <c r="F370" s="208"/>
      <c r="G370" s="625" t="e">
        <f t="shared" si="44"/>
        <v>#DIV/0!</v>
      </c>
      <c r="H370" s="464" t="e">
        <f t="shared" si="45"/>
        <v>#DIV/0!</v>
      </c>
      <c r="I370" s="464" t="e">
        <f>SUM($H$15:H370)</f>
        <v>#DIV/0!</v>
      </c>
      <c r="J370" s="207"/>
      <c r="K370" s="626" t="e">
        <f t="shared" si="46"/>
        <v>#N/A</v>
      </c>
      <c r="L370" s="630" t="e">
        <f t="shared" si="47"/>
        <v>#N/A</v>
      </c>
      <c r="M370" s="631" t="e">
        <f t="shared" si="40"/>
        <v>#N/A</v>
      </c>
      <c r="N370" s="464" t="e">
        <f>SUM($M$15:M370)</f>
        <v>#N/A</v>
      </c>
      <c r="O370" s="464" t="e">
        <f t="shared" si="42"/>
        <v>#DIV/0!</v>
      </c>
      <c r="P370" s="464" t="e">
        <f>SUM($O$15:O370)</f>
        <v>#DIV/0!</v>
      </c>
    </row>
    <row r="371" spans="2:16">
      <c r="B371" s="176">
        <f t="shared" si="43"/>
        <v>44643</v>
      </c>
      <c r="C371" s="209">
        <f t="shared" si="41"/>
        <v>3</v>
      </c>
      <c r="D371" s="208"/>
      <c r="E371" s="208"/>
      <c r="F371" s="208"/>
      <c r="G371" s="625" t="e">
        <f t="shared" si="44"/>
        <v>#DIV/0!</v>
      </c>
      <c r="H371" s="464" t="e">
        <f t="shared" si="45"/>
        <v>#DIV/0!</v>
      </c>
      <c r="I371" s="464" t="e">
        <f>SUM($H$15:H371)</f>
        <v>#DIV/0!</v>
      </c>
      <c r="J371" s="207"/>
      <c r="K371" s="626" t="e">
        <f t="shared" si="46"/>
        <v>#N/A</v>
      </c>
      <c r="L371" s="630" t="e">
        <f t="shared" si="47"/>
        <v>#N/A</v>
      </c>
      <c r="M371" s="631" t="e">
        <f t="shared" si="40"/>
        <v>#N/A</v>
      </c>
      <c r="N371" s="464" t="e">
        <f>SUM($M$15:M371)</f>
        <v>#N/A</v>
      </c>
      <c r="O371" s="464" t="e">
        <f t="shared" si="42"/>
        <v>#DIV/0!</v>
      </c>
      <c r="P371" s="464" t="e">
        <f>SUM($O$15:O371)</f>
        <v>#DIV/0!</v>
      </c>
    </row>
    <row r="372" spans="2:16">
      <c r="B372" s="176">
        <f t="shared" si="43"/>
        <v>44644</v>
      </c>
      <c r="C372" s="209">
        <f t="shared" si="41"/>
        <v>3</v>
      </c>
      <c r="D372" s="208"/>
      <c r="E372" s="208"/>
      <c r="F372" s="208"/>
      <c r="G372" s="625" t="e">
        <f t="shared" si="44"/>
        <v>#DIV/0!</v>
      </c>
      <c r="H372" s="464" t="e">
        <f t="shared" si="45"/>
        <v>#DIV/0!</v>
      </c>
      <c r="I372" s="464" t="e">
        <f>SUM($H$15:H372)</f>
        <v>#DIV/0!</v>
      </c>
      <c r="J372" s="207"/>
      <c r="K372" s="626" t="e">
        <f t="shared" si="46"/>
        <v>#N/A</v>
      </c>
      <c r="L372" s="630" t="e">
        <f t="shared" si="47"/>
        <v>#N/A</v>
      </c>
      <c r="M372" s="631" t="e">
        <f t="shared" si="40"/>
        <v>#N/A</v>
      </c>
      <c r="N372" s="464" t="e">
        <f>SUM($M$15:M372)</f>
        <v>#N/A</v>
      </c>
      <c r="O372" s="464" t="e">
        <f t="shared" si="42"/>
        <v>#DIV/0!</v>
      </c>
      <c r="P372" s="464" t="e">
        <f>SUM($O$15:O372)</f>
        <v>#DIV/0!</v>
      </c>
    </row>
    <row r="373" spans="2:16">
      <c r="B373" s="176">
        <f t="shared" si="43"/>
        <v>44645</v>
      </c>
      <c r="C373" s="209">
        <f t="shared" si="41"/>
        <v>3</v>
      </c>
      <c r="D373" s="208"/>
      <c r="E373" s="208"/>
      <c r="F373" s="208"/>
      <c r="G373" s="625" t="e">
        <f t="shared" si="44"/>
        <v>#DIV/0!</v>
      </c>
      <c r="H373" s="464" t="e">
        <f t="shared" si="45"/>
        <v>#DIV/0!</v>
      </c>
      <c r="I373" s="464" t="e">
        <f>SUM($H$15:H373)</f>
        <v>#DIV/0!</v>
      </c>
      <c r="J373" s="207"/>
      <c r="K373" s="626" t="e">
        <f t="shared" si="46"/>
        <v>#N/A</v>
      </c>
      <c r="L373" s="630" t="e">
        <f t="shared" si="47"/>
        <v>#N/A</v>
      </c>
      <c r="M373" s="631" t="e">
        <f t="shared" si="40"/>
        <v>#N/A</v>
      </c>
      <c r="N373" s="464" t="e">
        <f>SUM($M$15:M373)</f>
        <v>#N/A</v>
      </c>
      <c r="O373" s="464" t="e">
        <f t="shared" si="42"/>
        <v>#DIV/0!</v>
      </c>
      <c r="P373" s="464" t="e">
        <f>SUM($O$15:O373)</f>
        <v>#DIV/0!</v>
      </c>
    </row>
    <row r="374" spans="2:16">
      <c r="B374" s="176">
        <f t="shared" si="43"/>
        <v>44646</v>
      </c>
      <c r="C374" s="209">
        <f t="shared" si="41"/>
        <v>3</v>
      </c>
      <c r="D374" s="208"/>
      <c r="E374" s="208"/>
      <c r="F374" s="208"/>
      <c r="G374" s="625" t="e">
        <f t="shared" si="44"/>
        <v>#DIV/0!</v>
      </c>
      <c r="H374" s="464" t="e">
        <f t="shared" si="45"/>
        <v>#DIV/0!</v>
      </c>
      <c r="I374" s="464" t="e">
        <f>SUM($H$15:H374)</f>
        <v>#DIV/0!</v>
      </c>
      <c r="J374" s="207"/>
      <c r="K374" s="626" t="e">
        <f t="shared" si="46"/>
        <v>#N/A</v>
      </c>
      <c r="L374" s="630" t="e">
        <f t="shared" si="47"/>
        <v>#N/A</v>
      </c>
      <c r="M374" s="631" t="e">
        <f t="shared" si="40"/>
        <v>#N/A</v>
      </c>
      <c r="N374" s="464" t="e">
        <f>SUM($M$15:M374)</f>
        <v>#N/A</v>
      </c>
      <c r="O374" s="464" t="e">
        <f t="shared" si="42"/>
        <v>#DIV/0!</v>
      </c>
      <c r="P374" s="464" t="e">
        <f>SUM($O$15:O374)</f>
        <v>#DIV/0!</v>
      </c>
    </row>
    <row r="375" spans="2:16">
      <c r="B375" s="176">
        <f t="shared" si="43"/>
        <v>44647</v>
      </c>
      <c r="C375" s="209">
        <f t="shared" si="41"/>
        <v>3</v>
      </c>
      <c r="D375" s="208"/>
      <c r="E375" s="208"/>
      <c r="F375" s="208"/>
      <c r="G375" s="625" t="e">
        <f t="shared" si="44"/>
        <v>#DIV/0!</v>
      </c>
      <c r="H375" s="464" t="e">
        <f t="shared" si="45"/>
        <v>#DIV/0!</v>
      </c>
      <c r="I375" s="464" t="e">
        <f>SUM($H$15:H375)</f>
        <v>#DIV/0!</v>
      </c>
      <c r="J375" s="207"/>
      <c r="K375" s="626" t="e">
        <f t="shared" si="46"/>
        <v>#N/A</v>
      </c>
      <c r="L375" s="630" t="e">
        <f t="shared" si="47"/>
        <v>#N/A</v>
      </c>
      <c r="M375" s="631" t="e">
        <f t="shared" si="40"/>
        <v>#N/A</v>
      </c>
      <c r="N375" s="464" t="e">
        <f>SUM($M$15:M375)</f>
        <v>#N/A</v>
      </c>
      <c r="O375" s="464" t="e">
        <f t="shared" si="42"/>
        <v>#DIV/0!</v>
      </c>
      <c r="P375" s="464" t="e">
        <f>SUM($O$15:O375)</f>
        <v>#DIV/0!</v>
      </c>
    </row>
    <row r="376" spans="2:16">
      <c r="B376" s="176">
        <f t="shared" si="43"/>
        <v>44648</v>
      </c>
      <c r="C376" s="209">
        <f t="shared" si="41"/>
        <v>3</v>
      </c>
      <c r="D376" s="208"/>
      <c r="E376" s="208"/>
      <c r="F376" s="208"/>
      <c r="G376" s="625" t="e">
        <f t="shared" si="44"/>
        <v>#DIV/0!</v>
      </c>
      <c r="H376" s="464" t="e">
        <f t="shared" si="45"/>
        <v>#DIV/0!</v>
      </c>
      <c r="I376" s="464" t="e">
        <f>SUM($H$15:H376)</f>
        <v>#DIV/0!</v>
      </c>
      <c r="J376" s="207"/>
      <c r="K376" s="626" t="e">
        <f t="shared" si="46"/>
        <v>#N/A</v>
      </c>
      <c r="L376" s="630" t="e">
        <f t="shared" si="47"/>
        <v>#N/A</v>
      </c>
      <c r="M376" s="631" t="e">
        <f t="shared" si="40"/>
        <v>#N/A</v>
      </c>
      <c r="N376" s="464" t="e">
        <f>SUM($M$15:M376)</f>
        <v>#N/A</v>
      </c>
      <c r="O376" s="464" t="e">
        <f t="shared" si="42"/>
        <v>#DIV/0!</v>
      </c>
      <c r="P376" s="464" t="e">
        <f>SUM($O$15:O376)</f>
        <v>#DIV/0!</v>
      </c>
    </row>
    <row r="377" spans="2:16">
      <c r="B377" s="176">
        <f t="shared" si="43"/>
        <v>44649</v>
      </c>
      <c r="C377" s="209">
        <f t="shared" si="41"/>
        <v>3</v>
      </c>
      <c r="D377" s="208"/>
      <c r="E377" s="208"/>
      <c r="F377" s="208"/>
      <c r="G377" s="625" t="e">
        <f t="shared" si="44"/>
        <v>#DIV/0!</v>
      </c>
      <c r="H377" s="464" t="e">
        <f t="shared" si="45"/>
        <v>#DIV/0!</v>
      </c>
      <c r="I377" s="464" t="e">
        <f>SUM($H$15:H377)</f>
        <v>#DIV/0!</v>
      </c>
      <c r="J377" s="207"/>
      <c r="K377" s="626" t="e">
        <f t="shared" si="46"/>
        <v>#N/A</v>
      </c>
      <c r="L377" s="630" t="e">
        <f t="shared" si="47"/>
        <v>#N/A</v>
      </c>
      <c r="M377" s="631" t="e">
        <f t="shared" si="40"/>
        <v>#N/A</v>
      </c>
      <c r="N377" s="464" t="e">
        <f>SUM($M$15:M377)</f>
        <v>#N/A</v>
      </c>
      <c r="O377" s="464" t="e">
        <f t="shared" si="42"/>
        <v>#DIV/0!</v>
      </c>
      <c r="P377" s="464" t="e">
        <f>SUM($O$15:O377)</f>
        <v>#DIV/0!</v>
      </c>
    </row>
    <row r="378" spans="2:16">
      <c r="B378" s="176">
        <f t="shared" si="43"/>
        <v>44650</v>
      </c>
      <c r="C378" s="209">
        <f t="shared" si="41"/>
        <v>3</v>
      </c>
      <c r="D378" s="208"/>
      <c r="E378" s="208"/>
      <c r="F378" s="208"/>
      <c r="G378" s="625" t="e">
        <f t="shared" si="44"/>
        <v>#DIV/0!</v>
      </c>
      <c r="H378" s="464" t="e">
        <f t="shared" si="45"/>
        <v>#DIV/0!</v>
      </c>
      <c r="I378" s="464" t="e">
        <f>SUM($H$15:H378)</f>
        <v>#DIV/0!</v>
      </c>
      <c r="J378" s="207"/>
      <c r="K378" s="626" t="e">
        <f t="shared" si="46"/>
        <v>#N/A</v>
      </c>
      <c r="L378" s="630" t="e">
        <f t="shared" si="47"/>
        <v>#N/A</v>
      </c>
      <c r="M378" s="631" t="e">
        <f t="shared" si="40"/>
        <v>#N/A</v>
      </c>
      <c r="N378" s="464" t="e">
        <f>SUM($M$15:M378)</f>
        <v>#N/A</v>
      </c>
      <c r="O378" s="464" t="e">
        <f t="shared" si="42"/>
        <v>#DIV/0!</v>
      </c>
      <c r="P378" s="464" t="e">
        <f>SUM($O$15:O378)</f>
        <v>#DIV/0!</v>
      </c>
    </row>
    <row r="379" spans="2:16">
      <c r="B379" s="176">
        <f t="shared" si="43"/>
        <v>44651</v>
      </c>
      <c r="C379" s="209">
        <f t="shared" si="41"/>
        <v>3</v>
      </c>
      <c r="D379" s="208"/>
      <c r="E379" s="208"/>
      <c r="F379" s="208"/>
      <c r="G379" s="625" t="e">
        <f t="shared" si="44"/>
        <v>#DIV/0!</v>
      </c>
      <c r="H379" s="464" t="e">
        <f t="shared" si="45"/>
        <v>#DIV/0!</v>
      </c>
      <c r="I379" s="464" t="e">
        <f>SUM($H$15:H379)</f>
        <v>#DIV/0!</v>
      </c>
      <c r="J379" s="207"/>
      <c r="K379" s="626" t="e">
        <f t="shared" si="46"/>
        <v>#N/A</v>
      </c>
      <c r="L379" s="630" t="e">
        <f t="shared" si="47"/>
        <v>#N/A</v>
      </c>
      <c r="M379" s="631" t="e">
        <f t="shared" si="40"/>
        <v>#N/A</v>
      </c>
      <c r="N379" s="464" t="e">
        <f>SUM($M$15:M379)</f>
        <v>#N/A</v>
      </c>
      <c r="O379" s="464" t="e">
        <f t="shared" si="42"/>
        <v>#DIV/0!</v>
      </c>
      <c r="P379" s="464" t="e">
        <f>SUM($O$15:O379)</f>
        <v>#DIV/0!</v>
      </c>
    </row>
    <row r="380" spans="2:16">
      <c r="B380" s="176"/>
      <c r="C380" s="176"/>
      <c r="D380" s="632"/>
      <c r="E380" s="632"/>
      <c r="F380" s="632"/>
      <c r="G380" s="625"/>
      <c r="H380" s="464"/>
      <c r="I380" s="464"/>
      <c r="J380" s="626"/>
      <c r="K380" s="626"/>
      <c r="L380" s="626"/>
      <c r="M380" s="633"/>
      <c r="N380" s="464"/>
      <c r="O380" s="464"/>
      <c r="P380" s="464"/>
    </row>
    <row r="381" spans="2:16">
      <c r="G381" s="465"/>
      <c r="I381" s="634"/>
    </row>
    <row r="382" spans="2:16">
      <c r="I382" s="634"/>
    </row>
    <row r="383" spans="2:16">
      <c r="I383" s="634"/>
    </row>
    <row r="384" spans="2:16">
      <c r="I384" s="634"/>
    </row>
    <row r="385" spans="9:9">
      <c r="I385" s="634"/>
    </row>
    <row r="386" spans="9:9">
      <c r="I386" s="634"/>
    </row>
    <row r="387" spans="9:9">
      <c r="I387" s="634"/>
    </row>
    <row r="388" spans="9:9">
      <c r="I388" s="634"/>
    </row>
    <row r="389" spans="9:9">
      <c r="I389" s="634"/>
    </row>
    <row r="390" spans="9:9">
      <c r="I390" s="634"/>
    </row>
    <row r="391" spans="9:9">
      <c r="I391" s="634"/>
    </row>
    <row r="392" spans="9:9">
      <c r="I392" s="634"/>
    </row>
    <row r="393" spans="9:9">
      <c r="I393" s="634"/>
    </row>
    <row r="394" spans="9:9">
      <c r="I394" s="634"/>
    </row>
    <row r="395" spans="9:9">
      <c r="I395" s="634"/>
    </row>
    <row r="396" spans="9:9">
      <c r="I396" s="634"/>
    </row>
    <row r="397" spans="9:9">
      <c r="I397" s="634"/>
    </row>
    <row r="398" spans="9:9">
      <c r="I398" s="634"/>
    </row>
    <row r="399" spans="9:9">
      <c r="I399" s="634"/>
    </row>
    <row r="400" spans="9:9">
      <c r="I400" s="634"/>
    </row>
    <row r="401" spans="9:9">
      <c r="I401" s="634"/>
    </row>
    <row r="402" spans="9:9">
      <c r="I402" s="634"/>
    </row>
    <row r="403" spans="9:9">
      <c r="I403" s="634"/>
    </row>
    <row r="404" spans="9:9">
      <c r="I404" s="634"/>
    </row>
    <row r="405" spans="9:9">
      <c r="I405" s="634"/>
    </row>
    <row r="406" spans="9:9">
      <c r="I406" s="634"/>
    </row>
    <row r="407" spans="9:9">
      <c r="I407" s="634"/>
    </row>
    <row r="408" spans="9:9">
      <c r="I408" s="634"/>
    </row>
    <row r="409" spans="9:9">
      <c r="I409" s="634"/>
    </row>
    <row r="410" spans="9:9">
      <c r="I410" s="634"/>
    </row>
    <row r="411" spans="9:9">
      <c r="I411" s="634"/>
    </row>
    <row r="412" spans="9:9">
      <c r="I412" s="634"/>
    </row>
    <row r="413" spans="9:9">
      <c r="I413" s="634"/>
    </row>
    <row r="414" spans="9:9">
      <c r="I414" s="634"/>
    </row>
    <row r="415" spans="9:9">
      <c r="I415" s="634"/>
    </row>
    <row r="416" spans="9:9">
      <c r="I416" s="634"/>
    </row>
    <row r="417" spans="9:9">
      <c r="I417" s="634"/>
    </row>
    <row r="418" spans="9:9">
      <c r="I418" s="634"/>
    </row>
    <row r="419" spans="9:9">
      <c r="I419" s="634"/>
    </row>
    <row r="420" spans="9:9">
      <c r="I420" s="634"/>
    </row>
    <row r="421" spans="9:9">
      <c r="I421" s="634"/>
    </row>
    <row r="422" spans="9:9">
      <c r="I422" s="634"/>
    </row>
    <row r="423" spans="9:9">
      <c r="I423" s="634"/>
    </row>
    <row r="424" spans="9:9">
      <c r="I424" s="634"/>
    </row>
    <row r="425" spans="9:9">
      <c r="I425" s="634"/>
    </row>
    <row r="426" spans="9:9">
      <c r="I426" s="634"/>
    </row>
    <row r="427" spans="9:9">
      <c r="I427" s="634"/>
    </row>
    <row r="428" spans="9:9">
      <c r="I428" s="634"/>
    </row>
    <row r="429" spans="9:9">
      <c r="I429" s="634"/>
    </row>
    <row r="430" spans="9:9">
      <c r="I430" s="634"/>
    </row>
    <row r="431" spans="9:9">
      <c r="I431" s="634"/>
    </row>
    <row r="432" spans="9:9">
      <c r="I432" s="634"/>
    </row>
    <row r="433" spans="9:9">
      <c r="I433" s="634"/>
    </row>
    <row r="434" spans="9:9">
      <c r="I434" s="634"/>
    </row>
    <row r="435" spans="9:9">
      <c r="I435" s="634"/>
    </row>
    <row r="436" spans="9:9">
      <c r="I436" s="634"/>
    </row>
    <row r="437" spans="9:9">
      <c r="I437" s="634"/>
    </row>
    <row r="438" spans="9:9">
      <c r="I438" s="634"/>
    </row>
    <row r="439" spans="9:9">
      <c r="I439" s="634"/>
    </row>
    <row r="440" spans="9:9">
      <c r="I440" s="634"/>
    </row>
    <row r="441" spans="9:9">
      <c r="I441" s="634"/>
    </row>
    <row r="442" spans="9:9">
      <c r="I442" s="634"/>
    </row>
    <row r="443" spans="9:9">
      <c r="I443" s="634"/>
    </row>
    <row r="444" spans="9:9">
      <c r="I444" s="634"/>
    </row>
    <row r="445" spans="9:9">
      <c r="I445" s="634"/>
    </row>
    <row r="446" spans="9:9">
      <c r="I446" s="634"/>
    </row>
    <row r="447" spans="9:9">
      <c r="I447" s="634"/>
    </row>
    <row r="448" spans="9:9">
      <c r="I448" s="634"/>
    </row>
    <row r="449" spans="9:9">
      <c r="I449" s="634"/>
    </row>
    <row r="450" spans="9:9">
      <c r="I450" s="634"/>
    </row>
    <row r="451" spans="9:9">
      <c r="I451" s="634"/>
    </row>
    <row r="452" spans="9:9">
      <c r="I452" s="634"/>
    </row>
    <row r="453" spans="9:9">
      <c r="I453" s="634"/>
    </row>
    <row r="454" spans="9:9">
      <c r="I454" s="634"/>
    </row>
    <row r="455" spans="9:9">
      <c r="I455" s="634"/>
    </row>
    <row r="456" spans="9:9">
      <c r="I456" s="634"/>
    </row>
    <row r="457" spans="9:9">
      <c r="I457" s="634"/>
    </row>
    <row r="458" spans="9:9">
      <c r="I458" s="634"/>
    </row>
    <row r="459" spans="9:9">
      <c r="I459" s="634"/>
    </row>
    <row r="460" spans="9:9">
      <c r="I460" s="634"/>
    </row>
    <row r="461" spans="9:9">
      <c r="I461" s="634"/>
    </row>
    <row r="462" spans="9:9">
      <c r="I462" s="634"/>
    </row>
    <row r="463" spans="9:9">
      <c r="I463" s="634"/>
    </row>
    <row r="464" spans="9:9">
      <c r="I464" s="634"/>
    </row>
    <row r="465" spans="9:9">
      <c r="I465" s="634"/>
    </row>
    <row r="466" spans="9:9">
      <c r="I466" s="634"/>
    </row>
    <row r="467" spans="9:9">
      <c r="I467" s="634"/>
    </row>
    <row r="468" spans="9:9">
      <c r="I468" s="634"/>
    </row>
    <row r="469" spans="9:9">
      <c r="I469" s="634"/>
    </row>
    <row r="470" spans="9:9">
      <c r="I470" s="634"/>
    </row>
    <row r="471" spans="9:9">
      <c r="I471" s="634"/>
    </row>
    <row r="472" spans="9:9">
      <c r="I472" s="634"/>
    </row>
    <row r="473" spans="9:9">
      <c r="I473" s="634"/>
    </row>
    <row r="474" spans="9:9">
      <c r="I474" s="634"/>
    </row>
    <row r="475" spans="9:9">
      <c r="I475" s="634"/>
    </row>
    <row r="476" spans="9:9">
      <c r="I476" s="634"/>
    </row>
    <row r="477" spans="9:9">
      <c r="I477" s="634"/>
    </row>
    <row r="478" spans="9:9">
      <c r="I478" s="634"/>
    </row>
    <row r="479" spans="9:9">
      <c r="I479" s="634"/>
    </row>
    <row r="480" spans="9:9">
      <c r="I480" s="634"/>
    </row>
    <row r="481" spans="9:9">
      <c r="I481" s="634"/>
    </row>
    <row r="482" spans="9:9">
      <c r="I482" s="634"/>
    </row>
    <row r="483" spans="9:9">
      <c r="I483" s="634"/>
    </row>
    <row r="484" spans="9:9">
      <c r="I484" s="634"/>
    </row>
    <row r="485" spans="9:9">
      <c r="I485" s="634"/>
    </row>
    <row r="486" spans="9:9">
      <c r="I486" s="634"/>
    </row>
    <row r="487" spans="9:9">
      <c r="I487" s="634"/>
    </row>
    <row r="488" spans="9:9">
      <c r="I488" s="634"/>
    </row>
    <row r="489" spans="9:9">
      <c r="I489" s="634"/>
    </row>
    <row r="490" spans="9:9">
      <c r="I490" s="634"/>
    </row>
    <row r="491" spans="9:9">
      <c r="I491" s="634"/>
    </row>
    <row r="492" spans="9:9">
      <c r="I492" s="634"/>
    </row>
    <row r="493" spans="9:9">
      <c r="I493" s="634"/>
    </row>
    <row r="494" spans="9:9">
      <c r="I494" s="634"/>
    </row>
    <row r="495" spans="9:9">
      <c r="I495" s="634"/>
    </row>
    <row r="496" spans="9:9">
      <c r="I496" s="634"/>
    </row>
    <row r="497" spans="9:9">
      <c r="I497" s="634"/>
    </row>
    <row r="498" spans="9:9">
      <c r="I498" s="634"/>
    </row>
    <row r="499" spans="9:9">
      <c r="I499" s="634"/>
    </row>
    <row r="500" spans="9:9">
      <c r="I500" s="634"/>
    </row>
    <row r="501" spans="9:9">
      <c r="I501" s="634"/>
    </row>
    <row r="502" spans="9:9">
      <c r="I502" s="634"/>
    </row>
    <row r="503" spans="9:9">
      <c r="I503" s="634"/>
    </row>
    <row r="504" spans="9:9">
      <c r="I504" s="634"/>
    </row>
    <row r="505" spans="9:9">
      <c r="I505" s="634"/>
    </row>
    <row r="506" spans="9:9">
      <c r="I506" s="634"/>
    </row>
    <row r="507" spans="9:9">
      <c r="I507" s="634"/>
    </row>
    <row r="508" spans="9:9">
      <c r="I508" s="634"/>
    </row>
    <row r="509" spans="9:9">
      <c r="I509" s="634"/>
    </row>
    <row r="510" spans="9:9">
      <c r="I510" s="634"/>
    </row>
    <row r="511" spans="9:9">
      <c r="I511" s="634"/>
    </row>
    <row r="512" spans="9:9">
      <c r="I512" s="634"/>
    </row>
    <row r="513" spans="9:9">
      <c r="I513" s="634"/>
    </row>
    <row r="514" spans="9:9">
      <c r="I514" s="634"/>
    </row>
    <row r="515" spans="9:9">
      <c r="I515" s="634"/>
    </row>
    <row r="516" spans="9:9">
      <c r="I516" s="634"/>
    </row>
    <row r="517" spans="9:9">
      <c r="I517" s="634"/>
    </row>
    <row r="518" spans="9:9">
      <c r="I518" s="634"/>
    </row>
    <row r="519" spans="9:9">
      <c r="I519" s="634"/>
    </row>
    <row r="520" spans="9:9">
      <c r="I520" s="634"/>
    </row>
    <row r="521" spans="9:9">
      <c r="I521" s="634"/>
    </row>
    <row r="522" spans="9:9">
      <c r="I522" s="634"/>
    </row>
    <row r="523" spans="9:9">
      <c r="I523" s="634"/>
    </row>
    <row r="524" spans="9:9">
      <c r="I524" s="634"/>
    </row>
    <row r="525" spans="9:9">
      <c r="I525" s="634"/>
    </row>
    <row r="526" spans="9:9">
      <c r="I526" s="634"/>
    </row>
    <row r="527" spans="9:9">
      <c r="I527" s="634"/>
    </row>
    <row r="528" spans="9:9">
      <c r="I528" s="634"/>
    </row>
    <row r="529" spans="9:9">
      <c r="I529" s="634"/>
    </row>
    <row r="530" spans="9:9">
      <c r="I530" s="634"/>
    </row>
    <row r="531" spans="9:9">
      <c r="I531" s="634"/>
    </row>
    <row r="532" spans="9:9">
      <c r="I532" s="634"/>
    </row>
    <row r="533" spans="9:9">
      <c r="I533" s="634"/>
    </row>
    <row r="534" spans="9:9">
      <c r="I534" s="634"/>
    </row>
    <row r="535" spans="9:9">
      <c r="I535" s="634"/>
    </row>
    <row r="536" spans="9:9">
      <c r="I536" s="634"/>
    </row>
    <row r="537" spans="9:9">
      <c r="I537" s="634"/>
    </row>
    <row r="538" spans="9:9">
      <c r="I538" s="634"/>
    </row>
    <row r="539" spans="9:9">
      <c r="I539" s="634"/>
    </row>
    <row r="540" spans="9:9">
      <c r="I540" s="634"/>
    </row>
    <row r="541" spans="9:9">
      <c r="I541" s="634"/>
    </row>
    <row r="542" spans="9:9">
      <c r="I542" s="634"/>
    </row>
    <row r="543" spans="9:9">
      <c r="I543" s="634"/>
    </row>
    <row r="544" spans="9:9">
      <c r="I544" s="634"/>
    </row>
    <row r="545" spans="9:9">
      <c r="I545" s="634"/>
    </row>
    <row r="546" spans="9:9">
      <c r="I546" s="634"/>
    </row>
    <row r="547" spans="9:9">
      <c r="I547" s="634"/>
    </row>
    <row r="548" spans="9:9">
      <c r="I548" s="634"/>
    </row>
    <row r="549" spans="9:9">
      <c r="I549" s="634"/>
    </row>
    <row r="550" spans="9:9">
      <c r="I550" s="634"/>
    </row>
    <row r="551" spans="9:9">
      <c r="I551" s="634"/>
    </row>
    <row r="552" spans="9:9">
      <c r="I552" s="634"/>
    </row>
    <row r="553" spans="9:9">
      <c r="I553" s="634"/>
    </row>
    <row r="554" spans="9:9">
      <c r="I554" s="634"/>
    </row>
    <row r="555" spans="9:9">
      <c r="I555" s="634"/>
    </row>
    <row r="556" spans="9:9">
      <c r="I556" s="634"/>
    </row>
    <row r="557" spans="9:9">
      <c r="I557" s="634"/>
    </row>
    <row r="558" spans="9:9">
      <c r="I558" s="634"/>
    </row>
    <row r="559" spans="9:9">
      <c r="I559" s="634"/>
    </row>
    <row r="560" spans="9:9">
      <c r="I560" s="634"/>
    </row>
    <row r="561" spans="9:9">
      <c r="I561" s="634"/>
    </row>
    <row r="562" spans="9:9">
      <c r="I562" s="634"/>
    </row>
    <row r="563" spans="9:9">
      <c r="I563" s="634"/>
    </row>
    <row r="564" spans="9:9">
      <c r="I564" s="634"/>
    </row>
    <row r="565" spans="9:9">
      <c r="I565" s="634"/>
    </row>
    <row r="566" spans="9:9">
      <c r="I566" s="634"/>
    </row>
    <row r="567" spans="9:9">
      <c r="I567" s="634"/>
    </row>
    <row r="568" spans="9:9">
      <c r="I568" s="634"/>
    </row>
    <row r="569" spans="9:9">
      <c r="I569" s="634"/>
    </row>
    <row r="570" spans="9:9">
      <c r="I570" s="634"/>
    </row>
    <row r="571" spans="9:9">
      <c r="I571" s="634"/>
    </row>
    <row r="572" spans="9:9">
      <c r="I572" s="634"/>
    </row>
    <row r="573" spans="9:9">
      <c r="I573" s="634"/>
    </row>
    <row r="574" spans="9:9">
      <c r="I574" s="634"/>
    </row>
    <row r="575" spans="9:9">
      <c r="I575" s="634"/>
    </row>
    <row r="576" spans="9:9">
      <c r="I576" s="634"/>
    </row>
    <row r="577" spans="9:9">
      <c r="I577" s="634"/>
    </row>
    <row r="578" spans="9:9">
      <c r="I578" s="634"/>
    </row>
    <row r="579" spans="9:9">
      <c r="I579" s="634"/>
    </row>
    <row r="580" spans="9:9">
      <c r="I580" s="634"/>
    </row>
    <row r="581" spans="9:9">
      <c r="I581" s="634"/>
    </row>
    <row r="582" spans="9:9">
      <c r="I582" s="634"/>
    </row>
    <row r="583" spans="9:9">
      <c r="I583" s="634"/>
    </row>
    <row r="584" spans="9:9">
      <c r="I584" s="634"/>
    </row>
    <row r="585" spans="9:9">
      <c r="I585" s="634"/>
    </row>
    <row r="586" spans="9:9">
      <c r="I586" s="634"/>
    </row>
    <row r="587" spans="9:9">
      <c r="I587" s="634"/>
    </row>
    <row r="588" spans="9:9">
      <c r="I588" s="634"/>
    </row>
    <row r="589" spans="9:9">
      <c r="I589" s="634"/>
    </row>
    <row r="590" spans="9:9">
      <c r="I590" s="634"/>
    </row>
    <row r="591" spans="9:9">
      <c r="I591" s="634"/>
    </row>
    <row r="592" spans="9:9">
      <c r="I592" s="634"/>
    </row>
    <row r="593" spans="9:9">
      <c r="I593" s="634"/>
    </row>
    <row r="594" spans="9:9">
      <c r="I594" s="634"/>
    </row>
    <row r="595" spans="9:9">
      <c r="I595" s="634"/>
    </row>
    <row r="596" spans="9:9">
      <c r="I596" s="634"/>
    </row>
    <row r="597" spans="9:9">
      <c r="I597" s="634"/>
    </row>
    <row r="598" spans="9:9">
      <c r="I598" s="634"/>
    </row>
    <row r="599" spans="9:9">
      <c r="I599" s="634"/>
    </row>
    <row r="600" spans="9:9">
      <c r="I600" s="634"/>
    </row>
    <row r="601" spans="9:9">
      <c r="I601" s="634"/>
    </row>
    <row r="602" spans="9:9">
      <c r="I602" s="634"/>
    </row>
    <row r="603" spans="9:9">
      <c r="I603" s="634"/>
    </row>
    <row r="604" spans="9:9">
      <c r="I604" s="634"/>
    </row>
    <row r="605" spans="9:9">
      <c r="I605" s="634"/>
    </row>
    <row r="606" spans="9:9">
      <c r="I606" s="634"/>
    </row>
    <row r="607" spans="9:9">
      <c r="I607" s="634"/>
    </row>
    <row r="608" spans="9:9">
      <c r="I608" s="634"/>
    </row>
    <row r="609" spans="9:9">
      <c r="I609" s="634"/>
    </row>
    <row r="610" spans="9:9">
      <c r="I610" s="634"/>
    </row>
    <row r="611" spans="9:9">
      <c r="I611" s="634"/>
    </row>
    <row r="612" spans="9:9">
      <c r="I612" s="634"/>
    </row>
    <row r="613" spans="9:9">
      <c r="I613" s="634"/>
    </row>
    <row r="614" spans="9:9">
      <c r="I614" s="634"/>
    </row>
    <row r="615" spans="9:9">
      <c r="I615" s="634"/>
    </row>
    <row r="616" spans="9:9">
      <c r="I616" s="634"/>
    </row>
    <row r="617" spans="9:9">
      <c r="I617" s="634"/>
    </row>
    <row r="618" spans="9:9">
      <c r="I618" s="634"/>
    </row>
    <row r="619" spans="9:9">
      <c r="I619" s="634"/>
    </row>
    <row r="620" spans="9:9">
      <c r="I620" s="634"/>
    </row>
    <row r="621" spans="9:9">
      <c r="I621" s="634"/>
    </row>
    <row r="622" spans="9:9">
      <c r="I622" s="634"/>
    </row>
    <row r="623" spans="9:9">
      <c r="I623" s="634"/>
    </row>
    <row r="624" spans="9:9">
      <c r="I624" s="634"/>
    </row>
    <row r="625" spans="9:9">
      <c r="I625" s="634"/>
    </row>
    <row r="626" spans="9:9">
      <c r="I626" s="634"/>
    </row>
    <row r="627" spans="9:9">
      <c r="I627" s="634"/>
    </row>
    <row r="628" spans="9:9">
      <c r="I628" s="634"/>
    </row>
    <row r="629" spans="9:9">
      <c r="I629" s="634"/>
    </row>
    <row r="630" spans="9:9">
      <c r="I630" s="634"/>
    </row>
    <row r="631" spans="9:9">
      <c r="I631" s="634"/>
    </row>
    <row r="632" spans="9:9">
      <c r="I632" s="634"/>
    </row>
    <row r="633" spans="9:9">
      <c r="I633" s="634"/>
    </row>
    <row r="634" spans="9:9">
      <c r="I634" s="634"/>
    </row>
    <row r="635" spans="9:9">
      <c r="I635" s="634"/>
    </row>
    <row r="636" spans="9:9">
      <c r="I636" s="634"/>
    </row>
    <row r="637" spans="9:9">
      <c r="I637" s="634"/>
    </row>
    <row r="638" spans="9:9">
      <c r="I638" s="634"/>
    </row>
    <row r="639" spans="9:9">
      <c r="I639" s="634"/>
    </row>
    <row r="640" spans="9:9">
      <c r="I640" s="634"/>
    </row>
    <row r="641" spans="9:9">
      <c r="I641" s="634"/>
    </row>
    <row r="642" spans="9:9">
      <c r="I642" s="634"/>
    </row>
    <row r="643" spans="9:9">
      <c r="I643" s="634"/>
    </row>
    <row r="644" spans="9:9">
      <c r="I644" s="634"/>
    </row>
    <row r="645" spans="9:9">
      <c r="I645" s="634"/>
    </row>
    <row r="646" spans="9:9">
      <c r="I646" s="634"/>
    </row>
    <row r="647" spans="9:9">
      <c r="I647" s="634"/>
    </row>
    <row r="648" spans="9:9">
      <c r="I648" s="634"/>
    </row>
    <row r="649" spans="9:9">
      <c r="I649" s="634"/>
    </row>
    <row r="650" spans="9:9">
      <c r="I650" s="634"/>
    </row>
    <row r="651" spans="9:9">
      <c r="I651" s="634"/>
    </row>
    <row r="652" spans="9:9">
      <c r="I652" s="634"/>
    </row>
    <row r="653" spans="9:9">
      <c r="I653" s="634"/>
    </row>
    <row r="654" spans="9:9">
      <c r="I654" s="634"/>
    </row>
    <row r="655" spans="9:9">
      <c r="I655" s="634"/>
    </row>
    <row r="656" spans="9:9">
      <c r="I656" s="634"/>
    </row>
    <row r="657" spans="9:9">
      <c r="I657" s="634"/>
    </row>
    <row r="658" spans="9:9">
      <c r="I658" s="634"/>
    </row>
    <row r="659" spans="9:9">
      <c r="I659" s="634"/>
    </row>
    <row r="660" spans="9:9">
      <c r="I660" s="634"/>
    </row>
    <row r="661" spans="9:9">
      <c r="I661" s="634"/>
    </row>
    <row r="662" spans="9:9">
      <c r="I662" s="634"/>
    </row>
    <row r="663" spans="9:9">
      <c r="I663" s="634"/>
    </row>
    <row r="664" spans="9:9">
      <c r="I664" s="634"/>
    </row>
    <row r="665" spans="9:9">
      <c r="I665" s="634"/>
    </row>
    <row r="666" spans="9:9">
      <c r="I666" s="634"/>
    </row>
    <row r="667" spans="9:9">
      <c r="I667" s="634"/>
    </row>
    <row r="668" spans="9:9">
      <c r="I668" s="634"/>
    </row>
    <row r="669" spans="9:9">
      <c r="I669" s="634"/>
    </row>
    <row r="670" spans="9:9">
      <c r="I670" s="634"/>
    </row>
    <row r="671" spans="9:9">
      <c r="I671" s="634"/>
    </row>
    <row r="672" spans="9:9">
      <c r="I672" s="634"/>
    </row>
    <row r="673" spans="9:9">
      <c r="I673" s="634"/>
    </row>
    <row r="674" spans="9:9">
      <c r="I674" s="634"/>
    </row>
    <row r="675" spans="9:9">
      <c r="I675" s="634"/>
    </row>
    <row r="676" spans="9:9">
      <c r="I676" s="634"/>
    </row>
    <row r="677" spans="9:9">
      <c r="I677" s="634"/>
    </row>
    <row r="678" spans="9:9">
      <c r="I678" s="634"/>
    </row>
    <row r="679" spans="9:9">
      <c r="I679" s="634"/>
    </row>
    <row r="680" spans="9:9">
      <c r="I680" s="634"/>
    </row>
    <row r="681" spans="9:9">
      <c r="I681" s="634"/>
    </row>
    <row r="682" spans="9:9">
      <c r="I682" s="634"/>
    </row>
    <row r="683" spans="9:9">
      <c r="I683" s="634"/>
    </row>
    <row r="684" spans="9:9">
      <c r="I684" s="634"/>
    </row>
    <row r="685" spans="9:9">
      <c r="I685" s="634"/>
    </row>
    <row r="686" spans="9:9">
      <c r="I686" s="634"/>
    </row>
    <row r="687" spans="9:9">
      <c r="I687" s="634"/>
    </row>
    <row r="688" spans="9:9">
      <c r="I688" s="634"/>
    </row>
    <row r="689" spans="9:9">
      <c r="I689" s="634"/>
    </row>
    <row r="690" spans="9:9">
      <c r="I690" s="634"/>
    </row>
    <row r="691" spans="9:9">
      <c r="I691" s="634"/>
    </row>
    <row r="692" spans="9:9">
      <c r="I692" s="634"/>
    </row>
    <row r="693" spans="9:9">
      <c r="I693" s="634"/>
    </row>
    <row r="694" spans="9:9">
      <c r="I694" s="634"/>
    </row>
    <row r="695" spans="9:9">
      <c r="I695" s="634"/>
    </row>
    <row r="696" spans="9:9">
      <c r="I696" s="634"/>
    </row>
    <row r="697" spans="9:9">
      <c r="I697" s="634"/>
    </row>
    <row r="698" spans="9:9">
      <c r="I698" s="634"/>
    </row>
    <row r="699" spans="9:9">
      <c r="I699" s="634"/>
    </row>
    <row r="700" spans="9:9">
      <c r="I700" s="634"/>
    </row>
    <row r="701" spans="9:9">
      <c r="I701" s="634"/>
    </row>
    <row r="702" spans="9:9">
      <c r="I702" s="634"/>
    </row>
    <row r="703" spans="9:9">
      <c r="I703" s="634"/>
    </row>
    <row r="704" spans="9:9">
      <c r="I704" s="634"/>
    </row>
    <row r="705" spans="9:9">
      <c r="I705" s="634"/>
    </row>
    <row r="706" spans="9:9">
      <c r="I706" s="634"/>
    </row>
    <row r="707" spans="9:9">
      <c r="I707" s="634"/>
    </row>
    <row r="708" spans="9:9">
      <c r="I708" s="634"/>
    </row>
    <row r="709" spans="9:9">
      <c r="I709" s="634"/>
    </row>
    <row r="710" spans="9:9">
      <c r="I710" s="634"/>
    </row>
    <row r="711" spans="9:9">
      <c r="I711" s="634"/>
    </row>
    <row r="712" spans="9:9">
      <c r="I712" s="634"/>
    </row>
    <row r="713" spans="9:9">
      <c r="I713" s="634"/>
    </row>
    <row r="714" spans="9:9">
      <c r="I714" s="634"/>
    </row>
    <row r="715" spans="9:9">
      <c r="I715" s="634"/>
    </row>
    <row r="716" spans="9:9">
      <c r="I716" s="634"/>
    </row>
    <row r="717" spans="9:9">
      <c r="I717" s="634"/>
    </row>
    <row r="718" spans="9:9">
      <c r="I718" s="634"/>
    </row>
    <row r="719" spans="9:9">
      <c r="I719" s="634"/>
    </row>
    <row r="720" spans="9:9">
      <c r="I720" s="634"/>
    </row>
    <row r="721" spans="9:9">
      <c r="I721" s="634"/>
    </row>
    <row r="722" spans="9:9">
      <c r="I722" s="634"/>
    </row>
    <row r="723" spans="9:9">
      <c r="I723" s="634"/>
    </row>
    <row r="724" spans="9:9">
      <c r="I724" s="634"/>
    </row>
    <row r="725" spans="9:9">
      <c r="I725" s="634"/>
    </row>
    <row r="726" spans="9:9">
      <c r="I726" s="634"/>
    </row>
    <row r="727" spans="9:9">
      <c r="I727" s="634"/>
    </row>
    <row r="728" spans="9:9">
      <c r="I728" s="634"/>
    </row>
    <row r="729" spans="9:9">
      <c r="I729" s="634"/>
    </row>
    <row r="730" spans="9:9">
      <c r="I730" s="634"/>
    </row>
    <row r="731" spans="9:9">
      <c r="I731" s="634"/>
    </row>
    <row r="732" spans="9:9">
      <c r="I732" s="634"/>
    </row>
    <row r="733" spans="9:9">
      <c r="I733" s="634"/>
    </row>
    <row r="734" spans="9:9">
      <c r="I734" s="634"/>
    </row>
    <row r="735" spans="9:9">
      <c r="I735" s="634"/>
    </row>
    <row r="736" spans="9:9">
      <c r="I736" s="634"/>
    </row>
    <row r="737" spans="9:9">
      <c r="I737" s="634"/>
    </row>
    <row r="738" spans="9:9">
      <c r="I738" s="634"/>
    </row>
    <row r="739" spans="9:9">
      <c r="I739" s="634"/>
    </row>
    <row r="740" spans="9:9">
      <c r="I740" s="634"/>
    </row>
    <row r="741" spans="9:9">
      <c r="I741" s="634"/>
    </row>
    <row r="742" spans="9:9">
      <c r="I742" s="634"/>
    </row>
    <row r="743" spans="9:9">
      <c r="I743" s="634"/>
    </row>
    <row r="744" spans="9:9">
      <c r="I744" s="634"/>
    </row>
    <row r="745" spans="9:9">
      <c r="I745" s="634"/>
    </row>
    <row r="746" spans="9:9">
      <c r="I746" s="634"/>
    </row>
    <row r="747" spans="9:9">
      <c r="I747" s="634"/>
    </row>
    <row r="748" spans="9:9">
      <c r="I748" s="634"/>
    </row>
    <row r="749" spans="9:9">
      <c r="I749" s="634"/>
    </row>
    <row r="750" spans="9:9">
      <c r="I750" s="634"/>
    </row>
    <row r="751" spans="9:9">
      <c r="I751" s="634"/>
    </row>
    <row r="752" spans="9:9">
      <c r="I752" s="634"/>
    </row>
    <row r="753" spans="9:9">
      <c r="I753" s="634"/>
    </row>
    <row r="754" spans="9:9">
      <c r="I754" s="634"/>
    </row>
    <row r="755" spans="9:9">
      <c r="I755" s="634"/>
    </row>
    <row r="756" spans="9:9">
      <c r="I756" s="634"/>
    </row>
    <row r="757" spans="9:9">
      <c r="I757" s="634"/>
    </row>
    <row r="758" spans="9:9">
      <c r="I758" s="634"/>
    </row>
    <row r="759" spans="9:9">
      <c r="I759" s="634"/>
    </row>
    <row r="760" spans="9:9">
      <c r="I760" s="634"/>
    </row>
    <row r="761" spans="9:9">
      <c r="I761" s="634"/>
    </row>
    <row r="762" spans="9:9">
      <c r="I762" s="634"/>
    </row>
    <row r="763" spans="9:9">
      <c r="I763" s="634"/>
    </row>
    <row r="764" spans="9:9">
      <c r="I764" s="634"/>
    </row>
    <row r="765" spans="9:9">
      <c r="I765" s="634"/>
    </row>
    <row r="766" spans="9:9">
      <c r="I766" s="634"/>
    </row>
    <row r="767" spans="9:9">
      <c r="I767" s="634"/>
    </row>
    <row r="768" spans="9:9">
      <c r="I768" s="634"/>
    </row>
    <row r="769" spans="9:9">
      <c r="I769" s="634"/>
    </row>
    <row r="770" spans="9:9">
      <c r="I770" s="634"/>
    </row>
    <row r="771" spans="9:9">
      <c r="I771" s="634"/>
    </row>
    <row r="772" spans="9:9">
      <c r="I772" s="634"/>
    </row>
    <row r="773" spans="9:9">
      <c r="I773" s="634"/>
    </row>
    <row r="774" spans="9:9">
      <c r="I774" s="634"/>
    </row>
    <row r="775" spans="9:9">
      <c r="I775" s="634"/>
    </row>
    <row r="776" spans="9:9">
      <c r="I776" s="634"/>
    </row>
    <row r="777" spans="9:9">
      <c r="I777" s="634"/>
    </row>
    <row r="778" spans="9:9">
      <c r="I778" s="634"/>
    </row>
    <row r="779" spans="9:9">
      <c r="I779" s="634"/>
    </row>
    <row r="780" spans="9:9">
      <c r="I780" s="634"/>
    </row>
    <row r="781" spans="9:9">
      <c r="I781" s="634"/>
    </row>
    <row r="782" spans="9:9">
      <c r="I782" s="634"/>
    </row>
    <row r="783" spans="9:9">
      <c r="I783" s="634"/>
    </row>
    <row r="784" spans="9:9">
      <c r="I784" s="634"/>
    </row>
    <row r="785" spans="9:9">
      <c r="I785" s="634"/>
    </row>
    <row r="786" spans="9:9">
      <c r="I786" s="634"/>
    </row>
    <row r="787" spans="9:9">
      <c r="I787" s="634"/>
    </row>
    <row r="788" spans="9:9">
      <c r="I788" s="634"/>
    </row>
    <row r="789" spans="9:9">
      <c r="I789" s="634"/>
    </row>
    <row r="790" spans="9:9">
      <c r="I790" s="634"/>
    </row>
    <row r="791" spans="9:9">
      <c r="I791" s="634"/>
    </row>
    <row r="792" spans="9:9">
      <c r="I792" s="634"/>
    </row>
    <row r="793" spans="9:9">
      <c r="I793" s="634"/>
    </row>
    <row r="794" spans="9:9">
      <c r="I794" s="634"/>
    </row>
    <row r="795" spans="9:9">
      <c r="I795" s="634"/>
    </row>
    <row r="796" spans="9:9">
      <c r="I796" s="634"/>
    </row>
    <row r="797" spans="9:9">
      <c r="I797" s="634"/>
    </row>
    <row r="798" spans="9:9">
      <c r="I798" s="634"/>
    </row>
    <row r="799" spans="9:9">
      <c r="I799" s="634"/>
    </row>
    <row r="800" spans="9:9">
      <c r="I800" s="634"/>
    </row>
    <row r="801" spans="9:9">
      <c r="I801" s="634"/>
    </row>
    <row r="802" spans="9:9">
      <c r="I802" s="634"/>
    </row>
    <row r="803" spans="9:9">
      <c r="I803" s="634"/>
    </row>
    <row r="804" spans="9:9">
      <c r="I804" s="634"/>
    </row>
    <row r="805" spans="9:9">
      <c r="I805" s="634"/>
    </row>
    <row r="806" spans="9:9">
      <c r="I806" s="634"/>
    </row>
    <row r="807" spans="9:9">
      <c r="I807" s="634"/>
    </row>
    <row r="808" spans="9:9">
      <c r="I808" s="634"/>
    </row>
    <row r="809" spans="9:9">
      <c r="I809" s="634"/>
    </row>
    <row r="810" spans="9:9">
      <c r="I810" s="634"/>
    </row>
    <row r="811" spans="9:9">
      <c r="I811" s="634"/>
    </row>
    <row r="812" spans="9:9">
      <c r="I812" s="634"/>
    </row>
    <row r="813" spans="9:9">
      <c r="I813" s="634"/>
    </row>
    <row r="814" spans="9:9">
      <c r="I814" s="634"/>
    </row>
    <row r="815" spans="9:9">
      <c r="I815" s="634"/>
    </row>
    <row r="816" spans="9:9">
      <c r="I816" s="634"/>
    </row>
    <row r="817" spans="9:9">
      <c r="I817" s="634"/>
    </row>
    <row r="818" spans="9:9">
      <c r="I818" s="634"/>
    </row>
    <row r="819" spans="9:9">
      <c r="I819" s="634"/>
    </row>
    <row r="820" spans="9:9">
      <c r="I820" s="634"/>
    </row>
    <row r="821" spans="9:9">
      <c r="I821" s="634"/>
    </row>
    <row r="822" spans="9:9">
      <c r="I822" s="634"/>
    </row>
    <row r="823" spans="9:9">
      <c r="I823" s="634"/>
    </row>
    <row r="824" spans="9:9">
      <c r="I824" s="634"/>
    </row>
    <row r="825" spans="9:9">
      <c r="I825" s="634"/>
    </row>
    <row r="826" spans="9:9">
      <c r="I826" s="634"/>
    </row>
    <row r="827" spans="9:9">
      <c r="I827" s="634"/>
    </row>
    <row r="828" spans="9:9">
      <c r="I828" s="634"/>
    </row>
    <row r="829" spans="9:9">
      <c r="I829" s="634"/>
    </row>
    <row r="830" spans="9:9">
      <c r="I830" s="634"/>
    </row>
    <row r="831" spans="9:9">
      <c r="I831" s="634"/>
    </row>
    <row r="832" spans="9:9">
      <c r="I832" s="634"/>
    </row>
    <row r="833" spans="9:9">
      <c r="I833" s="634"/>
    </row>
    <row r="834" spans="9:9">
      <c r="I834" s="634"/>
    </row>
    <row r="835" spans="9:9">
      <c r="I835" s="634"/>
    </row>
    <row r="836" spans="9:9">
      <c r="I836" s="634"/>
    </row>
    <row r="837" spans="9:9">
      <c r="I837" s="634"/>
    </row>
    <row r="838" spans="9:9">
      <c r="I838" s="634"/>
    </row>
    <row r="839" spans="9:9">
      <c r="I839" s="634"/>
    </row>
    <row r="840" spans="9:9">
      <c r="I840" s="634"/>
    </row>
    <row r="841" spans="9:9">
      <c r="I841" s="634"/>
    </row>
    <row r="842" spans="9:9">
      <c r="I842" s="634"/>
    </row>
    <row r="843" spans="9:9">
      <c r="I843" s="634"/>
    </row>
    <row r="844" spans="9:9">
      <c r="I844" s="634"/>
    </row>
    <row r="845" spans="9:9">
      <c r="I845" s="634"/>
    </row>
    <row r="846" spans="9:9">
      <c r="I846" s="634"/>
    </row>
    <row r="847" spans="9:9">
      <c r="I847" s="634"/>
    </row>
    <row r="848" spans="9:9">
      <c r="I848" s="634"/>
    </row>
    <row r="849" spans="9:9">
      <c r="I849" s="634"/>
    </row>
    <row r="850" spans="9:9">
      <c r="I850" s="634"/>
    </row>
    <row r="851" spans="9:9">
      <c r="I851" s="634"/>
    </row>
    <row r="852" spans="9:9">
      <c r="I852" s="634"/>
    </row>
    <row r="853" spans="9:9">
      <c r="I853" s="634"/>
    </row>
    <row r="854" spans="9:9">
      <c r="I854" s="634"/>
    </row>
    <row r="855" spans="9:9">
      <c r="I855" s="634"/>
    </row>
    <row r="856" spans="9:9">
      <c r="I856" s="634"/>
    </row>
    <row r="857" spans="9:9">
      <c r="I857" s="634"/>
    </row>
    <row r="858" spans="9:9">
      <c r="I858" s="634"/>
    </row>
    <row r="859" spans="9:9">
      <c r="I859" s="634"/>
    </row>
    <row r="860" spans="9:9">
      <c r="I860" s="634"/>
    </row>
    <row r="861" spans="9:9">
      <c r="I861" s="634"/>
    </row>
    <row r="862" spans="9:9">
      <c r="I862" s="634"/>
    </row>
    <row r="863" spans="9:9">
      <c r="I863" s="634"/>
    </row>
    <row r="864" spans="9:9">
      <c r="I864" s="634"/>
    </row>
    <row r="865" spans="9:9">
      <c r="I865" s="634"/>
    </row>
    <row r="866" spans="9:9">
      <c r="I866" s="634"/>
    </row>
    <row r="867" spans="9:9">
      <c r="I867" s="634"/>
    </row>
    <row r="868" spans="9:9">
      <c r="I868" s="634"/>
    </row>
    <row r="869" spans="9:9">
      <c r="I869" s="634"/>
    </row>
    <row r="870" spans="9:9">
      <c r="I870" s="634"/>
    </row>
    <row r="871" spans="9:9">
      <c r="I871" s="634"/>
    </row>
    <row r="872" spans="9:9">
      <c r="I872" s="634"/>
    </row>
    <row r="873" spans="9:9">
      <c r="I873" s="634"/>
    </row>
    <row r="874" spans="9:9">
      <c r="I874" s="634"/>
    </row>
    <row r="875" spans="9:9">
      <c r="I875" s="634"/>
    </row>
    <row r="876" spans="9:9">
      <c r="I876" s="634"/>
    </row>
    <row r="877" spans="9:9">
      <c r="I877" s="634"/>
    </row>
    <row r="878" spans="9:9">
      <c r="I878" s="634"/>
    </row>
    <row r="879" spans="9:9">
      <c r="I879" s="634"/>
    </row>
    <row r="880" spans="9:9">
      <c r="I880" s="634"/>
    </row>
    <row r="881" spans="9:9">
      <c r="I881" s="634"/>
    </row>
    <row r="882" spans="9:9">
      <c r="I882" s="634"/>
    </row>
    <row r="883" spans="9:9">
      <c r="I883" s="634"/>
    </row>
    <row r="884" spans="9:9">
      <c r="I884" s="634"/>
    </row>
    <row r="885" spans="9:9">
      <c r="I885" s="634"/>
    </row>
    <row r="886" spans="9:9">
      <c r="I886" s="634"/>
    </row>
    <row r="887" spans="9:9">
      <c r="I887" s="634"/>
    </row>
    <row r="888" spans="9:9">
      <c r="I888" s="634"/>
    </row>
    <row r="889" spans="9:9">
      <c r="I889" s="634"/>
    </row>
    <row r="890" spans="9:9">
      <c r="I890" s="634"/>
    </row>
    <row r="891" spans="9:9">
      <c r="I891" s="634"/>
    </row>
    <row r="892" spans="9:9">
      <c r="I892" s="634"/>
    </row>
    <row r="893" spans="9:9">
      <c r="I893" s="634"/>
    </row>
    <row r="894" spans="9:9">
      <c r="I894" s="634"/>
    </row>
    <row r="895" spans="9:9">
      <c r="I895" s="634"/>
    </row>
    <row r="896" spans="9:9">
      <c r="I896" s="634"/>
    </row>
    <row r="897" spans="9:9">
      <c r="I897" s="634"/>
    </row>
    <row r="898" spans="9:9">
      <c r="I898" s="634"/>
    </row>
    <row r="899" spans="9:9">
      <c r="I899" s="634"/>
    </row>
    <row r="900" spans="9:9">
      <c r="I900" s="634"/>
    </row>
    <row r="901" spans="9:9">
      <c r="I901" s="634"/>
    </row>
    <row r="902" spans="9:9">
      <c r="I902" s="634"/>
    </row>
    <row r="903" spans="9:9">
      <c r="I903" s="634"/>
    </row>
    <row r="904" spans="9:9">
      <c r="I904" s="634"/>
    </row>
    <row r="905" spans="9:9">
      <c r="I905" s="634"/>
    </row>
    <row r="906" spans="9:9">
      <c r="I906" s="634"/>
    </row>
    <row r="907" spans="9:9">
      <c r="I907" s="634"/>
    </row>
  </sheetData>
  <mergeCells count="8">
    <mergeCell ref="B11:B14"/>
    <mergeCell ref="C11:I11"/>
    <mergeCell ref="J11:N11"/>
    <mergeCell ref="O11:P11"/>
    <mergeCell ref="S11:S13"/>
    <mergeCell ref="H13:I13"/>
    <mergeCell ref="M13:N13"/>
    <mergeCell ref="O13:P13"/>
  </mergeCells>
  <pageMargins left="0.23622047244094491" right="0.23622047244094491" top="0.74803149606299213" bottom="0.74803149606299213" header="0.31496062992125984" footer="0.31496062992125984"/>
  <pageSetup paperSize="8" scale="39" fitToHeight="0" orientation="portrait" r:id="rId1"/>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W377"/>
  <sheetViews>
    <sheetView zoomScale="80" zoomScaleNormal="80" workbookViewId="0">
      <pane ySplit="4" topLeftCell="A5" activePane="bottomLeft" state="frozen"/>
      <selection activeCell="D31" sqref="D31"/>
      <selection pane="bottomLeft"/>
    </sheetView>
  </sheetViews>
  <sheetFormatPr defaultColWidth="10.265625" defaultRowHeight="12.75"/>
  <cols>
    <col min="1" max="1" width="5.86328125" style="151" customWidth="1"/>
    <col min="2" max="2" width="18.73046875" style="151" customWidth="1"/>
    <col min="3" max="3" width="21.59765625" style="151" customWidth="1"/>
    <col min="4" max="7" width="10.265625" style="151"/>
    <col min="8" max="8" width="19.86328125" style="151" customWidth="1"/>
    <col min="9" max="9" width="25" style="151" customWidth="1"/>
    <col min="10" max="10" width="27.86328125" style="151" customWidth="1"/>
    <col min="11" max="11" width="10.265625" style="151"/>
    <col min="12" max="12" width="41.73046875" style="151" customWidth="1"/>
    <col min="13" max="13" width="23.59765625" style="151" customWidth="1"/>
    <col min="14" max="16384" width="10.265625" style="151"/>
  </cols>
  <sheetData>
    <row r="1" spans="1:23" s="73" customFormat="1" ht="23.25">
      <c r="A1" s="89" t="str">
        <f>'1.1 Cover'!A2</f>
        <v>Regulatory Reporting Pack</v>
      </c>
    </row>
    <row r="2" spans="1:23" s="73" customFormat="1" ht="23.25">
      <c r="A2" s="89" t="str">
        <f>'1.1 Cover'!A3</f>
        <v>Price base - 2018/19</v>
      </c>
    </row>
    <row r="3" spans="1:23" s="73" customFormat="1" ht="23.25">
      <c r="A3" s="89" t="str">
        <f>'1.1 Cover'!A4</f>
        <v>Regulatory Year: April 2021 - March 2022</v>
      </c>
    </row>
    <row r="4" spans="1:23" s="73" customFormat="1" ht="23.25">
      <c r="A4" s="89" t="s">
        <v>2829</v>
      </c>
    </row>
    <row r="5" spans="1:23" s="310" customFormat="1" ht="15">
      <c r="F5" s="311"/>
      <c r="G5" s="312"/>
      <c r="H5" s="313"/>
      <c r="I5" s="313"/>
      <c r="J5" s="313"/>
      <c r="K5" s="313"/>
      <c r="L5" s="313"/>
      <c r="M5" s="313"/>
      <c r="N5" s="313"/>
      <c r="O5" s="313"/>
      <c r="P5" s="313"/>
      <c r="Q5" s="313"/>
      <c r="R5" s="313"/>
      <c r="S5" s="313"/>
      <c r="T5" s="313"/>
      <c r="U5" s="313"/>
      <c r="V5" s="313"/>
      <c r="W5" s="313"/>
    </row>
    <row r="6" spans="1:23" s="310" customFormat="1" ht="15">
      <c r="F6" s="311"/>
      <c r="G6" s="312"/>
      <c r="H6" s="313"/>
      <c r="I6" s="313"/>
      <c r="J6" s="313"/>
      <c r="K6" s="313"/>
      <c r="L6" s="313"/>
      <c r="M6" s="313"/>
      <c r="N6" s="313"/>
      <c r="O6" s="313"/>
      <c r="P6" s="313"/>
      <c r="Q6" s="313"/>
      <c r="R6" s="313"/>
      <c r="S6" s="313"/>
      <c r="T6" s="313"/>
      <c r="U6" s="313"/>
      <c r="V6" s="313"/>
      <c r="W6" s="313"/>
    </row>
    <row r="7" spans="1:23" s="310" customFormat="1" ht="15.4" thickBot="1">
      <c r="F7" s="313"/>
      <c r="H7" s="313"/>
      <c r="I7" s="313"/>
      <c r="J7" s="313"/>
      <c r="K7" s="313"/>
      <c r="L7" s="313"/>
      <c r="M7" s="313"/>
      <c r="N7" s="313"/>
      <c r="O7" s="313"/>
      <c r="P7" s="313"/>
      <c r="Q7" s="313"/>
      <c r="R7" s="313"/>
      <c r="S7" s="313"/>
      <c r="T7" s="313"/>
      <c r="U7" s="313"/>
      <c r="V7" s="313"/>
      <c r="W7" s="313"/>
    </row>
    <row r="8" spans="1:23" ht="26.65" customHeight="1" thickBot="1">
      <c r="A8" s="220"/>
      <c r="B8" s="240"/>
      <c r="C8" s="220"/>
      <c r="H8" s="1418" t="s">
        <v>1213</v>
      </c>
      <c r="I8" s="1419"/>
      <c r="J8" s="1420"/>
      <c r="L8" s="1421" t="s">
        <v>1212</v>
      </c>
      <c r="M8" s="1422"/>
    </row>
    <row r="9" spans="1:23" ht="39.4">
      <c r="A9" s="220"/>
      <c r="B9" s="1423" t="s">
        <v>1412</v>
      </c>
      <c r="C9" s="489" t="s">
        <v>1211</v>
      </c>
      <c r="H9" s="1424" t="s">
        <v>1210</v>
      </c>
      <c r="I9" s="239" t="s">
        <v>1209</v>
      </c>
      <c r="J9" s="238" t="s">
        <v>1208</v>
      </c>
      <c r="L9" s="211" t="s">
        <v>1207</v>
      </c>
      <c r="M9" s="211"/>
    </row>
    <row r="10" spans="1:23" ht="14.65">
      <c r="A10" s="220"/>
      <c r="B10" s="1423"/>
      <c r="C10" s="237" t="s">
        <v>1207</v>
      </c>
      <c r="H10" s="1424"/>
      <c r="I10" s="236" t="s">
        <v>1206</v>
      </c>
      <c r="J10" s="235" t="s">
        <v>1205</v>
      </c>
      <c r="L10" s="234"/>
      <c r="M10" s="234"/>
    </row>
    <row r="11" spans="1:23" ht="13.5" thickBot="1">
      <c r="A11" s="220"/>
      <c r="B11" s="1423"/>
      <c r="C11" s="233" t="s">
        <v>1069</v>
      </c>
      <c r="H11" s="1425"/>
      <c r="I11" s="232" t="s">
        <v>1173</v>
      </c>
      <c r="J11" s="231" t="s">
        <v>1173</v>
      </c>
      <c r="L11" s="227" t="s">
        <v>1204</v>
      </c>
      <c r="M11" s="226">
        <v>0</v>
      </c>
    </row>
    <row r="12" spans="1:23" ht="13.15">
      <c r="A12" s="220"/>
      <c r="B12" s="203">
        <v>43556</v>
      </c>
      <c r="C12" s="223"/>
      <c r="H12" s="230">
        <v>44287</v>
      </c>
      <c r="I12" s="229"/>
      <c r="J12" s="228"/>
      <c r="L12" s="227" t="s">
        <v>1203</v>
      </c>
      <c r="M12" s="226">
        <v>0</v>
      </c>
    </row>
    <row r="13" spans="1:23" ht="13.15">
      <c r="A13" s="220"/>
      <c r="B13" s="203">
        <v>43586</v>
      </c>
      <c r="C13" s="223"/>
      <c r="H13" s="217">
        <f t="shared" ref="H13:H76" si="0">H12+1</f>
        <v>44288</v>
      </c>
      <c r="I13" s="216"/>
      <c r="J13" s="215"/>
      <c r="L13" s="225" t="s">
        <v>1202</v>
      </c>
      <c r="M13" s="224"/>
    </row>
    <row r="14" spans="1:23" ht="13.15">
      <c r="A14" s="220"/>
      <c r="B14" s="203">
        <v>43617</v>
      </c>
      <c r="C14" s="223"/>
      <c r="H14" s="217">
        <f t="shared" si="0"/>
        <v>44289</v>
      </c>
      <c r="I14" s="216"/>
      <c r="J14" s="215"/>
    </row>
    <row r="15" spans="1:23" ht="13.15">
      <c r="A15" s="220"/>
      <c r="B15" s="203">
        <v>43647</v>
      </c>
      <c r="C15" s="223"/>
      <c r="H15" s="217">
        <f t="shared" si="0"/>
        <v>44290</v>
      </c>
      <c r="I15" s="216"/>
      <c r="J15" s="215"/>
    </row>
    <row r="16" spans="1:23" ht="13.15">
      <c r="A16" s="220"/>
      <c r="B16" s="203">
        <v>43678</v>
      </c>
      <c r="C16" s="223"/>
      <c r="H16" s="217">
        <f t="shared" si="0"/>
        <v>44291</v>
      </c>
      <c r="I16" s="216"/>
      <c r="J16" s="215"/>
    </row>
    <row r="17" spans="1:10" ht="13.15">
      <c r="A17" s="220"/>
      <c r="B17" s="203">
        <v>43709</v>
      </c>
      <c r="C17" s="223"/>
      <c r="H17" s="217">
        <f t="shared" si="0"/>
        <v>44292</v>
      </c>
      <c r="I17" s="216"/>
      <c r="J17" s="215"/>
    </row>
    <row r="18" spans="1:10" ht="13.15">
      <c r="A18" s="220"/>
      <c r="B18" s="203">
        <v>43739</v>
      </c>
      <c r="C18" s="223"/>
      <c r="H18" s="217">
        <f t="shared" si="0"/>
        <v>44293</v>
      </c>
      <c r="I18" s="216"/>
      <c r="J18" s="215"/>
    </row>
    <row r="19" spans="1:10" ht="13.15">
      <c r="A19" s="220"/>
      <c r="B19" s="203">
        <v>43770</v>
      </c>
      <c r="C19" s="223"/>
      <c r="H19" s="217">
        <f t="shared" si="0"/>
        <v>44294</v>
      </c>
      <c r="I19" s="216"/>
      <c r="J19" s="215"/>
    </row>
    <row r="20" spans="1:10" ht="13.15">
      <c r="A20" s="220"/>
      <c r="B20" s="203">
        <v>43800</v>
      </c>
      <c r="C20" s="223"/>
      <c r="H20" s="217">
        <f t="shared" si="0"/>
        <v>44295</v>
      </c>
      <c r="I20" s="216"/>
      <c r="J20" s="215"/>
    </row>
    <row r="21" spans="1:10" ht="13.15">
      <c r="A21" s="220"/>
      <c r="B21" s="203">
        <v>43831</v>
      </c>
      <c r="C21" s="223"/>
      <c r="H21" s="217">
        <f t="shared" si="0"/>
        <v>44296</v>
      </c>
      <c r="I21" s="216"/>
      <c r="J21" s="215"/>
    </row>
    <row r="22" spans="1:10" ht="13.15">
      <c r="A22" s="220"/>
      <c r="B22" s="203">
        <v>43862</v>
      </c>
      <c r="C22" s="223"/>
      <c r="H22" s="217">
        <f t="shared" si="0"/>
        <v>44297</v>
      </c>
      <c r="I22" s="216"/>
      <c r="J22" s="215"/>
    </row>
    <row r="23" spans="1:10" ht="13.15">
      <c r="A23" s="220"/>
      <c r="B23" s="203">
        <v>43891</v>
      </c>
      <c r="C23" s="223"/>
      <c r="H23" s="217">
        <f t="shared" si="0"/>
        <v>44298</v>
      </c>
      <c r="I23" s="216"/>
      <c r="J23" s="215"/>
    </row>
    <row r="24" spans="1:10">
      <c r="A24" s="220"/>
      <c r="B24" s="156" t="s">
        <v>1201</v>
      </c>
      <c r="C24" s="222">
        <f>SUM(C12:C23)</f>
        <v>0</v>
      </c>
      <c r="H24" s="217">
        <f t="shared" si="0"/>
        <v>44299</v>
      </c>
      <c r="I24" s="216"/>
      <c r="J24" s="215"/>
    </row>
    <row r="25" spans="1:10">
      <c r="A25" s="220"/>
      <c r="B25" s="221"/>
      <c r="C25" s="221"/>
      <c r="H25" s="217">
        <f t="shared" si="0"/>
        <v>44300</v>
      </c>
      <c r="I25" s="216"/>
      <c r="J25" s="215"/>
    </row>
    <row r="26" spans="1:10">
      <c r="A26" s="220"/>
      <c r="B26" s="1426" t="s">
        <v>1108</v>
      </c>
      <c r="C26" s="1426"/>
      <c r="H26" s="217">
        <f t="shared" si="0"/>
        <v>44301</v>
      </c>
      <c r="I26" s="216"/>
      <c r="J26" s="215"/>
    </row>
    <row r="27" spans="1:10">
      <c r="A27" s="606"/>
      <c r="B27" s="1426"/>
      <c r="C27" s="1426"/>
      <c r="H27" s="217">
        <f t="shared" si="0"/>
        <v>44302</v>
      </c>
      <c r="I27" s="216"/>
      <c r="J27" s="215"/>
    </row>
    <row r="28" spans="1:10">
      <c r="A28" s="606"/>
      <c r="B28" s="1426"/>
      <c r="C28" s="1426"/>
      <c r="H28" s="217">
        <f t="shared" si="0"/>
        <v>44303</v>
      </c>
      <c r="I28" s="216"/>
      <c r="J28" s="215"/>
    </row>
    <row r="29" spans="1:10">
      <c r="B29" s="1426"/>
      <c r="C29" s="1426"/>
      <c r="H29" s="217">
        <f t="shared" si="0"/>
        <v>44304</v>
      </c>
      <c r="I29" s="216"/>
      <c r="J29" s="215"/>
    </row>
    <row r="30" spans="1:10">
      <c r="B30" s="1426"/>
      <c r="C30" s="1426"/>
      <c r="H30" s="217">
        <f t="shared" si="0"/>
        <v>44305</v>
      </c>
      <c r="I30" s="216"/>
      <c r="J30" s="215"/>
    </row>
    <row r="31" spans="1:10">
      <c r="H31" s="217">
        <f t="shared" si="0"/>
        <v>44306</v>
      </c>
      <c r="I31" s="216"/>
      <c r="J31" s="215"/>
    </row>
    <row r="32" spans="1:10">
      <c r="H32" s="217">
        <f t="shared" si="0"/>
        <v>44307</v>
      </c>
      <c r="I32" s="216"/>
      <c r="J32" s="215"/>
    </row>
    <row r="33" spans="8:10">
      <c r="H33" s="217">
        <f t="shared" si="0"/>
        <v>44308</v>
      </c>
      <c r="I33" s="216"/>
      <c r="J33" s="215"/>
    </row>
    <row r="34" spans="8:10">
      <c r="H34" s="217">
        <f t="shared" si="0"/>
        <v>44309</v>
      </c>
      <c r="I34" s="216"/>
      <c r="J34" s="215"/>
    </row>
    <row r="35" spans="8:10">
      <c r="H35" s="217">
        <f t="shared" si="0"/>
        <v>44310</v>
      </c>
      <c r="I35" s="216"/>
      <c r="J35" s="215"/>
    </row>
    <row r="36" spans="8:10">
      <c r="H36" s="217">
        <f t="shared" si="0"/>
        <v>44311</v>
      </c>
      <c r="I36" s="216"/>
      <c r="J36" s="215"/>
    </row>
    <row r="37" spans="8:10">
      <c r="H37" s="217">
        <f t="shared" si="0"/>
        <v>44312</v>
      </c>
      <c r="I37" s="216"/>
      <c r="J37" s="215"/>
    </row>
    <row r="38" spans="8:10">
      <c r="H38" s="217">
        <f t="shared" si="0"/>
        <v>44313</v>
      </c>
      <c r="I38" s="216"/>
      <c r="J38" s="215"/>
    </row>
    <row r="39" spans="8:10">
      <c r="H39" s="217">
        <f t="shared" si="0"/>
        <v>44314</v>
      </c>
      <c r="I39" s="216"/>
      <c r="J39" s="215"/>
    </row>
    <row r="40" spans="8:10">
      <c r="H40" s="217">
        <f t="shared" si="0"/>
        <v>44315</v>
      </c>
      <c r="I40" s="216"/>
      <c r="J40" s="215"/>
    </row>
    <row r="41" spans="8:10">
      <c r="H41" s="219">
        <f t="shared" si="0"/>
        <v>44316</v>
      </c>
      <c r="I41" s="218"/>
      <c r="J41" s="215"/>
    </row>
    <row r="42" spans="8:10">
      <c r="H42" s="217">
        <f t="shared" si="0"/>
        <v>44317</v>
      </c>
      <c r="I42" s="216"/>
      <c r="J42" s="215"/>
    </row>
    <row r="43" spans="8:10">
      <c r="H43" s="217">
        <f t="shared" si="0"/>
        <v>44318</v>
      </c>
      <c r="I43" s="216"/>
      <c r="J43" s="215"/>
    </row>
    <row r="44" spans="8:10">
      <c r="H44" s="217">
        <f t="shared" si="0"/>
        <v>44319</v>
      </c>
      <c r="I44" s="216"/>
      <c r="J44" s="215"/>
    </row>
    <row r="45" spans="8:10">
      <c r="H45" s="217">
        <f t="shared" si="0"/>
        <v>44320</v>
      </c>
      <c r="I45" s="216"/>
      <c r="J45" s="215"/>
    </row>
    <row r="46" spans="8:10">
      <c r="H46" s="217">
        <f t="shared" si="0"/>
        <v>44321</v>
      </c>
      <c r="I46" s="216"/>
      <c r="J46" s="215"/>
    </row>
    <row r="47" spans="8:10">
      <c r="H47" s="217">
        <f t="shared" si="0"/>
        <v>44322</v>
      </c>
      <c r="I47" s="216"/>
      <c r="J47" s="215"/>
    </row>
    <row r="48" spans="8:10">
      <c r="H48" s="217">
        <f t="shared" si="0"/>
        <v>44323</v>
      </c>
      <c r="I48" s="216"/>
      <c r="J48" s="215"/>
    </row>
    <row r="49" spans="8:10">
      <c r="H49" s="217">
        <f t="shared" si="0"/>
        <v>44324</v>
      </c>
      <c r="I49" s="216"/>
      <c r="J49" s="215"/>
    </row>
    <row r="50" spans="8:10">
      <c r="H50" s="217">
        <f t="shared" si="0"/>
        <v>44325</v>
      </c>
      <c r="I50" s="216"/>
      <c r="J50" s="215"/>
    </row>
    <row r="51" spans="8:10">
      <c r="H51" s="217">
        <f t="shared" si="0"/>
        <v>44326</v>
      </c>
      <c r="I51" s="216"/>
      <c r="J51" s="215"/>
    </row>
    <row r="52" spans="8:10">
      <c r="H52" s="217">
        <f t="shared" si="0"/>
        <v>44327</v>
      </c>
      <c r="I52" s="216"/>
      <c r="J52" s="215"/>
    </row>
    <row r="53" spans="8:10">
      <c r="H53" s="217">
        <f t="shared" si="0"/>
        <v>44328</v>
      </c>
      <c r="I53" s="216"/>
      <c r="J53" s="215"/>
    </row>
    <row r="54" spans="8:10">
      <c r="H54" s="217">
        <f t="shared" si="0"/>
        <v>44329</v>
      </c>
      <c r="I54" s="216"/>
      <c r="J54" s="215"/>
    </row>
    <row r="55" spans="8:10">
      <c r="H55" s="217">
        <f t="shared" si="0"/>
        <v>44330</v>
      </c>
      <c r="I55" s="216"/>
      <c r="J55" s="215"/>
    </row>
    <row r="56" spans="8:10">
      <c r="H56" s="217">
        <f t="shared" si="0"/>
        <v>44331</v>
      </c>
      <c r="I56" s="216"/>
      <c r="J56" s="215"/>
    </row>
    <row r="57" spans="8:10">
      <c r="H57" s="217">
        <f t="shared" si="0"/>
        <v>44332</v>
      </c>
      <c r="I57" s="216"/>
      <c r="J57" s="215"/>
    </row>
    <row r="58" spans="8:10">
      <c r="H58" s="217">
        <f t="shared" si="0"/>
        <v>44333</v>
      </c>
      <c r="I58" s="216"/>
      <c r="J58" s="215"/>
    </row>
    <row r="59" spans="8:10">
      <c r="H59" s="217">
        <f t="shared" si="0"/>
        <v>44334</v>
      </c>
      <c r="I59" s="216"/>
      <c r="J59" s="215"/>
    </row>
    <row r="60" spans="8:10">
      <c r="H60" s="217">
        <f t="shared" si="0"/>
        <v>44335</v>
      </c>
      <c r="I60" s="216"/>
      <c r="J60" s="215"/>
    </row>
    <row r="61" spans="8:10">
      <c r="H61" s="217">
        <f t="shared" si="0"/>
        <v>44336</v>
      </c>
      <c r="I61" s="216"/>
      <c r="J61" s="215"/>
    </row>
    <row r="62" spans="8:10">
      <c r="H62" s="217">
        <f t="shared" si="0"/>
        <v>44337</v>
      </c>
      <c r="I62" s="216"/>
      <c r="J62" s="215"/>
    </row>
    <row r="63" spans="8:10">
      <c r="H63" s="217">
        <f t="shared" si="0"/>
        <v>44338</v>
      </c>
      <c r="I63" s="216"/>
      <c r="J63" s="215"/>
    </row>
    <row r="64" spans="8:10">
      <c r="H64" s="217">
        <f t="shared" si="0"/>
        <v>44339</v>
      </c>
      <c r="I64" s="216"/>
      <c r="J64" s="215"/>
    </row>
    <row r="65" spans="8:10">
      <c r="H65" s="217">
        <f t="shared" si="0"/>
        <v>44340</v>
      </c>
      <c r="I65" s="216"/>
      <c r="J65" s="215"/>
    </row>
    <row r="66" spans="8:10">
      <c r="H66" s="217">
        <f t="shared" si="0"/>
        <v>44341</v>
      </c>
      <c r="I66" s="216"/>
      <c r="J66" s="215"/>
    </row>
    <row r="67" spans="8:10">
      <c r="H67" s="217">
        <f t="shared" si="0"/>
        <v>44342</v>
      </c>
      <c r="I67" s="216"/>
      <c r="J67" s="215"/>
    </row>
    <row r="68" spans="8:10">
      <c r="H68" s="217">
        <f t="shared" si="0"/>
        <v>44343</v>
      </c>
      <c r="I68" s="216"/>
      <c r="J68" s="215"/>
    </row>
    <row r="69" spans="8:10">
      <c r="H69" s="217">
        <f t="shared" si="0"/>
        <v>44344</v>
      </c>
      <c r="I69" s="216"/>
      <c r="J69" s="215"/>
    </row>
    <row r="70" spans="8:10">
      <c r="H70" s="217">
        <f t="shared" si="0"/>
        <v>44345</v>
      </c>
      <c r="I70" s="216"/>
      <c r="J70" s="215"/>
    </row>
    <row r="71" spans="8:10">
      <c r="H71" s="217">
        <f t="shared" si="0"/>
        <v>44346</v>
      </c>
      <c r="I71" s="216"/>
      <c r="J71" s="215"/>
    </row>
    <row r="72" spans="8:10">
      <c r="H72" s="217">
        <f t="shared" si="0"/>
        <v>44347</v>
      </c>
      <c r="I72" s="216"/>
      <c r="J72" s="215"/>
    </row>
    <row r="73" spans="8:10">
      <c r="H73" s="217">
        <f t="shared" si="0"/>
        <v>44348</v>
      </c>
      <c r="I73" s="216"/>
      <c r="J73" s="215"/>
    </row>
    <row r="74" spans="8:10">
      <c r="H74" s="217">
        <f t="shared" si="0"/>
        <v>44349</v>
      </c>
      <c r="I74" s="216"/>
      <c r="J74" s="215"/>
    </row>
    <row r="75" spans="8:10">
      <c r="H75" s="217">
        <f t="shared" si="0"/>
        <v>44350</v>
      </c>
      <c r="I75" s="216"/>
      <c r="J75" s="215"/>
    </row>
    <row r="76" spans="8:10">
      <c r="H76" s="217">
        <f t="shared" si="0"/>
        <v>44351</v>
      </c>
      <c r="I76" s="216"/>
      <c r="J76" s="215"/>
    </row>
    <row r="77" spans="8:10">
      <c r="H77" s="217">
        <f t="shared" ref="H77:H140" si="1">H76+1</f>
        <v>44352</v>
      </c>
      <c r="I77" s="216"/>
      <c r="J77" s="215"/>
    </row>
    <row r="78" spans="8:10">
      <c r="H78" s="217">
        <f t="shared" si="1"/>
        <v>44353</v>
      </c>
      <c r="I78" s="216"/>
      <c r="J78" s="215"/>
    </row>
    <row r="79" spans="8:10">
      <c r="H79" s="217">
        <f t="shared" si="1"/>
        <v>44354</v>
      </c>
      <c r="I79" s="216"/>
      <c r="J79" s="215"/>
    </row>
    <row r="80" spans="8:10">
      <c r="H80" s="217">
        <f t="shared" si="1"/>
        <v>44355</v>
      </c>
      <c r="I80" s="216"/>
      <c r="J80" s="215"/>
    </row>
    <row r="81" spans="8:10">
      <c r="H81" s="217">
        <f t="shared" si="1"/>
        <v>44356</v>
      </c>
      <c r="I81" s="216"/>
      <c r="J81" s="215"/>
    </row>
    <row r="82" spans="8:10">
      <c r="H82" s="217">
        <f t="shared" si="1"/>
        <v>44357</v>
      </c>
      <c r="I82" s="216"/>
      <c r="J82" s="215"/>
    </row>
    <row r="83" spans="8:10">
      <c r="H83" s="217">
        <f t="shared" si="1"/>
        <v>44358</v>
      </c>
      <c r="I83" s="216"/>
      <c r="J83" s="215"/>
    </row>
    <row r="84" spans="8:10">
      <c r="H84" s="217">
        <f t="shared" si="1"/>
        <v>44359</v>
      </c>
      <c r="I84" s="216"/>
      <c r="J84" s="215"/>
    </row>
    <row r="85" spans="8:10">
      <c r="H85" s="217">
        <f t="shared" si="1"/>
        <v>44360</v>
      </c>
      <c r="I85" s="216"/>
      <c r="J85" s="215"/>
    </row>
    <row r="86" spans="8:10">
      <c r="H86" s="217">
        <f t="shared" si="1"/>
        <v>44361</v>
      </c>
      <c r="I86" s="216"/>
      <c r="J86" s="215"/>
    </row>
    <row r="87" spans="8:10">
      <c r="H87" s="217">
        <f t="shared" si="1"/>
        <v>44362</v>
      </c>
      <c r="I87" s="216"/>
      <c r="J87" s="215"/>
    </row>
    <row r="88" spans="8:10">
      <c r="H88" s="217">
        <f t="shared" si="1"/>
        <v>44363</v>
      </c>
      <c r="I88" s="216"/>
      <c r="J88" s="215"/>
    </row>
    <row r="89" spans="8:10">
      <c r="H89" s="217">
        <f t="shared" si="1"/>
        <v>44364</v>
      </c>
      <c r="I89" s="216"/>
      <c r="J89" s="215"/>
    </row>
    <row r="90" spans="8:10">
      <c r="H90" s="217">
        <f t="shared" si="1"/>
        <v>44365</v>
      </c>
      <c r="I90" s="216"/>
      <c r="J90" s="215"/>
    </row>
    <row r="91" spans="8:10">
      <c r="H91" s="217">
        <f t="shared" si="1"/>
        <v>44366</v>
      </c>
      <c r="I91" s="216"/>
      <c r="J91" s="215"/>
    </row>
    <row r="92" spans="8:10">
      <c r="H92" s="217">
        <f t="shared" si="1"/>
        <v>44367</v>
      </c>
      <c r="I92" s="216"/>
      <c r="J92" s="215"/>
    </row>
    <row r="93" spans="8:10">
      <c r="H93" s="217">
        <f t="shared" si="1"/>
        <v>44368</v>
      </c>
      <c r="I93" s="216"/>
      <c r="J93" s="215"/>
    </row>
    <row r="94" spans="8:10">
      <c r="H94" s="217">
        <f t="shared" si="1"/>
        <v>44369</v>
      </c>
      <c r="I94" s="216"/>
      <c r="J94" s="215"/>
    </row>
    <row r="95" spans="8:10">
      <c r="H95" s="217">
        <f t="shared" si="1"/>
        <v>44370</v>
      </c>
      <c r="I95" s="216"/>
      <c r="J95" s="215"/>
    </row>
    <row r="96" spans="8:10">
      <c r="H96" s="217">
        <f t="shared" si="1"/>
        <v>44371</v>
      </c>
      <c r="I96" s="216"/>
      <c r="J96" s="215"/>
    </row>
    <row r="97" spans="8:10">
      <c r="H97" s="217">
        <f t="shared" si="1"/>
        <v>44372</v>
      </c>
      <c r="I97" s="216"/>
      <c r="J97" s="215"/>
    </row>
    <row r="98" spans="8:10">
      <c r="H98" s="217">
        <f t="shared" si="1"/>
        <v>44373</v>
      </c>
      <c r="I98" s="216"/>
      <c r="J98" s="215"/>
    </row>
    <row r="99" spans="8:10">
      <c r="H99" s="217">
        <f t="shared" si="1"/>
        <v>44374</v>
      </c>
      <c r="I99" s="216"/>
      <c r="J99" s="215"/>
    </row>
    <row r="100" spans="8:10">
      <c r="H100" s="217">
        <f t="shared" si="1"/>
        <v>44375</v>
      </c>
      <c r="I100" s="216"/>
      <c r="J100" s="215"/>
    </row>
    <row r="101" spans="8:10">
      <c r="H101" s="217">
        <f t="shared" si="1"/>
        <v>44376</v>
      </c>
      <c r="I101" s="216"/>
      <c r="J101" s="215"/>
    </row>
    <row r="102" spans="8:10">
      <c r="H102" s="217">
        <f t="shared" si="1"/>
        <v>44377</v>
      </c>
      <c r="I102" s="216"/>
      <c r="J102" s="215"/>
    </row>
    <row r="103" spans="8:10">
      <c r="H103" s="217">
        <f t="shared" si="1"/>
        <v>44378</v>
      </c>
      <c r="I103" s="216"/>
      <c r="J103" s="215"/>
    </row>
    <row r="104" spans="8:10">
      <c r="H104" s="217">
        <f t="shared" si="1"/>
        <v>44379</v>
      </c>
      <c r="I104" s="216"/>
      <c r="J104" s="215"/>
    </row>
    <row r="105" spans="8:10">
      <c r="H105" s="217">
        <f t="shared" si="1"/>
        <v>44380</v>
      </c>
      <c r="I105" s="216"/>
      <c r="J105" s="215"/>
    </row>
    <row r="106" spans="8:10">
      <c r="H106" s="217">
        <f t="shared" si="1"/>
        <v>44381</v>
      </c>
      <c r="I106" s="216"/>
      <c r="J106" s="215"/>
    </row>
    <row r="107" spans="8:10">
      <c r="H107" s="217">
        <f t="shared" si="1"/>
        <v>44382</v>
      </c>
      <c r="I107" s="216"/>
      <c r="J107" s="215"/>
    </row>
    <row r="108" spans="8:10">
      <c r="H108" s="217">
        <f t="shared" si="1"/>
        <v>44383</v>
      </c>
      <c r="I108" s="216"/>
      <c r="J108" s="215"/>
    </row>
    <row r="109" spans="8:10">
      <c r="H109" s="217">
        <f t="shared" si="1"/>
        <v>44384</v>
      </c>
      <c r="I109" s="216"/>
      <c r="J109" s="215"/>
    </row>
    <row r="110" spans="8:10">
      <c r="H110" s="217">
        <f t="shared" si="1"/>
        <v>44385</v>
      </c>
      <c r="I110" s="216"/>
      <c r="J110" s="215"/>
    </row>
    <row r="111" spans="8:10">
      <c r="H111" s="217">
        <f t="shared" si="1"/>
        <v>44386</v>
      </c>
      <c r="I111" s="216"/>
      <c r="J111" s="215"/>
    </row>
    <row r="112" spans="8:10">
      <c r="H112" s="217">
        <f t="shared" si="1"/>
        <v>44387</v>
      </c>
      <c r="I112" s="216"/>
      <c r="J112" s="215"/>
    </row>
    <row r="113" spans="8:10">
      <c r="H113" s="217">
        <f t="shared" si="1"/>
        <v>44388</v>
      </c>
      <c r="I113" s="216"/>
      <c r="J113" s="215"/>
    </row>
    <row r="114" spans="8:10">
      <c r="H114" s="217">
        <f t="shared" si="1"/>
        <v>44389</v>
      </c>
      <c r="I114" s="216"/>
      <c r="J114" s="215"/>
    </row>
    <row r="115" spans="8:10">
      <c r="H115" s="217">
        <f t="shared" si="1"/>
        <v>44390</v>
      </c>
      <c r="I115" s="216"/>
      <c r="J115" s="215"/>
    </row>
    <row r="116" spans="8:10">
      <c r="H116" s="217">
        <f t="shared" si="1"/>
        <v>44391</v>
      </c>
      <c r="I116" s="216"/>
      <c r="J116" s="215"/>
    </row>
    <row r="117" spans="8:10">
      <c r="H117" s="217">
        <f t="shared" si="1"/>
        <v>44392</v>
      </c>
      <c r="I117" s="216"/>
      <c r="J117" s="215"/>
    </row>
    <row r="118" spans="8:10">
      <c r="H118" s="217">
        <f t="shared" si="1"/>
        <v>44393</v>
      </c>
      <c r="I118" s="216"/>
      <c r="J118" s="215"/>
    </row>
    <row r="119" spans="8:10">
      <c r="H119" s="217">
        <f t="shared" si="1"/>
        <v>44394</v>
      </c>
      <c r="I119" s="216"/>
      <c r="J119" s="215"/>
    </row>
    <row r="120" spans="8:10">
      <c r="H120" s="217">
        <f t="shared" si="1"/>
        <v>44395</v>
      </c>
      <c r="I120" s="216"/>
      <c r="J120" s="215"/>
    </row>
    <row r="121" spans="8:10">
      <c r="H121" s="217">
        <f t="shared" si="1"/>
        <v>44396</v>
      </c>
      <c r="I121" s="216"/>
      <c r="J121" s="215"/>
    </row>
    <row r="122" spans="8:10">
      <c r="H122" s="217">
        <f t="shared" si="1"/>
        <v>44397</v>
      </c>
      <c r="I122" s="216"/>
      <c r="J122" s="215"/>
    </row>
    <row r="123" spans="8:10">
      <c r="H123" s="217">
        <f t="shared" si="1"/>
        <v>44398</v>
      </c>
      <c r="I123" s="216"/>
      <c r="J123" s="215"/>
    </row>
    <row r="124" spans="8:10">
      <c r="H124" s="217">
        <f t="shared" si="1"/>
        <v>44399</v>
      </c>
      <c r="I124" s="216"/>
      <c r="J124" s="215"/>
    </row>
    <row r="125" spans="8:10">
      <c r="H125" s="217">
        <f t="shared" si="1"/>
        <v>44400</v>
      </c>
      <c r="I125" s="216"/>
      <c r="J125" s="215"/>
    </row>
    <row r="126" spans="8:10">
      <c r="H126" s="217">
        <f t="shared" si="1"/>
        <v>44401</v>
      </c>
      <c r="I126" s="216"/>
      <c r="J126" s="215"/>
    </row>
    <row r="127" spans="8:10">
      <c r="H127" s="217">
        <f t="shared" si="1"/>
        <v>44402</v>
      </c>
      <c r="I127" s="216"/>
      <c r="J127" s="215"/>
    </row>
    <row r="128" spans="8:10">
      <c r="H128" s="217">
        <f t="shared" si="1"/>
        <v>44403</v>
      </c>
      <c r="I128" s="216"/>
      <c r="J128" s="215"/>
    </row>
    <row r="129" spans="8:10">
      <c r="H129" s="217">
        <f t="shared" si="1"/>
        <v>44404</v>
      </c>
      <c r="I129" s="216"/>
      <c r="J129" s="215"/>
    </row>
    <row r="130" spans="8:10">
      <c r="H130" s="217">
        <f t="shared" si="1"/>
        <v>44405</v>
      </c>
      <c r="I130" s="216"/>
      <c r="J130" s="215"/>
    </row>
    <row r="131" spans="8:10">
      <c r="H131" s="217">
        <f t="shared" si="1"/>
        <v>44406</v>
      </c>
      <c r="I131" s="216"/>
      <c r="J131" s="215"/>
    </row>
    <row r="132" spans="8:10">
      <c r="H132" s="217">
        <f t="shared" si="1"/>
        <v>44407</v>
      </c>
      <c r="I132" s="216"/>
      <c r="J132" s="215"/>
    </row>
    <row r="133" spans="8:10">
      <c r="H133" s="217">
        <f t="shared" si="1"/>
        <v>44408</v>
      </c>
      <c r="I133" s="216"/>
      <c r="J133" s="215"/>
    </row>
    <row r="134" spans="8:10">
      <c r="H134" s="217">
        <f t="shared" si="1"/>
        <v>44409</v>
      </c>
      <c r="I134" s="216"/>
      <c r="J134" s="215"/>
    </row>
    <row r="135" spans="8:10">
      <c r="H135" s="217">
        <f t="shared" si="1"/>
        <v>44410</v>
      </c>
      <c r="I135" s="216"/>
      <c r="J135" s="215"/>
    </row>
    <row r="136" spans="8:10">
      <c r="H136" s="217">
        <f t="shared" si="1"/>
        <v>44411</v>
      </c>
      <c r="I136" s="216"/>
      <c r="J136" s="215"/>
    </row>
    <row r="137" spans="8:10">
      <c r="H137" s="217">
        <f t="shared" si="1"/>
        <v>44412</v>
      </c>
      <c r="I137" s="216"/>
      <c r="J137" s="215"/>
    </row>
    <row r="138" spans="8:10">
      <c r="H138" s="217">
        <f t="shared" si="1"/>
        <v>44413</v>
      </c>
      <c r="I138" s="216"/>
      <c r="J138" s="215"/>
    </row>
    <row r="139" spans="8:10">
      <c r="H139" s="217">
        <f t="shared" si="1"/>
        <v>44414</v>
      </c>
      <c r="I139" s="216"/>
      <c r="J139" s="215"/>
    </row>
    <row r="140" spans="8:10">
      <c r="H140" s="217">
        <f t="shared" si="1"/>
        <v>44415</v>
      </c>
      <c r="I140" s="216"/>
      <c r="J140" s="215"/>
    </row>
    <row r="141" spans="8:10">
      <c r="H141" s="217">
        <f t="shared" ref="H141:H204" si="2">H140+1</f>
        <v>44416</v>
      </c>
      <c r="I141" s="216"/>
      <c r="J141" s="215"/>
    </row>
    <row r="142" spans="8:10">
      <c r="H142" s="217">
        <f t="shared" si="2"/>
        <v>44417</v>
      </c>
      <c r="I142" s="216"/>
      <c r="J142" s="215"/>
    </row>
    <row r="143" spans="8:10">
      <c r="H143" s="217">
        <f t="shared" si="2"/>
        <v>44418</v>
      </c>
      <c r="I143" s="216"/>
      <c r="J143" s="215"/>
    </row>
    <row r="144" spans="8:10">
      <c r="H144" s="217">
        <f t="shared" si="2"/>
        <v>44419</v>
      </c>
      <c r="I144" s="216"/>
      <c r="J144" s="215"/>
    </row>
    <row r="145" spans="8:10">
      <c r="H145" s="217">
        <f t="shared" si="2"/>
        <v>44420</v>
      </c>
      <c r="I145" s="216"/>
      <c r="J145" s="215"/>
    </row>
    <row r="146" spans="8:10">
      <c r="H146" s="217">
        <f t="shared" si="2"/>
        <v>44421</v>
      </c>
      <c r="I146" s="216"/>
      <c r="J146" s="215"/>
    </row>
    <row r="147" spans="8:10">
      <c r="H147" s="217">
        <f t="shared" si="2"/>
        <v>44422</v>
      </c>
      <c r="I147" s="216"/>
      <c r="J147" s="215"/>
    </row>
    <row r="148" spans="8:10">
      <c r="H148" s="217">
        <f t="shared" si="2"/>
        <v>44423</v>
      </c>
      <c r="I148" s="216"/>
      <c r="J148" s="215"/>
    </row>
    <row r="149" spans="8:10">
      <c r="H149" s="217">
        <f t="shared" si="2"/>
        <v>44424</v>
      </c>
      <c r="I149" s="216"/>
      <c r="J149" s="215"/>
    </row>
    <row r="150" spans="8:10">
      <c r="H150" s="217">
        <f t="shared" si="2"/>
        <v>44425</v>
      </c>
      <c r="I150" s="216"/>
      <c r="J150" s="215"/>
    </row>
    <row r="151" spans="8:10">
      <c r="H151" s="217">
        <f t="shared" si="2"/>
        <v>44426</v>
      </c>
      <c r="I151" s="216"/>
      <c r="J151" s="215"/>
    </row>
    <row r="152" spans="8:10">
      <c r="H152" s="217">
        <f t="shared" si="2"/>
        <v>44427</v>
      </c>
      <c r="I152" s="216"/>
      <c r="J152" s="215"/>
    </row>
    <row r="153" spans="8:10">
      <c r="H153" s="217">
        <f t="shared" si="2"/>
        <v>44428</v>
      </c>
      <c r="I153" s="216"/>
      <c r="J153" s="215"/>
    </row>
    <row r="154" spans="8:10">
      <c r="H154" s="217">
        <f t="shared" si="2"/>
        <v>44429</v>
      </c>
      <c r="I154" s="216"/>
      <c r="J154" s="215"/>
    </row>
    <row r="155" spans="8:10">
      <c r="H155" s="217">
        <f t="shared" si="2"/>
        <v>44430</v>
      </c>
      <c r="I155" s="216"/>
      <c r="J155" s="215"/>
    </row>
    <row r="156" spans="8:10">
      <c r="H156" s="217">
        <f t="shared" si="2"/>
        <v>44431</v>
      </c>
      <c r="I156" s="216"/>
      <c r="J156" s="215"/>
    </row>
    <row r="157" spans="8:10">
      <c r="H157" s="217">
        <f t="shared" si="2"/>
        <v>44432</v>
      </c>
      <c r="I157" s="216"/>
      <c r="J157" s="215"/>
    </row>
    <row r="158" spans="8:10">
      <c r="H158" s="217">
        <f t="shared" si="2"/>
        <v>44433</v>
      </c>
      <c r="I158" s="216"/>
      <c r="J158" s="215"/>
    </row>
    <row r="159" spans="8:10">
      <c r="H159" s="217">
        <f t="shared" si="2"/>
        <v>44434</v>
      </c>
      <c r="I159" s="216"/>
      <c r="J159" s="215"/>
    </row>
    <row r="160" spans="8:10">
      <c r="H160" s="217">
        <f t="shared" si="2"/>
        <v>44435</v>
      </c>
      <c r="I160" s="216"/>
      <c r="J160" s="215"/>
    </row>
    <row r="161" spans="8:10">
      <c r="H161" s="217">
        <f t="shared" si="2"/>
        <v>44436</v>
      </c>
      <c r="I161" s="216"/>
      <c r="J161" s="215"/>
    </row>
    <row r="162" spans="8:10">
      <c r="H162" s="217">
        <f t="shared" si="2"/>
        <v>44437</v>
      </c>
      <c r="I162" s="216"/>
      <c r="J162" s="215"/>
    </row>
    <row r="163" spans="8:10">
      <c r="H163" s="217">
        <f t="shared" si="2"/>
        <v>44438</v>
      </c>
      <c r="I163" s="216"/>
      <c r="J163" s="215"/>
    </row>
    <row r="164" spans="8:10">
      <c r="H164" s="217">
        <f t="shared" si="2"/>
        <v>44439</v>
      </c>
      <c r="I164" s="216"/>
      <c r="J164" s="215"/>
    </row>
    <row r="165" spans="8:10">
      <c r="H165" s="217">
        <f t="shared" si="2"/>
        <v>44440</v>
      </c>
      <c r="I165" s="216"/>
      <c r="J165" s="215"/>
    </row>
    <row r="166" spans="8:10">
      <c r="H166" s="217">
        <f t="shared" si="2"/>
        <v>44441</v>
      </c>
      <c r="I166" s="216"/>
      <c r="J166" s="215"/>
    </row>
    <row r="167" spans="8:10">
      <c r="H167" s="217">
        <f t="shared" si="2"/>
        <v>44442</v>
      </c>
      <c r="I167" s="216"/>
      <c r="J167" s="215"/>
    </row>
    <row r="168" spans="8:10">
      <c r="H168" s="217">
        <f t="shared" si="2"/>
        <v>44443</v>
      </c>
      <c r="I168" s="216"/>
      <c r="J168" s="215"/>
    </row>
    <row r="169" spans="8:10">
      <c r="H169" s="217">
        <f t="shared" si="2"/>
        <v>44444</v>
      </c>
      <c r="I169" s="216"/>
      <c r="J169" s="215"/>
    </row>
    <row r="170" spans="8:10">
      <c r="H170" s="217">
        <f t="shared" si="2"/>
        <v>44445</v>
      </c>
      <c r="I170" s="216"/>
      <c r="J170" s="215"/>
    </row>
    <row r="171" spans="8:10">
      <c r="H171" s="217">
        <f t="shared" si="2"/>
        <v>44446</v>
      </c>
      <c r="I171" s="216"/>
      <c r="J171" s="215"/>
    </row>
    <row r="172" spans="8:10">
      <c r="H172" s="217">
        <f t="shared" si="2"/>
        <v>44447</v>
      </c>
      <c r="I172" s="216"/>
      <c r="J172" s="215"/>
    </row>
    <row r="173" spans="8:10">
      <c r="H173" s="217">
        <f t="shared" si="2"/>
        <v>44448</v>
      </c>
      <c r="I173" s="216"/>
      <c r="J173" s="215"/>
    </row>
    <row r="174" spans="8:10">
      <c r="H174" s="217">
        <f t="shared" si="2"/>
        <v>44449</v>
      </c>
      <c r="I174" s="216"/>
      <c r="J174" s="215"/>
    </row>
    <row r="175" spans="8:10">
      <c r="H175" s="217">
        <f t="shared" si="2"/>
        <v>44450</v>
      </c>
      <c r="I175" s="216"/>
      <c r="J175" s="215"/>
    </row>
    <row r="176" spans="8:10">
      <c r="H176" s="217">
        <f t="shared" si="2"/>
        <v>44451</v>
      </c>
      <c r="I176" s="216"/>
      <c r="J176" s="215"/>
    </row>
    <row r="177" spans="8:10">
      <c r="H177" s="217">
        <f t="shared" si="2"/>
        <v>44452</v>
      </c>
      <c r="I177" s="216"/>
      <c r="J177" s="215"/>
    </row>
    <row r="178" spans="8:10">
      <c r="H178" s="217">
        <f t="shared" si="2"/>
        <v>44453</v>
      </c>
      <c r="I178" s="216"/>
      <c r="J178" s="215"/>
    </row>
    <row r="179" spans="8:10">
      <c r="H179" s="217">
        <f t="shared" si="2"/>
        <v>44454</v>
      </c>
      <c r="I179" s="216"/>
      <c r="J179" s="215"/>
    </row>
    <row r="180" spans="8:10">
      <c r="H180" s="217">
        <f t="shared" si="2"/>
        <v>44455</v>
      </c>
      <c r="I180" s="216"/>
      <c r="J180" s="215"/>
    </row>
    <row r="181" spans="8:10">
      <c r="H181" s="217">
        <f t="shared" si="2"/>
        <v>44456</v>
      </c>
      <c r="I181" s="216"/>
      <c r="J181" s="215"/>
    </row>
    <row r="182" spans="8:10">
      <c r="H182" s="217">
        <f t="shared" si="2"/>
        <v>44457</v>
      </c>
      <c r="I182" s="216"/>
      <c r="J182" s="215"/>
    </row>
    <row r="183" spans="8:10">
      <c r="H183" s="217">
        <f t="shared" si="2"/>
        <v>44458</v>
      </c>
      <c r="I183" s="216"/>
      <c r="J183" s="215"/>
    </row>
    <row r="184" spans="8:10">
      <c r="H184" s="217">
        <f t="shared" si="2"/>
        <v>44459</v>
      </c>
      <c r="I184" s="216"/>
      <c r="J184" s="215"/>
    </row>
    <row r="185" spans="8:10">
      <c r="H185" s="217">
        <f t="shared" si="2"/>
        <v>44460</v>
      </c>
      <c r="I185" s="216"/>
      <c r="J185" s="215"/>
    </row>
    <row r="186" spans="8:10">
      <c r="H186" s="217">
        <f t="shared" si="2"/>
        <v>44461</v>
      </c>
      <c r="I186" s="216"/>
      <c r="J186" s="215"/>
    </row>
    <row r="187" spans="8:10">
      <c r="H187" s="217">
        <f t="shared" si="2"/>
        <v>44462</v>
      </c>
      <c r="I187" s="216"/>
      <c r="J187" s="215"/>
    </row>
    <row r="188" spans="8:10">
      <c r="H188" s="217">
        <f t="shared" si="2"/>
        <v>44463</v>
      </c>
      <c r="I188" s="216"/>
      <c r="J188" s="215"/>
    </row>
    <row r="189" spans="8:10">
      <c r="H189" s="217">
        <f t="shared" si="2"/>
        <v>44464</v>
      </c>
      <c r="I189" s="216"/>
      <c r="J189" s="215"/>
    </row>
    <row r="190" spans="8:10">
      <c r="H190" s="217">
        <f t="shared" si="2"/>
        <v>44465</v>
      </c>
      <c r="I190" s="216"/>
      <c r="J190" s="215"/>
    </row>
    <row r="191" spans="8:10">
      <c r="H191" s="217">
        <f t="shared" si="2"/>
        <v>44466</v>
      </c>
      <c r="I191" s="216"/>
      <c r="J191" s="215"/>
    </row>
    <row r="192" spans="8:10">
      <c r="H192" s="217">
        <f t="shared" si="2"/>
        <v>44467</v>
      </c>
      <c r="I192" s="216"/>
      <c r="J192" s="215"/>
    </row>
    <row r="193" spans="8:10">
      <c r="H193" s="217">
        <f t="shared" si="2"/>
        <v>44468</v>
      </c>
      <c r="I193" s="216"/>
      <c r="J193" s="215"/>
    </row>
    <row r="194" spans="8:10">
      <c r="H194" s="217">
        <f t="shared" si="2"/>
        <v>44469</v>
      </c>
      <c r="I194" s="216"/>
      <c r="J194" s="215"/>
    </row>
    <row r="195" spans="8:10">
      <c r="H195" s="217">
        <f t="shared" si="2"/>
        <v>44470</v>
      </c>
      <c r="I195" s="216"/>
      <c r="J195" s="215"/>
    </row>
    <row r="196" spans="8:10">
      <c r="H196" s="217">
        <f t="shared" si="2"/>
        <v>44471</v>
      </c>
      <c r="I196" s="216"/>
      <c r="J196" s="215"/>
    </row>
    <row r="197" spans="8:10">
      <c r="H197" s="217">
        <f t="shared" si="2"/>
        <v>44472</v>
      </c>
      <c r="I197" s="216"/>
      <c r="J197" s="215"/>
    </row>
    <row r="198" spans="8:10">
      <c r="H198" s="217">
        <f t="shared" si="2"/>
        <v>44473</v>
      </c>
      <c r="I198" s="216"/>
      <c r="J198" s="215"/>
    </row>
    <row r="199" spans="8:10">
      <c r="H199" s="217">
        <f t="shared" si="2"/>
        <v>44474</v>
      </c>
      <c r="I199" s="216"/>
      <c r="J199" s="215"/>
    </row>
    <row r="200" spans="8:10">
      <c r="H200" s="217">
        <f t="shared" si="2"/>
        <v>44475</v>
      </c>
      <c r="I200" s="216"/>
      <c r="J200" s="215"/>
    </row>
    <row r="201" spans="8:10">
      <c r="H201" s="217">
        <f t="shared" si="2"/>
        <v>44476</v>
      </c>
      <c r="I201" s="216"/>
      <c r="J201" s="215"/>
    </row>
    <row r="202" spans="8:10">
      <c r="H202" s="217">
        <f t="shared" si="2"/>
        <v>44477</v>
      </c>
      <c r="I202" s="216"/>
      <c r="J202" s="215"/>
    </row>
    <row r="203" spans="8:10">
      <c r="H203" s="217">
        <f t="shared" si="2"/>
        <v>44478</v>
      </c>
      <c r="I203" s="216"/>
      <c r="J203" s="215"/>
    </row>
    <row r="204" spans="8:10">
      <c r="H204" s="217">
        <f t="shared" si="2"/>
        <v>44479</v>
      </c>
      <c r="I204" s="216"/>
      <c r="J204" s="215"/>
    </row>
    <row r="205" spans="8:10">
      <c r="H205" s="217">
        <f t="shared" ref="H205:H268" si="3">H204+1</f>
        <v>44480</v>
      </c>
      <c r="I205" s="216"/>
      <c r="J205" s="215"/>
    </row>
    <row r="206" spans="8:10">
      <c r="H206" s="217">
        <f t="shared" si="3"/>
        <v>44481</v>
      </c>
      <c r="I206" s="216"/>
      <c r="J206" s="215"/>
    </row>
    <row r="207" spans="8:10">
      <c r="H207" s="217">
        <f t="shared" si="3"/>
        <v>44482</v>
      </c>
      <c r="I207" s="216"/>
      <c r="J207" s="215"/>
    </row>
    <row r="208" spans="8:10">
      <c r="H208" s="217">
        <f t="shared" si="3"/>
        <v>44483</v>
      </c>
      <c r="I208" s="216"/>
      <c r="J208" s="215"/>
    </row>
    <row r="209" spans="8:10">
      <c r="H209" s="217">
        <f t="shared" si="3"/>
        <v>44484</v>
      </c>
      <c r="I209" s="216"/>
      <c r="J209" s="215"/>
    </row>
    <row r="210" spans="8:10">
      <c r="H210" s="217">
        <f t="shared" si="3"/>
        <v>44485</v>
      </c>
      <c r="I210" s="216"/>
      <c r="J210" s="215"/>
    </row>
    <row r="211" spans="8:10">
      <c r="H211" s="217">
        <f t="shared" si="3"/>
        <v>44486</v>
      </c>
      <c r="I211" s="216"/>
      <c r="J211" s="215"/>
    </row>
    <row r="212" spans="8:10">
      <c r="H212" s="217">
        <f t="shared" si="3"/>
        <v>44487</v>
      </c>
      <c r="I212" s="216"/>
      <c r="J212" s="215"/>
    </row>
    <row r="213" spans="8:10">
      <c r="H213" s="217">
        <f t="shared" si="3"/>
        <v>44488</v>
      </c>
      <c r="I213" s="216"/>
      <c r="J213" s="215"/>
    </row>
    <row r="214" spans="8:10">
      <c r="H214" s="217">
        <f t="shared" si="3"/>
        <v>44489</v>
      </c>
      <c r="I214" s="216"/>
      <c r="J214" s="215"/>
    </row>
    <row r="215" spans="8:10">
      <c r="H215" s="217">
        <f t="shared" si="3"/>
        <v>44490</v>
      </c>
      <c r="I215" s="216"/>
      <c r="J215" s="215"/>
    </row>
    <row r="216" spans="8:10">
      <c r="H216" s="217">
        <f t="shared" si="3"/>
        <v>44491</v>
      </c>
      <c r="I216" s="216"/>
      <c r="J216" s="215"/>
    </row>
    <row r="217" spans="8:10">
      <c r="H217" s="217">
        <f t="shared" si="3"/>
        <v>44492</v>
      </c>
      <c r="I217" s="216"/>
      <c r="J217" s="215"/>
    </row>
    <row r="218" spans="8:10">
      <c r="H218" s="217">
        <f t="shared" si="3"/>
        <v>44493</v>
      </c>
      <c r="I218" s="216"/>
      <c r="J218" s="215"/>
    </row>
    <row r="219" spans="8:10">
      <c r="H219" s="217">
        <f t="shared" si="3"/>
        <v>44494</v>
      </c>
      <c r="I219" s="216"/>
      <c r="J219" s="215"/>
    </row>
    <row r="220" spans="8:10">
      <c r="H220" s="217">
        <f t="shared" si="3"/>
        <v>44495</v>
      </c>
      <c r="I220" s="216"/>
      <c r="J220" s="215"/>
    </row>
    <row r="221" spans="8:10">
      <c r="H221" s="217">
        <f t="shared" si="3"/>
        <v>44496</v>
      </c>
      <c r="I221" s="216"/>
      <c r="J221" s="215"/>
    </row>
    <row r="222" spans="8:10">
      <c r="H222" s="217">
        <f t="shared" si="3"/>
        <v>44497</v>
      </c>
      <c r="I222" s="216"/>
      <c r="J222" s="215"/>
    </row>
    <row r="223" spans="8:10">
      <c r="H223" s="217">
        <f t="shared" si="3"/>
        <v>44498</v>
      </c>
      <c r="I223" s="216"/>
      <c r="J223" s="215"/>
    </row>
    <row r="224" spans="8:10">
      <c r="H224" s="217">
        <f t="shared" si="3"/>
        <v>44499</v>
      </c>
      <c r="I224" s="216"/>
      <c r="J224" s="215"/>
    </row>
    <row r="225" spans="8:10">
      <c r="H225" s="217">
        <f t="shared" si="3"/>
        <v>44500</v>
      </c>
      <c r="I225" s="216"/>
      <c r="J225" s="215"/>
    </row>
    <row r="226" spans="8:10">
      <c r="H226" s="217">
        <f t="shared" si="3"/>
        <v>44501</v>
      </c>
      <c r="I226" s="216"/>
      <c r="J226" s="215"/>
    </row>
    <row r="227" spans="8:10">
      <c r="H227" s="217">
        <f t="shared" si="3"/>
        <v>44502</v>
      </c>
      <c r="I227" s="216"/>
      <c r="J227" s="215"/>
    </row>
    <row r="228" spans="8:10">
      <c r="H228" s="217">
        <f t="shared" si="3"/>
        <v>44503</v>
      </c>
      <c r="I228" s="216"/>
      <c r="J228" s="215"/>
    </row>
    <row r="229" spans="8:10">
      <c r="H229" s="217">
        <f t="shared" si="3"/>
        <v>44504</v>
      </c>
      <c r="I229" s="216"/>
      <c r="J229" s="215"/>
    </row>
    <row r="230" spans="8:10">
      <c r="H230" s="217">
        <f t="shared" si="3"/>
        <v>44505</v>
      </c>
      <c r="I230" s="216"/>
      <c r="J230" s="215"/>
    </row>
    <row r="231" spans="8:10">
      <c r="H231" s="217">
        <f t="shared" si="3"/>
        <v>44506</v>
      </c>
      <c r="I231" s="216"/>
      <c r="J231" s="215"/>
    </row>
    <row r="232" spans="8:10">
      <c r="H232" s="217">
        <f t="shared" si="3"/>
        <v>44507</v>
      </c>
      <c r="I232" s="216"/>
      <c r="J232" s="215"/>
    </row>
    <row r="233" spans="8:10">
      <c r="H233" s="217">
        <f t="shared" si="3"/>
        <v>44508</v>
      </c>
      <c r="I233" s="216"/>
      <c r="J233" s="215"/>
    </row>
    <row r="234" spans="8:10">
      <c r="H234" s="217">
        <f t="shared" si="3"/>
        <v>44509</v>
      </c>
      <c r="I234" s="216"/>
      <c r="J234" s="215"/>
    </row>
    <row r="235" spans="8:10">
      <c r="H235" s="217">
        <f t="shared" si="3"/>
        <v>44510</v>
      </c>
      <c r="I235" s="216"/>
      <c r="J235" s="215"/>
    </row>
    <row r="236" spans="8:10">
      <c r="H236" s="217">
        <f t="shared" si="3"/>
        <v>44511</v>
      </c>
      <c r="I236" s="216"/>
      <c r="J236" s="215"/>
    </row>
    <row r="237" spans="8:10">
      <c r="H237" s="217">
        <f t="shared" si="3"/>
        <v>44512</v>
      </c>
      <c r="I237" s="216"/>
      <c r="J237" s="215"/>
    </row>
    <row r="238" spans="8:10">
      <c r="H238" s="217">
        <f t="shared" si="3"/>
        <v>44513</v>
      </c>
      <c r="I238" s="216"/>
      <c r="J238" s="215"/>
    </row>
    <row r="239" spans="8:10">
      <c r="H239" s="217">
        <f t="shared" si="3"/>
        <v>44514</v>
      </c>
      <c r="I239" s="216"/>
      <c r="J239" s="215"/>
    </row>
    <row r="240" spans="8:10">
      <c r="H240" s="217">
        <f t="shared" si="3"/>
        <v>44515</v>
      </c>
      <c r="I240" s="216"/>
      <c r="J240" s="215"/>
    </row>
    <row r="241" spans="8:10">
      <c r="H241" s="217">
        <f t="shared" si="3"/>
        <v>44516</v>
      </c>
      <c r="I241" s="216"/>
      <c r="J241" s="215"/>
    </row>
    <row r="242" spans="8:10">
      <c r="H242" s="217">
        <f t="shared" si="3"/>
        <v>44517</v>
      </c>
      <c r="I242" s="216"/>
      <c r="J242" s="215"/>
    </row>
    <row r="243" spans="8:10">
      <c r="H243" s="217">
        <f t="shared" si="3"/>
        <v>44518</v>
      </c>
      <c r="I243" s="216"/>
      <c r="J243" s="215"/>
    </row>
    <row r="244" spans="8:10">
      <c r="H244" s="217">
        <f t="shared" si="3"/>
        <v>44519</v>
      </c>
      <c r="I244" s="216"/>
      <c r="J244" s="215"/>
    </row>
    <row r="245" spans="8:10">
      <c r="H245" s="217">
        <f t="shared" si="3"/>
        <v>44520</v>
      </c>
      <c r="I245" s="216"/>
      <c r="J245" s="215"/>
    </row>
    <row r="246" spans="8:10">
      <c r="H246" s="217">
        <f t="shared" si="3"/>
        <v>44521</v>
      </c>
      <c r="I246" s="216"/>
      <c r="J246" s="215"/>
    </row>
    <row r="247" spans="8:10">
      <c r="H247" s="217">
        <f t="shared" si="3"/>
        <v>44522</v>
      </c>
      <c r="I247" s="216"/>
      <c r="J247" s="215"/>
    </row>
    <row r="248" spans="8:10">
      <c r="H248" s="217">
        <f t="shared" si="3"/>
        <v>44523</v>
      </c>
      <c r="I248" s="216"/>
      <c r="J248" s="215"/>
    </row>
    <row r="249" spans="8:10">
      <c r="H249" s="217">
        <f t="shared" si="3"/>
        <v>44524</v>
      </c>
      <c r="I249" s="216"/>
      <c r="J249" s="215"/>
    </row>
    <row r="250" spans="8:10">
      <c r="H250" s="217">
        <f t="shared" si="3"/>
        <v>44525</v>
      </c>
      <c r="I250" s="216"/>
      <c r="J250" s="215"/>
    </row>
    <row r="251" spans="8:10">
      <c r="H251" s="217">
        <f t="shared" si="3"/>
        <v>44526</v>
      </c>
      <c r="I251" s="216"/>
      <c r="J251" s="215"/>
    </row>
    <row r="252" spans="8:10">
      <c r="H252" s="217">
        <f t="shared" si="3"/>
        <v>44527</v>
      </c>
      <c r="I252" s="216"/>
      <c r="J252" s="215"/>
    </row>
    <row r="253" spans="8:10">
      <c r="H253" s="217">
        <f t="shared" si="3"/>
        <v>44528</v>
      </c>
      <c r="I253" s="216"/>
      <c r="J253" s="215"/>
    </row>
    <row r="254" spans="8:10">
      <c r="H254" s="217">
        <f t="shared" si="3"/>
        <v>44529</v>
      </c>
      <c r="I254" s="216"/>
      <c r="J254" s="215"/>
    </row>
    <row r="255" spans="8:10">
      <c r="H255" s="217">
        <f t="shared" si="3"/>
        <v>44530</v>
      </c>
      <c r="I255" s="216"/>
      <c r="J255" s="215"/>
    </row>
    <row r="256" spans="8:10">
      <c r="H256" s="217">
        <f t="shared" si="3"/>
        <v>44531</v>
      </c>
      <c r="I256" s="216"/>
      <c r="J256" s="215"/>
    </row>
    <row r="257" spans="8:10">
      <c r="H257" s="217">
        <f t="shared" si="3"/>
        <v>44532</v>
      </c>
      <c r="I257" s="216"/>
      <c r="J257" s="215"/>
    </row>
    <row r="258" spans="8:10">
      <c r="H258" s="217">
        <f t="shared" si="3"/>
        <v>44533</v>
      </c>
      <c r="I258" s="216"/>
      <c r="J258" s="215"/>
    </row>
    <row r="259" spans="8:10">
      <c r="H259" s="217">
        <f t="shared" si="3"/>
        <v>44534</v>
      </c>
      <c r="I259" s="216"/>
      <c r="J259" s="215"/>
    </row>
    <row r="260" spans="8:10">
      <c r="H260" s="217">
        <f t="shared" si="3"/>
        <v>44535</v>
      </c>
      <c r="I260" s="216"/>
      <c r="J260" s="215"/>
    </row>
    <row r="261" spans="8:10">
      <c r="H261" s="217">
        <f t="shared" si="3"/>
        <v>44536</v>
      </c>
      <c r="I261" s="216"/>
      <c r="J261" s="215"/>
    </row>
    <row r="262" spans="8:10">
      <c r="H262" s="217">
        <f t="shared" si="3"/>
        <v>44537</v>
      </c>
      <c r="I262" s="216"/>
      <c r="J262" s="215"/>
    </row>
    <row r="263" spans="8:10">
      <c r="H263" s="217">
        <f t="shared" si="3"/>
        <v>44538</v>
      </c>
      <c r="I263" s="216"/>
      <c r="J263" s="215"/>
    </row>
    <row r="264" spans="8:10">
      <c r="H264" s="217">
        <f t="shared" si="3"/>
        <v>44539</v>
      </c>
      <c r="I264" s="216"/>
      <c r="J264" s="215"/>
    </row>
    <row r="265" spans="8:10">
      <c r="H265" s="217">
        <f t="shared" si="3"/>
        <v>44540</v>
      </c>
      <c r="I265" s="216"/>
      <c r="J265" s="215"/>
    </row>
    <row r="266" spans="8:10">
      <c r="H266" s="217">
        <f t="shared" si="3"/>
        <v>44541</v>
      </c>
      <c r="I266" s="216"/>
      <c r="J266" s="215"/>
    </row>
    <row r="267" spans="8:10">
      <c r="H267" s="217">
        <f t="shared" si="3"/>
        <v>44542</v>
      </c>
      <c r="I267" s="216"/>
      <c r="J267" s="215"/>
    </row>
    <row r="268" spans="8:10">
      <c r="H268" s="217">
        <f t="shared" si="3"/>
        <v>44543</v>
      </c>
      <c r="I268" s="216"/>
      <c r="J268" s="215"/>
    </row>
    <row r="269" spans="8:10">
      <c r="H269" s="217">
        <f t="shared" ref="H269:H332" si="4">H268+1</f>
        <v>44544</v>
      </c>
      <c r="I269" s="216"/>
      <c r="J269" s="215"/>
    </row>
    <row r="270" spans="8:10">
      <c r="H270" s="217">
        <f t="shared" si="4"/>
        <v>44545</v>
      </c>
      <c r="I270" s="216"/>
      <c r="J270" s="215"/>
    </row>
    <row r="271" spans="8:10">
      <c r="H271" s="217">
        <f t="shared" si="4"/>
        <v>44546</v>
      </c>
      <c r="I271" s="216"/>
      <c r="J271" s="215"/>
    </row>
    <row r="272" spans="8:10">
      <c r="H272" s="217">
        <f t="shared" si="4"/>
        <v>44547</v>
      </c>
      <c r="I272" s="216"/>
      <c r="J272" s="215"/>
    </row>
    <row r="273" spans="8:10">
      <c r="H273" s="217">
        <f t="shared" si="4"/>
        <v>44548</v>
      </c>
      <c r="I273" s="216"/>
      <c r="J273" s="215"/>
    </row>
    <row r="274" spans="8:10">
      <c r="H274" s="217">
        <f t="shared" si="4"/>
        <v>44549</v>
      </c>
      <c r="I274" s="216"/>
      <c r="J274" s="215"/>
    </row>
    <row r="275" spans="8:10">
      <c r="H275" s="217">
        <f t="shared" si="4"/>
        <v>44550</v>
      </c>
      <c r="I275" s="216"/>
      <c r="J275" s="215"/>
    </row>
    <row r="276" spans="8:10">
      <c r="H276" s="217">
        <f t="shared" si="4"/>
        <v>44551</v>
      </c>
      <c r="I276" s="216"/>
      <c r="J276" s="215"/>
    </row>
    <row r="277" spans="8:10">
      <c r="H277" s="217">
        <f t="shared" si="4"/>
        <v>44552</v>
      </c>
      <c r="I277" s="216"/>
      <c r="J277" s="215"/>
    </row>
    <row r="278" spans="8:10">
      <c r="H278" s="217">
        <f t="shared" si="4"/>
        <v>44553</v>
      </c>
      <c r="I278" s="216"/>
      <c r="J278" s="215"/>
    </row>
    <row r="279" spans="8:10">
      <c r="H279" s="217">
        <f t="shared" si="4"/>
        <v>44554</v>
      </c>
      <c r="I279" s="216"/>
      <c r="J279" s="215"/>
    </row>
    <row r="280" spans="8:10">
      <c r="H280" s="217">
        <f t="shared" si="4"/>
        <v>44555</v>
      </c>
      <c r="I280" s="216"/>
      <c r="J280" s="215"/>
    </row>
    <row r="281" spans="8:10">
      <c r="H281" s="217">
        <f t="shared" si="4"/>
        <v>44556</v>
      </c>
      <c r="I281" s="216"/>
      <c r="J281" s="215"/>
    </row>
    <row r="282" spans="8:10">
      <c r="H282" s="217">
        <f t="shared" si="4"/>
        <v>44557</v>
      </c>
      <c r="I282" s="216"/>
      <c r="J282" s="215"/>
    </row>
    <row r="283" spans="8:10">
      <c r="H283" s="217">
        <f t="shared" si="4"/>
        <v>44558</v>
      </c>
      <c r="I283" s="216"/>
      <c r="J283" s="215"/>
    </row>
    <row r="284" spans="8:10">
      <c r="H284" s="217">
        <f t="shared" si="4"/>
        <v>44559</v>
      </c>
      <c r="I284" s="216"/>
      <c r="J284" s="215"/>
    </row>
    <row r="285" spans="8:10">
      <c r="H285" s="217">
        <f t="shared" si="4"/>
        <v>44560</v>
      </c>
      <c r="I285" s="216"/>
      <c r="J285" s="215"/>
    </row>
    <row r="286" spans="8:10">
      <c r="H286" s="217">
        <f t="shared" si="4"/>
        <v>44561</v>
      </c>
      <c r="I286" s="216"/>
      <c r="J286" s="215"/>
    </row>
    <row r="287" spans="8:10">
      <c r="H287" s="217">
        <f t="shared" si="4"/>
        <v>44562</v>
      </c>
      <c r="I287" s="216"/>
      <c r="J287" s="215"/>
    </row>
    <row r="288" spans="8:10">
      <c r="H288" s="217">
        <f t="shared" si="4"/>
        <v>44563</v>
      </c>
      <c r="I288" s="216"/>
      <c r="J288" s="215"/>
    </row>
    <row r="289" spans="8:10">
      <c r="H289" s="217">
        <f t="shared" si="4"/>
        <v>44564</v>
      </c>
      <c r="I289" s="216"/>
      <c r="J289" s="215"/>
    </row>
    <row r="290" spans="8:10">
      <c r="H290" s="217">
        <f t="shared" si="4"/>
        <v>44565</v>
      </c>
      <c r="I290" s="216"/>
      <c r="J290" s="215"/>
    </row>
    <row r="291" spans="8:10">
      <c r="H291" s="217">
        <f t="shared" si="4"/>
        <v>44566</v>
      </c>
      <c r="I291" s="216"/>
      <c r="J291" s="215"/>
    </row>
    <row r="292" spans="8:10">
      <c r="H292" s="217">
        <f t="shared" si="4"/>
        <v>44567</v>
      </c>
      <c r="I292" s="216"/>
      <c r="J292" s="215"/>
    </row>
    <row r="293" spans="8:10">
      <c r="H293" s="217">
        <f t="shared" si="4"/>
        <v>44568</v>
      </c>
      <c r="I293" s="216"/>
      <c r="J293" s="215"/>
    </row>
    <row r="294" spans="8:10">
      <c r="H294" s="217">
        <f t="shared" si="4"/>
        <v>44569</v>
      </c>
      <c r="I294" s="216"/>
      <c r="J294" s="215"/>
    </row>
    <row r="295" spans="8:10">
      <c r="H295" s="217">
        <f t="shared" si="4"/>
        <v>44570</v>
      </c>
      <c r="I295" s="216"/>
      <c r="J295" s="215"/>
    </row>
    <row r="296" spans="8:10">
      <c r="H296" s="217">
        <f t="shared" si="4"/>
        <v>44571</v>
      </c>
      <c r="I296" s="216"/>
      <c r="J296" s="215"/>
    </row>
    <row r="297" spans="8:10">
      <c r="H297" s="217">
        <f t="shared" si="4"/>
        <v>44572</v>
      </c>
      <c r="I297" s="216"/>
      <c r="J297" s="215"/>
    </row>
    <row r="298" spans="8:10">
      <c r="H298" s="217">
        <f t="shared" si="4"/>
        <v>44573</v>
      </c>
      <c r="I298" s="216"/>
      <c r="J298" s="215"/>
    </row>
    <row r="299" spans="8:10">
      <c r="H299" s="217">
        <f t="shared" si="4"/>
        <v>44574</v>
      </c>
      <c r="I299" s="216"/>
      <c r="J299" s="215"/>
    </row>
    <row r="300" spans="8:10">
      <c r="H300" s="217">
        <f t="shared" si="4"/>
        <v>44575</v>
      </c>
      <c r="I300" s="216"/>
      <c r="J300" s="215"/>
    </row>
    <row r="301" spans="8:10">
      <c r="H301" s="217">
        <f t="shared" si="4"/>
        <v>44576</v>
      </c>
      <c r="I301" s="216"/>
      <c r="J301" s="215"/>
    </row>
    <row r="302" spans="8:10">
      <c r="H302" s="217">
        <f t="shared" si="4"/>
        <v>44577</v>
      </c>
      <c r="I302" s="216"/>
      <c r="J302" s="215"/>
    </row>
    <row r="303" spans="8:10">
      <c r="H303" s="217">
        <f t="shared" si="4"/>
        <v>44578</v>
      </c>
      <c r="I303" s="216"/>
      <c r="J303" s="215"/>
    </row>
    <row r="304" spans="8:10">
      <c r="H304" s="217">
        <f t="shared" si="4"/>
        <v>44579</v>
      </c>
      <c r="I304" s="216"/>
      <c r="J304" s="215"/>
    </row>
    <row r="305" spans="8:10">
      <c r="H305" s="217">
        <f t="shared" si="4"/>
        <v>44580</v>
      </c>
      <c r="I305" s="216"/>
      <c r="J305" s="215"/>
    </row>
    <row r="306" spans="8:10">
      <c r="H306" s="217">
        <f t="shared" si="4"/>
        <v>44581</v>
      </c>
      <c r="I306" s="216"/>
      <c r="J306" s="215"/>
    </row>
    <row r="307" spans="8:10">
      <c r="H307" s="217">
        <f t="shared" si="4"/>
        <v>44582</v>
      </c>
      <c r="I307" s="216"/>
      <c r="J307" s="215"/>
    </row>
    <row r="308" spans="8:10">
      <c r="H308" s="217">
        <f t="shared" si="4"/>
        <v>44583</v>
      </c>
      <c r="I308" s="216"/>
      <c r="J308" s="215"/>
    </row>
    <row r="309" spans="8:10">
      <c r="H309" s="217">
        <f t="shared" si="4"/>
        <v>44584</v>
      </c>
      <c r="I309" s="216"/>
      <c r="J309" s="215"/>
    </row>
    <row r="310" spans="8:10">
      <c r="H310" s="217">
        <f t="shared" si="4"/>
        <v>44585</v>
      </c>
      <c r="I310" s="216"/>
      <c r="J310" s="215"/>
    </row>
    <row r="311" spans="8:10">
      <c r="H311" s="217">
        <f t="shared" si="4"/>
        <v>44586</v>
      </c>
      <c r="I311" s="216"/>
      <c r="J311" s="215"/>
    </row>
    <row r="312" spans="8:10">
      <c r="H312" s="217">
        <f t="shared" si="4"/>
        <v>44587</v>
      </c>
      <c r="I312" s="216"/>
      <c r="J312" s="215"/>
    </row>
    <row r="313" spans="8:10">
      <c r="H313" s="217">
        <f t="shared" si="4"/>
        <v>44588</v>
      </c>
      <c r="I313" s="216"/>
      <c r="J313" s="215"/>
    </row>
    <row r="314" spans="8:10">
      <c r="H314" s="217">
        <f t="shared" si="4"/>
        <v>44589</v>
      </c>
      <c r="I314" s="216"/>
      <c r="J314" s="215"/>
    </row>
    <row r="315" spans="8:10">
      <c r="H315" s="217">
        <f t="shared" si="4"/>
        <v>44590</v>
      </c>
      <c r="I315" s="216"/>
      <c r="J315" s="215"/>
    </row>
    <row r="316" spans="8:10">
      <c r="H316" s="217">
        <f t="shared" si="4"/>
        <v>44591</v>
      </c>
      <c r="I316" s="216"/>
      <c r="J316" s="215"/>
    </row>
    <row r="317" spans="8:10">
      <c r="H317" s="217">
        <f t="shared" si="4"/>
        <v>44592</v>
      </c>
      <c r="I317" s="216"/>
      <c r="J317" s="215"/>
    </row>
    <row r="318" spans="8:10">
      <c r="H318" s="217">
        <f t="shared" si="4"/>
        <v>44593</v>
      </c>
      <c r="I318" s="216"/>
      <c r="J318" s="215"/>
    </row>
    <row r="319" spans="8:10">
      <c r="H319" s="217">
        <f t="shared" si="4"/>
        <v>44594</v>
      </c>
      <c r="I319" s="216"/>
      <c r="J319" s="215"/>
    </row>
    <row r="320" spans="8:10">
      <c r="H320" s="217">
        <f t="shared" si="4"/>
        <v>44595</v>
      </c>
      <c r="I320" s="216"/>
      <c r="J320" s="215"/>
    </row>
    <row r="321" spans="8:10">
      <c r="H321" s="217">
        <f t="shared" si="4"/>
        <v>44596</v>
      </c>
      <c r="I321" s="216"/>
      <c r="J321" s="215"/>
    </row>
    <row r="322" spans="8:10">
      <c r="H322" s="217">
        <f t="shared" si="4"/>
        <v>44597</v>
      </c>
      <c r="I322" s="216"/>
      <c r="J322" s="215"/>
    </row>
    <row r="323" spans="8:10">
      <c r="H323" s="217">
        <f t="shared" si="4"/>
        <v>44598</v>
      </c>
      <c r="I323" s="216"/>
      <c r="J323" s="215"/>
    </row>
    <row r="324" spans="8:10">
      <c r="H324" s="217">
        <f t="shared" si="4"/>
        <v>44599</v>
      </c>
      <c r="I324" s="216"/>
      <c r="J324" s="215"/>
    </row>
    <row r="325" spans="8:10">
      <c r="H325" s="217">
        <f t="shared" si="4"/>
        <v>44600</v>
      </c>
      <c r="I325" s="216"/>
      <c r="J325" s="215"/>
    </row>
    <row r="326" spans="8:10">
      <c r="H326" s="217">
        <f t="shared" si="4"/>
        <v>44601</v>
      </c>
      <c r="I326" s="216"/>
      <c r="J326" s="215"/>
    </row>
    <row r="327" spans="8:10">
      <c r="H327" s="217">
        <f t="shared" si="4"/>
        <v>44602</v>
      </c>
      <c r="I327" s="216"/>
      <c r="J327" s="215"/>
    </row>
    <row r="328" spans="8:10">
      <c r="H328" s="217">
        <f t="shared" si="4"/>
        <v>44603</v>
      </c>
      <c r="I328" s="216"/>
      <c r="J328" s="215"/>
    </row>
    <row r="329" spans="8:10">
      <c r="H329" s="217">
        <f t="shared" si="4"/>
        <v>44604</v>
      </c>
      <c r="I329" s="216"/>
      <c r="J329" s="215"/>
    </row>
    <row r="330" spans="8:10">
      <c r="H330" s="217">
        <f t="shared" si="4"/>
        <v>44605</v>
      </c>
      <c r="I330" s="216"/>
      <c r="J330" s="215"/>
    </row>
    <row r="331" spans="8:10">
      <c r="H331" s="217">
        <f t="shared" si="4"/>
        <v>44606</v>
      </c>
      <c r="I331" s="216"/>
      <c r="J331" s="215"/>
    </row>
    <row r="332" spans="8:10">
      <c r="H332" s="217">
        <f t="shared" si="4"/>
        <v>44607</v>
      </c>
      <c r="I332" s="216"/>
      <c r="J332" s="215"/>
    </row>
    <row r="333" spans="8:10">
      <c r="H333" s="217">
        <f t="shared" ref="H333:H376" si="5">H332+1</f>
        <v>44608</v>
      </c>
      <c r="I333" s="216"/>
      <c r="J333" s="215"/>
    </row>
    <row r="334" spans="8:10">
      <c r="H334" s="217">
        <f t="shared" si="5"/>
        <v>44609</v>
      </c>
      <c r="I334" s="216"/>
      <c r="J334" s="215"/>
    </row>
    <row r="335" spans="8:10">
      <c r="H335" s="217">
        <f t="shared" si="5"/>
        <v>44610</v>
      </c>
      <c r="I335" s="216"/>
      <c r="J335" s="215"/>
    </row>
    <row r="336" spans="8:10">
      <c r="H336" s="217">
        <f t="shared" si="5"/>
        <v>44611</v>
      </c>
      <c r="I336" s="216"/>
      <c r="J336" s="215"/>
    </row>
    <row r="337" spans="8:10">
      <c r="H337" s="217">
        <f t="shared" si="5"/>
        <v>44612</v>
      </c>
      <c r="I337" s="216"/>
      <c r="J337" s="215"/>
    </row>
    <row r="338" spans="8:10">
      <c r="H338" s="217">
        <f t="shared" si="5"/>
        <v>44613</v>
      </c>
      <c r="I338" s="216"/>
      <c r="J338" s="215"/>
    </row>
    <row r="339" spans="8:10">
      <c r="H339" s="217">
        <f t="shared" si="5"/>
        <v>44614</v>
      </c>
      <c r="I339" s="216"/>
      <c r="J339" s="215"/>
    </row>
    <row r="340" spans="8:10">
      <c r="H340" s="217">
        <f t="shared" si="5"/>
        <v>44615</v>
      </c>
      <c r="I340" s="216"/>
      <c r="J340" s="215"/>
    </row>
    <row r="341" spans="8:10">
      <c r="H341" s="217">
        <f t="shared" si="5"/>
        <v>44616</v>
      </c>
      <c r="I341" s="216"/>
      <c r="J341" s="215"/>
    </row>
    <row r="342" spans="8:10">
      <c r="H342" s="217">
        <f t="shared" si="5"/>
        <v>44617</v>
      </c>
      <c r="I342" s="216"/>
      <c r="J342" s="215"/>
    </row>
    <row r="343" spans="8:10">
      <c r="H343" s="217">
        <f t="shared" si="5"/>
        <v>44618</v>
      </c>
      <c r="I343" s="216"/>
      <c r="J343" s="215"/>
    </row>
    <row r="344" spans="8:10">
      <c r="H344" s="217">
        <f t="shared" si="5"/>
        <v>44619</v>
      </c>
      <c r="I344" s="216"/>
      <c r="J344" s="215"/>
    </row>
    <row r="345" spans="8:10">
      <c r="H345" s="217">
        <f t="shared" si="5"/>
        <v>44620</v>
      </c>
      <c r="I345" s="216"/>
      <c r="J345" s="215"/>
    </row>
    <row r="346" spans="8:10">
      <c r="H346" s="217">
        <f t="shared" si="5"/>
        <v>44621</v>
      </c>
      <c r="I346" s="216"/>
      <c r="J346" s="215"/>
    </row>
    <row r="347" spans="8:10">
      <c r="H347" s="217">
        <f t="shared" si="5"/>
        <v>44622</v>
      </c>
      <c r="I347" s="216"/>
      <c r="J347" s="215"/>
    </row>
    <row r="348" spans="8:10">
      <c r="H348" s="217">
        <f t="shared" si="5"/>
        <v>44623</v>
      </c>
      <c r="I348" s="216"/>
      <c r="J348" s="215"/>
    </row>
    <row r="349" spans="8:10">
      <c r="H349" s="217">
        <f t="shared" si="5"/>
        <v>44624</v>
      </c>
      <c r="I349" s="216"/>
      <c r="J349" s="215"/>
    </row>
    <row r="350" spans="8:10">
      <c r="H350" s="217">
        <f t="shared" si="5"/>
        <v>44625</v>
      </c>
      <c r="I350" s="216"/>
      <c r="J350" s="215"/>
    </row>
    <row r="351" spans="8:10">
      <c r="H351" s="217">
        <f t="shared" si="5"/>
        <v>44626</v>
      </c>
      <c r="I351" s="216"/>
      <c r="J351" s="215"/>
    </row>
    <row r="352" spans="8:10">
      <c r="H352" s="217">
        <f t="shared" si="5"/>
        <v>44627</v>
      </c>
      <c r="I352" s="216"/>
      <c r="J352" s="215"/>
    </row>
    <row r="353" spans="8:10">
      <c r="H353" s="217">
        <f t="shared" si="5"/>
        <v>44628</v>
      </c>
      <c r="I353" s="216"/>
      <c r="J353" s="215"/>
    </row>
    <row r="354" spans="8:10">
      <c r="H354" s="217">
        <f t="shared" si="5"/>
        <v>44629</v>
      </c>
      <c r="I354" s="216"/>
      <c r="J354" s="215"/>
    </row>
    <row r="355" spans="8:10">
      <c r="H355" s="217">
        <f t="shared" si="5"/>
        <v>44630</v>
      </c>
      <c r="I355" s="216"/>
      <c r="J355" s="215"/>
    </row>
    <row r="356" spans="8:10">
      <c r="H356" s="217">
        <f t="shared" si="5"/>
        <v>44631</v>
      </c>
      <c r="I356" s="216"/>
      <c r="J356" s="215"/>
    </row>
    <row r="357" spans="8:10">
      <c r="H357" s="217">
        <f t="shared" si="5"/>
        <v>44632</v>
      </c>
      <c r="I357" s="216"/>
      <c r="J357" s="215"/>
    </row>
    <row r="358" spans="8:10">
      <c r="H358" s="217">
        <f t="shared" si="5"/>
        <v>44633</v>
      </c>
      <c r="I358" s="216"/>
      <c r="J358" s="215"/>
    </row>
    <row r="359" spans="8:10">
      <c r="H359" s="217">
        <f t="shared" si="5"/>
        <v>44634</v>
      </c>
      <c r="I359" s="216"/>
      <c r="J359" s="215"/>
    </row>
    <row r="360" spans="8:10">
      <c r="H360" s="217">
        <f t="shared" si="5"/>
        <v>44635</v>
      </c>
      <c r="I360" s="216"/>
      <c r="J360" s="215"/>
    </row>
    <row r="361" spans="8:10">
      <c r="H361" s="217">
        <f t="shared" si="5"/>
        <v>44636</v>
      </c>
      <c r="I361" s="216"/>
      <c r="J361" s="215"/>
    </row>
    <row r="362" spans="8:10">
      <c r="H362" s="217">
        <f t="shared" si="5"/>
        <v>44637</v>
      </c>
      <c r="I362" s="216"/>
      <c r="J362" s="215"/>
    </row>
    <row r="363" spans="8:10">
      <c r="H363" s="217">
        <f t="shared" si="5"/>
        <v>44638</v>
      </c>
      <c r="I363" s="216"/>
      <c r="J363" s="215"/>
    </row>
    <row r="364" spans="8:10">
      <c r="H364" s="217">
        <f t="shared" si="5"/>
        <v>44639</v>
      </c>
      <c r="I364" s="216"/>
      <c r="J364" s="215"/>
    </row>
    <row r="365" spans="8:10">
      <c r="H365" s="217">
        <f t="shared" si="5"/>
        <v>44640</v>
      </c>
      <c r="I365" s="216"/>
      <c r="J365" s="215"/>
    </row>
    <row r="366" spans="8:10">
      <c r="H366" s="217">
        <f t="shared" si="5"/>
        <v>44641</v>
      </c>
      <c r="I366" s="216"/>
      <c r="J366" s="215"/>
    </row>
    <row r="367" spans="8:10">
      <c r="H367" s="217">
        <f t="shared" si="5"/>
        <v>44642</v>
      </c>
      <c r="I367" s="216"/>
      <c r="J367" s="215"/>
    </row>
    <row r="368" spans="8:10">
      <c r="H368" s="217">
        <f t="shared" si="5"/>
        <v>44643</v>
      </c>
      <c r="I368" s="216"/>
      <c r="J368" s="215"/>
    </row>
    <row r="369" spans="8:10">
      <c r="H369" s="217">
        <f t="shared" si="5"/>
        <v>44644</v>
      </c>
      <c r="I369" s="216"/>
      <c r="J369" s="215"/>
    </row>
    <row r="370" spans="8:10">
      <c r="H370" s="217">
        <f t="shared" si="5"/>
        <v>44645</v>
      </c>
      <c r="I370" s="216"/>
      <c r="J370" s="215"/>
    </row>
    <row r="371" spans="8:10">
      <c r="H371" s="217">
        <f t="shared" si="5"/>
        <v>44646</v>
      </c>
      <c r="I371" s="216"/>
      <c r="J371" s="215"/>
    </row>
    <row r="372" spans="8:10">
      <c r="H372" s="217">
        <f t="shared" si="5"/>
        <v>44647</v>
      </c>
      <c r="I372" s="216"/>
      <c r="J372" s="215"/>
    </row>
    <row r="373" spans="8:10">
      <c r="H373" s="217">
        <f t="shared" si="5"/>
        <v>44648</v>
      </c>
      <c r="I373" s="216"/>
      <c r="J373" s="215"/>
    </row>
    <row r="374" spans="8:10">
      <c r="H374" s="217">
        <f t="shared" si="5"/>
        <v>44649</v>
      </c>
      <c r="I374" s="216"/>
      <c r="J374" s="215"/>
    </row>
    <row r="375" spans="8:10">
      <c r="H375" s="217">
        <f t="shared" si="5"/>
        <v>44650</v>
      </c>
      <c r="I375" s="216"/>
      <c r="J375" s="215"/>
    </row>
    <row r="376" spans="8:10">
      <c r="H376" s="217">
        <f t="shared" si="5"/>
        <v>44651</v>
      </c>
      <c r="I376" s="216"/>
      <c r="J376" s="215"/>
    </row>
    <row r="377" spans="8:10" ht="13.15" thickBot="1">
      <c r="H377" s="214"/>
      <c r="I377" s="213"/>
      <c r="J377" s="212"/>
    </row>
  </sheetData>
  <mergeCells count="5">
    <mergeCell ref="H8:J8"/>
    <mergeCell ref="L8:M8"/>
    <mergeCell ref="B9:B11"/>
    <mergeCell ref="H9:H11"/>
    <mergeCell ref="B26:C30"/>
  </mergeCells>
  <pageMargins left="0.23622047244094491" right="0.23622047244094491" top="0.74803149606299213" bottom="0.74803149606299213" header="0.31496062992125984" footer="0.31496062992125984"/>
  <pageSetup paperSize="8" scale="42"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pane ySplit="4" topLeftCell="A5" activePane="bottomLeft" state="frozen"/>
      <selection activeCell="D31" sqref="D31"/>
      <selection pane="bottomLeft"/>
    </sheetView>
  </sheetViews>
  <sheetFormatPr defaultColWidth="10.265625" defaultRowHeight="12.75"/>
  <cols>
    <col min="1" max="1" width="5.86328125" style="151" customWidth="1"/>
    <col min="2" max="2" width="11.86328125" style="151" customWidth="1"/>
    <col min="3" max="3" width="20.265625" style="151" customWidth="1"/>
    <col min="4" max="4" width="14.73046875" style="151" customWidth="1"/>
    <col min="5" max="5" width="13.59765625" style="151" customWidth="1"/>
    <col min="6" max="6" width="1.86328125" style="151" customWidth="1"/>
    <col min="7" max="7" width="18.59765625" style="151" customWidth="1"/>
    <col min="8" max="8" width="19.265625" style="241" customWidth="1"/>
    <col min="9" max="9" width="18.73046875" style="151" customWidth="1"/>
    <col min="10" max="10" width="16.1328125" style="151" customWidth="1"/>
    <col min="11" max="11" width="14.1328125" style="151" customWidth="1"/>
    <col min="12" max="12" width="12.1328125" style="151" customWidth="1"/>
    <col min="13" max="16384" width="10.265625" style="151"/>
  </cols>
  <sheetData>
    <row r="1" spans="1:23" s="73" customFormat="1" ht="23.25">
      <c r="A1" s="89" t="str">
        <f>'1.1 Cover'!A2</f>
        <v>Regulatory Reporting Pack</v>
      </c>
    </row>
    <row r="2" spans="1:23" s="73" customFormat="1" ht="23.25">
      <c r="A2" s="89" t="str">
        <f>'1.1 Cover'!A3</f>
        <v>Price base - 2018/19</v>
      </c>
    </row>
    <row r="3" spans="1:23" s="73" customFormat="1" ht="23.25">
      <c r="A3" s="89" t="str">
        <f>'1.1 Cover'!A4</f>
        <v>Regulatory Year: April 2021 - March 2022</v>
      </c>
    </row>
    <row r="4" spans="1:23" s="73" customFormat="1" ht="23.25">
      <c r="A4" s="89" t="s">
        <v>1325</v>
      </c>
    </row>
    <row r="5" spans="1:23" s="310" customFormat="1" ht="15">
      <c r="F5" s="311"/>
      <c r="G5" s="312"/>
      <c r="H5" s="313"/>
      <c r="I5" s="313"/>
      <c r="J5" s="313"/>
      <c r="K5" s="313"/>
      <c r="L5" s="313"/>
      <c r="M5" s="313"/>
      <c r="N5" s="313"/>
      <c r="O5" s="313"/>
      <c r="P5" s="313"/>
      <c r="Q5" s="313"/>
      <c r="R5" s="313"/>
      <c r="S5" s="313"/>
      <c r="T5" s="313"/>
      <c r="U5" s="313"/>
      <c r="V5" s="313"/>
      <c r="W5" s="313"/>
    </row>
    <row r="6" spans="1:23" s="310" customFormat="1" ht="15">
      <c r="F6" s="311"/>
      <c r="G6" s="312"/>
      <c r="H6" s="313"/>
      <c r="I6" s="313"/>
      <c r="J6" s="313"/>
      <c r="K6" s="313"/>
      <c r="L6" s="313"/>
      <c r="M6" s="313"/>
      <c r="N6" s="313"/>
      <c r="O6" s="313"/>
      <c r="P6" s="313"/>
      <c r="Q6" s="313"/>
      <c r="R6" s="313"/>
      <c r="S6" s="313"/>
      <c r="T6" s="313"/>
      <c r="U6" s="313"/>
      <c r="V6" s="313"/>
      <c r="W6" s="313"/>
    </row>
    <row r="7" spans="1:23" s="310" customFormat="1" ht="15">
      <c r="F7" s="313"/>
      <c r="H7" s="313"/>
      <c r="I7" s="313"/>
      <c r="J7" s="313"/>
      <c r="K7" s="313"/>
      <c r="L7" s="313"/>
      <c r="M7" s="313"/>
      <c r="N7" s="313"/>
      <c r="O7" s="313"/>
      <c r="P7" s="313"/>
      <c r="Q7" s="313"/>
      <c r="R7" s="313"/>
      <c r="S7" s="313"/>
      <c r="T7" s="313"/>
      <c r="U7" s="313"/>
      <c r="V7" s="313"/>
      <c r="W7" s="313"/>
    </row>
    <row r="8" spans="1:23" ht="65.650000000000006">
      <c r="A8" s="246"/>
      <c r="B8" s="1427" t="s">
        <v>1210</v>
      </c>
      <c r="C8" s="248" t="s">
        <v>1231</v>
      </c>
      <c r="D8" s="248" t="s">
        <v>1230</v>
      </c>
      <c r="E8" s="248" t="s">
        <v>1229</v>
      </c>
      <c r="F8" s="159"/>
      <c r="G8" s="252" t="s">
        <v>1228</v>
      </c>
      <c r="H8" s="252" t="s">
        <v>1227</v>
      </c>
      <c r="I8" s="253" t="s">
        <v>1226</v>
      </c>
      <c r="J8" s="253" t="s">
        <v>1225</v>
      </c>
      <c r="K8" s="248" t="s">
        <v>1224</v>
      </c>
      <c r="L8" s="252" t="s">
        <v>1223</v>
      </c>
    </row>
    <row r="9" spans="1:23" ht="14.65">
      <c r="A9" s="246"/>
      <c r="B9" s="1428"/>
      <c r="C9" s="250" t="s">
        <v>1222</v>
      </c>
      <c r="D9" s="250" t="s">
        <v>1221</v>
      </c>
      <c r="E9" s="250" t="s">
        <v>1216</v>
      </c>
      <c r="F9" s="159"/>
      <c r="G9" s="251" t="s">
        <v>1220</v>
      </c>
      <c r="H9" s="251" t="s">
        <v>1219</v>
      </c>
      <c r="I9" s="249" t="s">
        <v>1218</v>
      </c>
      <c r="J9" s="249" t="s">
        <v>1217</v>
      </c>
      <c r="K9" s="250" t="s">
        <v>1216</v>
      </c>
      <c r="L9" s="249" t="s">
        <v>1215</v>
      </c>
    </row>
    <row r="10" spans="1:23" ht="13.15">
      <c r="A10" s="246"/>
      <c r="B10" s="1429"/>
      <c r="C10" s="248" t="s">
        <v>1173</v>
      </c>
      <c r="D10" s="248" t="s">
        <v>1173</v>
      </c>
      <c r="E10" s="248" t="s">
        <v>1173</v>
      </c>
      <c r="F10" s="159"/>
      <c r="G10" s="247" t="s">
        <v>1173</v>
      </c>
      <c r="H10" s="247" t="s">
        <v>1173</v>
      </c>
      <c r="I10" s="247" t="s">
        <v>1173</v>
      </c>
      <c r="J10" s="247" t="s">
        <v>1173</v>
      </c>
      <c r="K10" s="248" t="s">
        <v>1173</v>
      </c>
      <c r="L10" s="247" t="s">
        <v>1173</v>
      </c>
    </row>
    <row r="11" spans="1:23" ht="13.15">
      <c r="A11" s="246"/>
      <c r="B11" s="245">
        <v>44287</v>
      </c>
      <c r="C11" s="244"/>
      <c r="D11" s="244"/>
      <c r="E11" s="244"/>
      <c r="F11" s="159"/>
      <c r="G11" s="244"/>
      <c r="H11" s="455"/>
      <c r="I11" s="455"/>
      <c r="J11" s="455"/>
      <c r="K11" s="455"/>
      <c r="L11" s="455"/>
    </row>
    <row r="12" spans="1:23">
      <c r="A12" s="246"/>
      <c r="B12" s="245">
        <f t="shared" ref="B12:B75" si="0">B11+1</f>
        <v>44288</v>
      </c>
      <c r="C12" s="244"/>
      <c r="D12" s="244"/>
      <c r="E12" s="244"/>
      <c r="F12" s="606"/>
      <c r="G12" s="606"/>
      <c r="H12" s="606"/>
      <c r="I12" s="606"/>
      <c r="J12" s="606"/>
      <c r="K12" s="606"/>
      <c r="L12" s="606"/>
    </row>
    <row r="13" spans="1:23">
      <c r="A13" s="246"/>
      <c r="B13" s="245">
        <f t="shared" si="0"/>
        <v>44289</v>
      </c>
      <c r="C13" s="244"/>
      <c r="D13" s="244"/>
      <c r="E13" s="244"/>
      <c r="F13" s="606"/>
      <c r="G13" s="606"/>
      <c r="H13" s="606"/>
      <c r="I13" s="606"/>
      <c r="J13" s="606"/>
      <c r="K13" s="606"/>
      <c r="L13" s="606"/>
    </row>
    <row r="14" spans="1:23">
      <c r="A14" s="246"/>
      <c r="B14" s="245">
        <f t="shared" si="0"/>
        <v>44290</v>
      </c>
      <c r="C14" s="244"/>
      <c r="D14" s="244"/>
      <c r="E14" s="244"/>
      <c r="F14" s="606"/>
      <c r="G14" s="606"/>
      <c r="H14" s="606"/>
      <c r="I14" s="606"/>
      <c r="J14" s="606"/>
      <c r="K14" s="606"/>
      <c r="L14" s="606"/>
    </row>
    <row r="15" spans="1:23">
      <c r="A15" s="246"/>
      <c r="B15" s="245">
        <f t="shared" si="0"/>
        <v>44291</v>
      </c>
      <c r="C15" s="244"/>
      <c r="D15" s="244"/>
      <c r="E15" s="244"/>
      <c r="F15" s="606"/>
      <c r="G15" s="606"/>
      <c r="H15" s="606"/>
      <c r="I15" s="606"/>
      <c r="J15" s="606"/>
      <c r="K15" s="606"/>
      <c r="L15" s="606"/>
    </row>
    <row r="16" spans="1:23">
      <c r="A16" s="246"/>
      <c r="B16" s="245">
        <f t="shared" si="0"/>
        <v>44292</v>
      </c>
      <c r="C16" s="244"/>
      <c r="D16" s="244"/>
      <c r="E16" s="244"/>
      <c r="F16" s="606"/>
      <c r="G16" s="606"/>
      <c r="H16" s="606"/>
      <c r="I16" s="606"/>
      <c r="J16" s="606"/>
      <c r="K16" s="606"/>
      <c r="L16" s="606"/>
    </row>
    <row r="17" spans="1:12">
      <c r="A17" s="246"/>
      <c r="B17" s="245">
        <f t="shared" si="0"/>
        <v>44293</v>
      </c>
      <c r="C17" s="244"/>
      <c r="D17" s="244"/>
      <c r="E17" s="244"/>
      <c r="F17" s="606"/>
      <c r="G17" s="606"/>
      <c r="H17" s="606"/>
      <c r="I17" s="606"/>
      <c r="J17" s="606"/>
      <c r="K17" s="606"/>
      <c r="L17" s="606"/>
    </row>
    <row r="18" spans="1:12">
      <c r="A18" s="246"/>
      <c r="B18" s="245">
        <f t="shared" si="0"/>
        <v>44294</v>
      </c>
      <c r="C18" s="244"/>
      <c r="D18" s="244"/>
      <c r="E18" s="244"/>
      <c r="F18" s="606"/>
      <c r="G18" s="606"/>
      <c r="H18" s="606"/>
      <c r="I18" s="606"/>
      <c r="J18" s="606"/>
      <c r="K18" s="606"/>
      <c r="L18" s="606"/>
    </row>
    <row r="19" spans="1:12">
      <c r="A19" s="246"/>
      <c r="B19" s="245">
        <f t="shared" si="0"/>
        <v>44295</v>
      </c>
      <c r="C19" s="244"/>
      <c r="D19" s="244"/>
      <c r="E19" s="244"/>
      <c r="F19" s="606"/>
      <c r="G19" s="606"/>
      <c r="H19" s="606"/>
      <c r="I19" s="606"/>
      <c r="J19" s="606"/>
      <c r="K19" s="606"/>
      <c r="L19" s="606"/>
    </row>
    <row r="20" spans="1:12">
      <c r="A20" s="246"/>
      <c r="B20" s="245">
        <f t="shared" si="0"/>
        <v>44296</v>
      </c>
      <c r="C20" s="244"/>
      <c r="D20" s="244"/>
      <c r="E20" s="244"/>
      <c r="F20" s="606"/>
      <c r="G20" s="606"/>
      <c r="H20" s="606"/>
      <c r="I20" s="606"/>
      <c r="J20" s="606"/>
      <c r="K20" s="606"/>
      <c r="L20" s="606"/>
    </row>
    <row r="21" spans="1:12">
      <c r="A21" s="246"/>
      <c r="B21" s="245">
        <f t="shared" si="0"/>
        <v>44297</v>
      </c>
      <c r="C21" s="244"/>
      <c r="D21" s="244"/>
      <c r="E21" s="244"/>
      <c r="F21" s="606"/>
      <c r="G21" s="606"/>
      <c r="H21" s="606"/>
      <c r="I21" s="606"/>
      <c r="J21" s="606"/>
      <c r="K21" s="606"/>
      <c r="L21" s="606"/>
    </row>
    <row r="22" spans="1:12">
      <c r="A22" s="246"/>
      <c r="B22" s="245">
        <f t="shared" si="0"/>
        <v>44298</v>
      </c>
      <c r="C22" s="244"/>
      <c r="D22" s="244"/>
      <c r="E22" s="244"/>
      <c r="F22" s="606"/>
      <c r="G22" s="606"/>
      <c r="H22" s="606"/>
      <c r="I22" s="606"/>
      <c r="J22" s="606"/>
      <c r="K22" s="606"/>
      <c r="L22" s="606"/>
    </row>
    <row r="23" spans="1:12">
      <c r="A23" s="246"/>
      <c r="B23" s="245">
        <f t="shared" si="0"/>
        <v>44299</v>
      </c>
      <c r="C23" s="244"/>
      <c r="D23" s="244"/>
      <c r="E23" s="244"/>
      <c r="F23" s="606"/>
      <c r="G23" s="606"/>
      <c r="H23" s="606"/>
      <c r="I23" s="606"/>
      <c r="J23" s="606"/>
      <c r="K23" s="606"/>
      <c r="L23" s="606"/>
    </row>
    <row r="24" spans="1:12">
      <c r="A24" s="246"/>
      <c r="B24" s="245">
        <f t="shared" si="0"/>
        <v>44300</v>
      </c>
      <c r="C24" s="244"/>
      <c r="D24" s="244"/>
      <c r="E24" s="244"/>
      <c r="F24" s="606"/>
      <c r="G24" s="606"/>
      <c r="H24" s="606"/>
      <c r="I24" s="606"/>
      <c r="J24" s="606"/>
      <c r="K24" s="606"/>
      <c r="L24" s="606"/>
    </row>
    <row r="25" spans="1:12">
      <c r="A25" s="246"/>
      <c r="B25" s="245">
        <f t="shared" si="0"/>
        <v>44301</v>
      </c>
      <c r="C25" s="244"/>
      <c r="D25" s="244"/>
      <c r="E25" s="244"/>
      <c r="F25" s="606"/>
      <c r="G25" s="606"/>
      <c r="H25" s="606"/>
      <c r="I25" s="606"/>
      <c r="J25" s="606"/>
      <c r="K25" s="606"/>
      <c r="L25" s="606"/>
    </row>
    <row r="26" spans="1:12">
      <c r="A26" s="246"/>
      <c r="B26" s="245">
        <f t="shared" si="0"/>
        <v>44302</v>
      </c>
      <c r="C26" s="244"/>
      <c r="D26" s="244"/>
      <c r="E26" s="244"/>
      <c r="F26" s="606"/>
      <c r="G26" s="606"/>
      <c r="H26" s="606"/>
      <c r="I26" s="606"/>
      <c r="J26" s="606"/>
      <c r="K26" s="606"/>
      <c r="L26" s="606"/>
    </row>
    <row r="27" spans="1:12">
      <c r="A27" s="246"/>
      <c r="B27" s="245">
        <f t="shared" si="0"/>
        <v>44303</v>
      </c>
      <c r="C27" s="244"/>
      <c r="D27" s="244"/>
      <c r="E27" s="244"/>
      <c r="F27" s="606"/>
      <c r="G27" s="606"/>
      <c r="H27" s="606"/>
      <c r="I27" s="606"/>
      <c r="J27" s="606"/>
      <c r="K27" s="606"/>
      <c r="L27" s="606"/>
    </row>
    <row r="28" spans="1:12">
      <c r="A28" s="246"/>
      <c r="B28" s="245">
        <f t="shared" si="0"/>
        <v>44304</v>
      </c>
      <c r="C28" s="244"/>
      <c r="D28" s="244"/>
      <c r="E28" s="244"/>
      <c r="F28" s="606"/>
      <c r="G28" s="606"/>
      <c r="H28" s="606"/>
      <c r="I28" s="606"/>
      <c r="J28" s="606"/>
      <c r="K28" s="606"/>
      <c r="L28" s="606"/>
    </row>
    <row r="29" spans="1:12">
      <c r="A29" s="246"/>
      <c r="B29" s="245">
        <f t="shared" si="0"/>
        <v>44305</v>
      </c>
      <c r="C29" s="244"/>
      <c r="D29" s="244"/>
      <c r="E29" s="244"/>
      <c r="F29" s="606"/>
      <c r="G29" s="606"/>
      <c r="H29" s="606"/>
      <c r="I29" s="606"/>
      <c r="J29" s="606"/>
      <c r="K29" s="606"/>
      <c r="L29" s="606"/>
    </row>
    <row r="30" spans="1:12">
      <c r="A30" s="246"/>
      <c r="B30" s="245">
        <f t="shared" si="0"/>
        <v>44306</v>
      </c>
      <c r="C30" s="244"/>
      <c r="D30" s="244"/>
      <c r="E30" s="244"/>
      <c r="F30" s="606"/>
      <c r="G30" s="606"/>
      <c r="H30" s="606"/>
      <c r="I30" s="606"/>
      <c r="J30" s="606"/>
      <c r="K30" s="606"/>
      <c r="L30" s="606"/>
    </row>
    <row r="31" spans="1:12">
      <c r="A31" s="246"/>
      <c r="B31" s="245">
        <f t="shared" si="0"/>
        <v>44307</v>
      </c>
      <c r="C31" s="244"/>
      <c r="D31" s="244"/>
      <c r="E31" s="244"/>
      <c r="F31" s="606"/>
      <c r="G31" s="606"/>
      <c r="H31" s="606"/>
      <c r="I31" s="606"/>
      <c r="J31" s="606"/>
      <c r="K31" s="606"/>
      <c r="L31" s="606"/>
    </row>
    <row r="32" spans="1:12">
      <c r="A32" s="246"/>
      <c r="B32" s="245">
        <f t="shared" si="0"/>
        <v>44308</v>
      </c>
      <c r="C32" s="244"/>
      <c r="D32" s="244"/>
      <c r="E32" s="244"/>
      <c r="F32" s="606"/>
      <c r="G32" s="606"/>
      <c r="H32" s="606"/>
      <c r="I32" s="606"/>
      <c r="J32" s="606"/>
      <c r="K32" s="606"/>
      <c r="L32" s="606"/>
    </row>
    <row r="33" spans="1:12">
      <c r="A33" s="246"/>
      <c r="B33" s="245">
        <f t="shared" si="0"/>
        <v>44309</v>
      </c>
      <c r="C33" s="244"/>
      <c r="D33" s="244"/>
      <c r="E33" s="244"/>
      <c r="F33" s="606"/>
      <c r="G33" s="606"/>
      <c r="H33" s="606"/>
      <c r="I33" s="606"/>
      <c r="J33" s="606"/>
      <c r="K33" s="606"/>
      <c r="L33" s="606"/>
    </row>
    <row r="34" spans="1:12">
      <c r="A34" s="246"/>
      <c r="B34" s="245">
        <f t="shared" si="0"/>
        <v>44310</v>
      </c>
      <c r="C34" s="244"/>
      <c r="D34" s="244"/>
      <c r="E34" s="244"/>
      <c r="F34" s="606"/>
      <c r="G34" s="606"/>
      <c r="H34" s="606"/>
      <c r="I34" s="606"/>
      <c r="J34" s="606"/>
      <c r="K34" s="606"/>
      <c r="L34" s="606"/>
    </row>
    <row r="35" spans="1:12">
      <c r="A35" s="246"/>
      <c r="B35" s="245">
        <f t="shared" si="0"/>
        <v>44311</v>
      </c>
      <c r="C35" s="244"/>
      <c r="D35" s="244"/>
      <c r="E35" s="244"/>
      <c r="F35" s="606"/>
      <c r="G35" s="606"/>
      <c r="H35" s="606"/>
      <c r="I35" s="606"/>
      <c r="J35" s="606"/>
      <c r="K35" s="606"/>
      <c r="L35" s="606"/>
    </row>
    <row r="36" spans="1:12">
      <c r="A36" s="246"/>
      <c r="B36" s="245">
        <f t="shared" si="0"/>
        <v>44312</v>
      </c>
      <c r="C36" s="244"/>
      <c r="D36" s="244"/>
      <c r="E36" s="244"/>
      <c r="F36" s="606"/>
      <c r="G36" s="606"/>
      <c r="H36" s="606"/>
      <c r="I36" s="606"/>
      <c r="J36" s="606"/>
      <c r="K36" s="606"/>
      <c r="L36" s="606"/>
    </row>
    <row r="37" spans="1:12">
      <c r="A37" s="246"/>
      <c r="B37" s="245">
        <f t="shared" si="0"/>
        <v>44313</v>
      </c>
      <c r="C37" s="244"/>
      <c r="D37" s="244"/>
      <c r="E37" s="244"/>
      <c r="F37" s="606"/>
      <c r="G37" s="606"/>
      <c r="H37" s="606"/>
      <c r="I37" s="606"/>
      <c r="J37" s="606"/>
      <c r="K37" s="606"/>
      <c r="L37" s="606"/>
    </row>
    <row r="38" spans="1:12">
      <c r="A38" s="246"/>
      <c r="B38" s="245">
        <f t="shared" si="0"/>
        <v>44314</v>
      </c>
      <c r="C38" s="244"/>
      <c r="D38" s="244"/>
      <c r="E38" s="244"/>
      <c r="F38" s="606"/>
      <c r="G38" s="606"/>
      <c r="H38" s="606"/>
      <c r="I38" s="606"/>
      <c r="J38" s="606"/>
      <c r="K38" s="606"/>
      <c r="L38" s="606"/>
    </row>
    <row r="39" spans="1:12">
      <c r="A39" s="246"/>
      <c r="B39" s="245">
        <f t="shared" si="0"/>
        <v>44315</v>
      </c>
      <c r="C39" s="244"/>
      <c r="D39" s="244"/>
      <c r="E39" s="244"/>
      <c r="F39" s="606"/>
      <c r="G39" s="606"/>
      <c r="H39" s="606"/>
      <c r="I39" s="606"/>
      <c r="J39" s="606"/>
      <c r="K39" s="606"/>
      <c r="L39" s="606"/>
    </row>
    <row r="40" spans="1:12">
      <c r="A40" s="246"/>
      <c r="B40" s="245">
        <f t="shared" si="0"/>
        <v>44316</v>
      </c>
      <c r="C40" s="244"/>
      <c r="D40" s="244"/>
      <c r="E40" s="244"/>
      <c r="F40" s="606"/>
      <c r="G40" s="606"/>
      <c r="H40" s="606"/>
      <c r="I40" s="606"/>
      <c r="J40" s="606"/>
      <c r="K40" s="606"/>
      <c r="L40" s="606"/>
    </row>
    <row r="41" spans="1:12">
      <c r="A41" s="246"/>
      <c r="B41" s="245">
        <f t="shared" si="0"/>
        <v>44317</v>
      </c>
      <c r="C41" s="244"/>
      <c r="D41" s="244"/>
      <c r="E41" s="244"/>
      <c r="F41" s="606"/>
      <c r="G41" s="606"/>
      <c r="H41" s="606"/>
      <c r="I41" s="606"/>
      <c r="J41" s="606"/>
      <c r="K41" s="606"/>
      <c r="L41" s="606"/>
    </row>
    <row r="42" spans="1:12">
      <c r="A42" s="246"/>
      <c r="B42" s="245">
        <f t="shared" si="0"/>
        <v>44318</v>
      </c>
      <c r="C42" s="244"/>
      <c r="D42" s="244"/>
      <c r="E42" s="244"/>
      <c r="F42" s="606"/>
      <c r="G42" s="606"/>
      <c r="H42" s="606"/>
      <c r="I42" s="606"/>
      <c r="J42" s="606"/>
      <c r="K42" s="606"/>
      <c r="L42" s="606"/>
    </row>
    <row r="43" spans="1:12">
      <c r="A43" s="246"/>
      <c r="B43" s="245">
        <f t="shared" si="0"/>
        <v>44319</v>
      </c>
      <c r="C43" s="244"/>
      <c r="D43" s="244"/>
      <c r="E43" s="244"/>
      <c r="F43" s="606"/>
      <c r="G43" s="606"/>
      <c r="H43" s="606"/>
      <c r="I43" s="606"/>
      <c r="J43" s="606"/>
      <c r="K43" s="606"/>
      <c r="L43" s="606"/>
    </row>
    <row r="44" spans="1:12">
      <c r="A44" s="246"/>
      <c r="B44" s="245">
        <f t="shared" si="0"/>
        <v>44320</v>
      </c>
      <c r="C44" s="244"/>
      <c r="D44" s="244"/>
      <c r="E44" s="244"/>
      <c r="F44" s="606"/>
      <c r="G44" s="606"/>
      <c r="H44" s="606"/>
      <c r="I44" s="606"/>
      <c r="J44" s="606"/>
      <c r="K44" s="606"/>
      <c r="L44" s="606"/>
    </row>
    <row r="45" spans="1:12">
      <c r="B45" s="245">
        <f t="shared" si="0"/>
        <v>44321</v>
      </c>
      <c r="C45" s="244"/>
      <c r="D45" s="244"/>
      <c r="E45" s="244"/>
      <c r="F45" s="606"/>
      <c r="G45" s="606"/>
      <c r="H45" s="606"/>
      <c r="I45" s="606"/>
      <c r="J45" s="606"/>
      <c r="K45" s="606"/>
      <c r="L45" s="606"/>
    </row>
    <row r="46" spans="1:12">
      <c r="B46" s="245">
        <f t="shared" si="0"/>
        <v>44322</v>
      </c>
      <c r="C46" s="244"/>
      <c r="D46" s="244"/>
      <c r="E46" s="244"/>
      <c r="F46" s="606"/>
      <c r="G46" s="606"/>
      <c r="H46" s="606"/>
      <c r="I46" s="606"/>
      <c r="J46" s="606"/>
      <c r="K46" s="606"/>
      <c r="L46" s="606"/>
    </row>
    <row r="47" spans="1:12">
      <c r="B47" s="245">
        <f t="shared" si="0"/>
        <v>44323</v>
      </c>
      <c r="C47" s="244"/>
      <c r="D47" s="244"/>
      <c r="E47" s="244"/>
      <c r="F47" s="606"/>
      <c r="G47" s="606"/>
      <c r="H47" s="606"/>
      <c r="I47" s="606"/>
      <c r="J47" s="606"/>
      <c r="K47" s="606"/>
      <c r="L47" s="606"/>
    </row>
    <row r="48" spans="1:12">
      <c r="B48" s="245">
        <f t="shared" si="0"/>
        <v>44324</v>
      </c>
      <c r="C48" s="244"/>
      <c r="D48" s="244"/>
      <c r="E48" s="244"/>
      <c r="F48" s="606"/>
      <c r="G48" s="606"/>
      <c r="H48" s="606"/>
      <c r="I48" s="606"/>
      <c r="J48" s="606"/>
      <c r="K48" s="606"/>
      <c r="L48" s="606"/>
    </row>
    <row r="49" spans="2:12">
      <c r="B49" s="245">
        <f t="shared" si="0"/>
        <v>44325</v>
      </c>
      <c r="C49" s="244"/>
      <c r="D49" s="244"/>
      <c r="E49" s="244"/>
      <c r="F49" s="606"/>
      <c r="G49" s="606"/>
      <c r="H49" s="606"/>
      <c r="I49" s="606"/>
      <c r="J49" s="606"/>
      <c r="K49" s="606"/>
      <c r="L49" s="606"/>
    </row>
    <row r="50" spans="2:12">
      <c r="B50" s="245">
        <f t="shared" si="0"/>
        <v>44326</v>
      </c>
      <c r="C50" s="244"/>
      <c r="D50" s="244"/>
      <c r="E50" s="244"/>
      <c r="F50" s="606"/>
      <c r="G50" s="606"/>
      <c r="H50" s="606"/>
      <c r="I50" s="606"/>
      <c r="J50" s="606"/>
      <c r="K50" s="606"/>
      <c r="L50" s="606"/>
    </row>
    <row r="51" spans="2:12">
      <c r="B51" s="245">
        <f t="shared" si="0"/>
        <v>44327</v>
      </c>
      <c r="C51" s="244"/>
      <c r="D51" s="244"/>
      <c r="E51" s="244"/>
      <c r="F51" s="606"/>
      <c r="G51" s="606"/>
      <c r="H51" s="606"/>
      <c r="I51" s="606"/>
      <c r="J51" s="606"/>
      <c r="K51" s="606"/>
      <c r="L51" s="606"/>
    </row>
    <row r="52" spans="2:12">
      <c r="B52" s="245">
        <f t="shared" si="0"/>
        <v>44328</v>
      </c>
      <c r="C52" s="244"/>
      <c r="D52" s="244"/>
      <c r="E52" s="244"/>
      <c r="F52" s="606"/>
      <c r="G52" s="606"/>
      <c r="H52" s="606"/>
      <c r="I52" s="606"/>
      <c r="J52" s="606"/>
      <c r="K52" s="606"/>
      <c r="L52" s="606"/>
    </row>
    <row r="53" spans="2:12">
      <c r="B53" s="245">
        <f t="shared" si="0"/>
        <v>44329</v>
      </c>
      <c r="C53" s="244"/>
      <c r="D53" s="244"/>
      <c r="E53" s="244"/>
      <c r="F53" s="606"/>
      <c r="G53" s="606"/>
      <c r="H53" s="606"/>
      <c r="I53" s="606"/>
      <c r="J53" s="606"/>
      <c r="K53" s="606"/>
      <c r="L53" s="606"/>
    </row>
    <row r="54" spans="2:12">
      <c r="B54" s="245">
        <f t="shared" si="0"/>
        <v>44330</v>
      </c>
      <c r="C54" s="244"/>
      <c r="D54" s="244"/>
      <c r="E54" s="244"/>
      <c r="F54" s="606"/>
      <c r="G54" s="606"/>
      <c r="H54" s="606"/>
      <c r="I54" s="606"/>
      <c r="J54" s="606"/>
      <c r="K54" s="606"/>
      <c r="L54" s="606"/>
    </row>
    <row r="55" spans="2:12">
      <c r="B55" s="245">
        <f t="shared" si="0"/>
        <v>44331</v>
      </c>
      <c r="C55" s="244"/>
      <c r="D55" s="244"/>
      <c r="E55" s="244"/>
      <c r="F55" s="606"/>
      <c r="G55" s="606"/>
      <c r="H55" s="606"/>
      <c r="I55" s="606"/>
      <c r="J55" s="606"/>
      <c r="K55" s="606"/>
      <c r="L55" s="606"/>
    </row>
    <row r="56" spans="2:12">
      <c r="B56" s="245">
        <f t="shared" si="0"/>
        <v>44332</v>
      </c>
      <c r="C56" s="244"/>
      <c r="D56" s="244"/>
      <c r="E56" s="244"/>
      <c r="F56" s="606"/>
      <c r="G56" s="606"/>
      <c r="H56" s="606"/>
      <c r="I56" s="606"/>
      <c r="J56" s="606"/>
      <c r="K56" s="606"/>
      <c r="L56" s="606"/>
    </row>
    <row r="57" spans="2:12">
      <c r="B57" s="245">
        <f t="shared" si="0"/>
        <v>44333</v>
      </c>
      <c r="C57" s="244"/>
      <c r="D57" s="244"/>
      <c r="E57" s="244"/>
      <c r="F57" s="606"/>
      <c r="G57" s="606"/>
      <c r="H57" s="606"/>
      <c r="I57" s="606"/>
      <c r="J57" s="606"/>
      <c r="K57" s="606"/>
      <c r="L57" s="606"/>
    </row>
    <row r="58" spans="2:12">
      <c r="B58" s="245">
        <f t="shared" si="0"/>
        <v>44334</v>
      </c>
      <c r="C58" s="244"/>
      <c r="D58" s="244"/>
      <c r="E58" s="244"/>
      <c r="F58" s="606"/>
      <c r="G58" s="606"/>
      <c r="H58" s="606"/>
      <c r="I58" s="606"/>
      <c r="J58" s="606"/>
      <c r="K58" s="606"/>
      <c r="L58" s="606"/>
    </row>
    <row r="59" spans="2:12">
      <c r="B59" s="245">
        <f t="shared" si="0"/>
        <v>44335</v>
      </c>
      <c r="C59" s="244"/>
      <c r="D59" s="244"/>
      <c r="E59" s="244"/>
      <c r="F59" s="606"/>
      <c r="G59" s="606"/>
      <c r="H59" s="606"/>
      <c r="I59" s="606"/>
      <c r="J59" s="606"/>
      <c r="K59" s="606"/>
      <c r="L59" s="606"/>
    </row>
    <row r="60" spans="2:12">
      <c r="B60" s="245">
        <f t="shared" si="0"/>
        <v>44336</v>
      </c>
      <c r="C60" s="244"/>
      <c r="D60" s="244"/>
      <c r="E60" s="244"/>
      <c r="F60" s="606"/>
      <c r="G60" s="606"/>
      <c r="H60" s="606"/>
      <c r="I60" s="606"/>
      <c r="J60" s="606"/>
      <c r="K60" s="606"/>
      <c r="L60" s="606"/>
    </row>
    <row r="61" spans="2:12">
      <c r="B61" s="245">
        <f t="shared" si="0"/>
        <v>44337</v>
      </c>
      <c r="C61" s="244"/>
      <c r="D61" s="244"/>
      <c r="E61" s="244"/>
      <c r="F61" s="606"/>
      <c r="G61" s="606"/>
      <c r="H61" s="606"/>
      <c r="I61" s="606"/>
      <c r="J61" s="606"/>
      <c r="K61" s="606"/>
      <c r="L61" s="606"/>
    </row>
    <row r="62" spans="2:12">
      <c r="B62" s="245">
        <f t="shared" si="0"/>
        <v>44338</v>
      </c>
      <c r="C62" s="244"/>
      <c r="D62" s="244"/>
      <c r="E62" s="244"/>
      <c r="F62" s="606"/>
      <c r="G62" s="606"/>
      <c r="H62" s="606"/>
      <c r="I62" s="606"/>
      <c r="J62" s="606"/>
      <c r="K62" s="606"/>
      <c r="L62" s="606"/>
    </row>
    <row r="63" spans="2:12">
      <c r="B63" s="245">
        <f t="shared" si="0"/>
        <v>44339</v>
      </c>
      <c r="C63" s="244"/>
      <c r="D63" s="244"/>
      <c r="E63" s="244"/>
      <c r="F63" s="606"/>
      <c r="G63" s="606"/>
      <c r="H63" s="606"/>
      <c r="I63" s="606"/>
      <c r="J63" s="606"/>
      <c r="K63" s="606"/>
      <c r="L63" s="606"/>
    </row>
    <row r="64" spans="2:12">
      <c r="B64" s="245">
        <f t="shared" si="0"/>
        <v>44340</v>
      </c>
      <c r="C64" s="244"/>
      <c r="D64" s="244"/>
      <c r="E64" s="244"/>
      <c r="F64" s="606"/>
      <c r="G64" s="606"/>
      <c r="H64" s="606"/>
      <c r="I64" s="606"/>
      <c r="J64" s="606"/>
      <c r="K64" s="606"/>
      <c r="L64" s="606"/>
    </row>
    <row r="65" spans="2:12">
      <c r="B65" s="245">
        <f t="shared" si="0"/>
        <v>44341</v>
      </c>
      <c r="C65" s="244"/>
      <c r="D65" s="244"/>
      <c r="E65" s="244"/>
      <c r="F65" s="606"/>
      <c r="G65" s="606"/>
      <c r="H65" s="606"/>
      <c r="I65" s="606"/>
      <c r="J65" s="606"/>
      <c r="K65" s="606"/>
      <c r="L65" s="606"/>
    </row>
    <row r="66" spans="2:12">
      <c r="B66" s="245">
        <f t="shared" si="0"/>
        <v>44342</v>
      </c>
      <c r="C66" s="244"/>
      <c r="D66" s="244"/>
      <c r="E66" s="244"/>
      <c r="F66" s="606"/>
      <c r="G66" s="606"/>
      <c r="H66" s="606"/>
      <c r="I66" s="606"/>
      <c r="J66" s="606"/>
      <c r="K66" s="606"/>
      <c r="L66" s="606"/>
    </row>
    <row r="67" spans="2:12">
      <c r="B67" s="245">
        <f t="shared" si="0"/>
        <v>44343</v>
      </c>
      <c r="C67" s="244"/>
      <c r="D67" s="244"/>
      <c r="E67" s="244"/>
      <c r="F67" s="606"/>
      <c r="G67" s="606"/>
      <c r="H67" s="606"/>
      <c r="I67" s="606"/>
      <c r="J67" s="606"/>
      <c r="K67" s="606"/>
      <c r="L67" s="606"/>
    </row>
    <row r="68" spans="2:12">
      <c r="B68" s="245">
        <f t="shared" si="0"/>
        <v>44344</v>
      </c>
      <c r="C68" s="244"/>
      <c r="D68" s="244"/>
      <c r="E68" s="244"/>
      <c r="F68" s="606"/>
      <c r="G68" s="606"/>
      <c r="H68" s="606"/>
      <c r="I68" s="606"/>
      <c r="J68" s="606"/>
      <c r="K68" s="606"/>
      <c r="L68" s="606"/>
    </row>
    <row r="69" spans="2:12">
      <c r="B69" s="245">
        <f t="shared" si="0"/>
        <v>44345</v>
      </c>
      <c r="C69" s="244"/>
      <c r="D69" s="244"/>
      <c r="E69" s="244"/>
      <c r="F69" s="606"/>
      <c r="G69" s="606"/>
      <c r="H69" s="606"/>
      <c r="I69" s="606"/>
      <c r="J69" s="606"/>
      <c r="K69" s="606"/>
      <c r="L69" s="606"/>
    </row>
    <row r="70" spans="2:12">
      <c r="B70" s="245">
        <f t="shared" si="0"/>
        <v>44346</v>
      </c>
      <c r="C70" s="244"/>
      <c r="D70" s="244"/>
      <c r="E70" s="244"/>
      <c r="F70" s="606"/>
      <c r="G70" s="606"/>
      <c r="H70" s="606"/>
      <c r="I70" s="606"/>
      <c r="J70" s="606"/>
      <c r="K70" s="606"/>
      <c r="L70" s="606"/>
    </row>
    <row r="71" spans="2:12">
      <c r="B71" s="245">
        <f t="shared" si="0"/>
        <v>44347</v>
      </c>
      <c r="C71" s="244"/>
      <c r="D71" s="244"/>
      <c r="E71" s="244"/>
      <c r="F71" s="606"/>
      <c r="G71" s="606"/>
      <c r="H71" s="606"/>
      <c r="I71" s="606"/>
      <c r="J71" s="606"/>
      <c r="K71" s="606"/>
      <c r="L71" s="606"/>
    </row>
    <row r="72" spans="2:12">
      <c r="B72" s="245">
        <f t="shared" si="0"/>
        <v>44348</v>
      </c>
      <c r="C72" s="244"/>
      <c r="D72" s="244"/>
      <c r="E72" s="244"/>
      <c r="F72" s="606"/>
      <c r="G72" s="606"/>
      <c r="H72" s="606"/>
      <c r="I72" s="606"/>
      <c r="J72" s="606"/>
      <c r="K72" s="606"/>
      <c r="L72" s="606"/>
    </row>
    <row r="73" spans="2:12">
      <c r="B73" s="245">
        <f t="shared" si="0"/>
        <v>44349</v>
      </c>
      <c r="C73" s="244"/>
      <c r="D73" s="244"/>
      <c r="E73" s="244"/>
      <c r="F73" s="606"/>
      <c r="G73" s="606"/>
      <c r="H73" s="606"/>
      <c r="I73" s="606"/>
      <c r="J73" s="606"/>
      <c r="K73" s="606"/>
      <c r="L73" s="606"/>
    </row>
    <row r="74" spans="2:12">
      <c r="B74" s="245">
        <f t="shared" si="0"/>
        <v>44350</v>
      </c>
      <c r="C74" s="244"/>
      <c r="D74" s="244"/>
      <c r="E74" s="244"/>
      <c r="F74" s="606"/>
      <c r="G74" s="606"/>
      <c r="H74" s="606"/>
      <c r="I74" s="606"/>
      <c r="J74" s="606"/>
      <c r="K74" s="606"/>
      <c r="L74" s="606"/>
    </row>
    <row r="75" spans="2:12">
      <c r="B75" s="245">
        <f t="shared" si="0"/>
        <v>44351</v>
      </c>
      <c r="C75" s="244"/>
      <c r="D75" s="244"/>
      <c r="E75" s="244"/>
      <c r="F75" s="606"/>
      <c r="G75" s="606"/>
      <c r="H75" s="606"/>
      <c r="I75" s="606"/>
      <c r="J75" s="606"/>
      <c r="K75" s="606"/>
      <c r="L75" s="606"/>
    </row>
    <row r="76" spans="2:12">
      <c r="B76" s="245">
        <f t="shared" ref="B76:B139" si="1">B75+1</f>
        <v>44352</v>
      </c>
      <c r="C76" s="244"/>
      <c r="D76" s="244"/>
      <c r="E76" s="244"/>
      <c r="F76" s="606"/>
      <c r="G76" s="606"/>
      <c r="H76" s="606"/>
      <c r="I76" s="606"/>
      <c r="J76" s="606"/>
      <c r="K76" s="606"/>
      <c r="L76" s="606"/>
    </row>
    <row r="77" spans="2:12">
      <c r="B77" s="245">
        <f t="shared" si="1"/>
        <v>44353</v>
      </c>
      <c r="C77" s="244"/>
      <c r="D77" s="244"/>
      <c r="E77" s="244"/>
      <c r="F77" s="606"/>
      <c r="G77" s="606"/>
      <c r="H77" s="606"/>
      <c r="I77" s="606"/>
      <c r="J77" s="606"/>
      <c r="K77" s="606"/>
      <c r="L77" s="606"/>
    </row>
    <row r="78" spans="2:12">
      <c r="B78" s="245">
        <f t="shared" si="1"/>
        <v>44354</v>
      </c>
      <c r="C78" s="244"/>
      <c r="D78" s="244"/>
      <c r="E78" s="244"/>
      <c r="F78" s="606"/>
      <c r="G78" s="606"/>
      <c r="H78" s="606"/>
      <c r="I78" s="606"/>
      <c r="J78" s="606"/>
      <c r="K78" s="606"/>
      <c r="L78" s="606"/>
    </row>
    <row r="79" spans="2:12">
      <c r="B79" s="245">
        <f t="shared" si="1"/>
        <v>44355</v>
      </c>
      <c r="C79" s="244"/>
      <c r="D79" s="244"/>
      <c r="E79" s="244"/>
      <c r="F79" s="606"/>
      <c r="G79" s="606"/>
      <c r="H79" s="606"/>
      <c r="I79" s="606"/>
      <c r="J79" s="606"/>
      <c r="K79" s="606"/>
      <c r="L79" s="606"/>
    </row>
    <row r="80" spans="2:12">
      <c r="B80" s="245">
        <f t="shared" si="1"/>
        <v>44356</v>
      </c>
      <c r="C80" s="244"/>
      <c r="D80" s="244"/>
      <c r="E80" s="244"/>
      <c r="F80" s="606"/>
      <c r="G80" s="606"/>
      <c r="H80" s="606"/>
      <c r="I80" s="606"/>
      <c r="J80" s="606"/>
      <c r="K80" s="606"/>
      <c r="L80" s="606"/>
    </row>
    <row r="81" spans="2:12">
      <c r="B81" s="245">
        <f t="shared" si="1"/>
        <v>44357</v>
      </c>
      <c r="C81" s="244"/>
      <c r="D81" s="244"/>
      <c r="E81" s="244"/>
      <c r="F81" s="606"/>
      <c r="G81" s="606"/>
      <c r="H81" s="606"/>
      <c r="I81" s="606"/>
      <c r="J81" s="606"/>
      <c r="K81" s="606"/>
      <c r="L81" s="606"/>
    </row>
    <row r="82" spans="2:12">
      <c r="B82" s="245">
        <f t="shared" si="1"/>
        <v>44358</v>
      </c>
      <c r="C82" s="244"/>
      <c r="D82" s="244"/>
      <c r="E82" s="244"/>
      <c r="F82" s="606"/>
      <c r="G82" s="606"/>
      <c r="H82" s="606"/>
      <c r="I82" s="606"/>
      <c r="J82" s="606"/>
      <c r="K82" s="606"/>
      <c r="L82" s="606"/>
    </row>
    <row r="83" spans="2:12">
      <c r="B83" s="245">
        <f t="shared" si="1"/>
        <v>44359</v>
      </c>
      <c r="C83" s="244"/>
      <c r="D83" s="244"/>
      <c r="E83" s="244"/>
      <c r="F83" s="606"/>
      <c r="G83" s="606"/>
      <c r="H83" s="606"/>
      <c r="I83" s="606"/>
      <c r="J83" s="606"/>
      <c r="K83" s="606"/>
      <c r="L83" s="606"/>
    </row>
    <row r="84" spans="2:12">
      <c r="B84" s="245">
        <f t="shared" si="1"/>
        <v>44360</v>
      </c>
      <c r="C84" s="244"/>
      <c r="D84" s="244"/>
      <c r="E84" s="244"/>
      <c r="F84" s="606"/>
      <c r="G84" s="606"/>
      <c r="H84" s="606"/>
      <c r="I84" s="606"/>
      <c r="J84" s="606"/>
      <c r="K84" s="606"/>
      <c r="L84" s="606"/>
    </row>
    <row r="85" spans="2:12">
      <c r="B85" s="245">
        <f t="shared" si="1"/>
        <v>44361</v>
      </c>
      <c r="C85" s="244"/>
      <c r="D85" s="244"/>
      <c r="E85" s="244"/>
      <c r="F85" s="606"/>
      <c r="G85" s="606"/>
      <c r="H85" s="606"/>
      <c r="I85" s="606"/>
      <c r="J85" s="606"/>
      <c r="K85" s="606"/>
      <c r="L85" s="606"/>
    </row>
    <row r="86" spans="2:12">
      <c r="B86" s="245">
        <f t="shared" si="1"/>
        <v>44362</v>
      </c>
      <c r="C86" s="244"/>
      <c r="D86" s="244"/>
      <c r="E86" s="244"/>
      <c r="F86" s="606"/>
      <c r="G86" s="606"/>
      <c r="H86" s="606"/>
      <c r="I86" s="606"/>
      <c r="J86" s="606"/>
      <c r="K86" s="606"/>
      <c r="L86" s="606"/>
    </row>
    <row r="87" spans="2:12">
      <c r="B87" s="245">
        <f t="shared" si="1"/>
        <v>44363</v>
      </c>
      <c r="C87" s="244"/>
      <c r="D87" s="244"/>
      <c r="E87" s="244"/>
      <c r="F87" s="606"/>
      <c r="G87" s="606"/>
      <c r="H87" s="606"/>
      <c r="I87" s="606"/>
      <c r="J87" s="606"/>
      <c r="K87" s="606"/>
      <c r="L87" s="606"/>
    </row>
    <row r="88" spans="2:12">
      <c r="B88" s="245">
        <f t="shared" si="1"/>
        <v>44364</v>
      </c>
      <c r="C88" s="244"/>
      <c r="D88" s="244"/>
      <c r="E88" s="244"/>
      <c r="F88" s="606"/>
      <c r="G88" s="606"/>
      <c r="H88" s="606"/>
      <c r="I88" s="606"/>
      <c r="J88" s="606"/>
      <c r="K88" s="606"/>
      <c r="L88" s="606"/>
    </row>
    <row r="89" spans="2:12">
      <c r="B89" s="245">
        <f t="shared" si="1"/>
        <v>44365</v>
      </c>
      <c r="C89" s="244"/>
      <c r="D89" s="244"/>
      <c r="E89" s="244"/>
      <c r="F89" s="606"/>
      <c r="G89" s="606"/>
      <c r="H89" s="606"/>
      <c r="I89" s="606"/>
      <c r="J89" s="606"/>
      <c r="K89" s="606"/>
      <c r="L89" s="606"/>
    </row>
    <row r="90" spans="2:12">
      <c r="B90" s="245">
        <f t="shared" si="1"/>
        <v>44366</v>
      </c>
      <c r="C90" s="244"/>
      <c r="D90" s="244"/>
      <c r="E90" s="244"/>
      <c r="F90" s="606"/>
      <c r="G90" s="606"/>
      <c r="H90" s="606"/>
      <c r="I90" s="606"/>
      <c r="J90" s="606"/>
      <c r="K90" s="606"/>
      <c r="L90" s="606"/>
    </row>
    <row r="91" spans="2:12">
      <c r="B91" s="245">
        <f t="shared" si="1"/>
        <v>44367</v>
      </c>
      <c r="C91" s="244"/>
      <c r="D91" s="244"/>
      <c r="E91" s="244"/>
      <c r="F91" s="606"/>
      <c r="G91" s="606"/>
      <c r="H91" s="606"/>
      <c r="I91" s="606"/>
      <c r="J91" s="606"/>
      <c r="K91" s="606"/>
      <c r="L91" s="606"/>
    </row>
    <row r="92" spans="2:12">
      <c r="B92" s="245">
        <f t="shared" si="1"/>
        <v>44368</v>
      </c>
      <c r="C92" s="244"/>
      <c r="D92" s="244"/>
      <c r="E92" s="244"/>
      <c r="F92" s="606"/>
      <c r="G92" s="606"/>
      <c r="H92" s="606"/>
      <c r="I92" s="606"/>
      <c r="J92" s="606"/>
      <c r="K92" s="606"/>
      <c r="L92" s="606"/>
    </row>
    <row r="93" spans="2:12">
      <c r="B93" s="245">
        <f t="shared" si="1"/>
        <v>44369</v>
      </c>
      <c r="C93" s="244"/>
      <c r="D93" s="244"/>
      <c r="E93" s="244"/>
      <c r="F93" s="606"/>
      <c r="G93" s="606"/>
      <c r="H93" s="606"/>
      <c r="I93" s="606"/>
      <c r="J93" s="606"/>
      <c r="K93" s="606"/>
      <c r="L93" s="606"/>
    </row>
    <row r="94" spans="2:12">
      <c r="B94" s="245">
        <f t="shared" si="1"/>
        <v>44370</v>
      </c>
      <c r="C94" s="244"/>
      <c r="D94" s="244"/>
      <c r="E94" s="244"/>
      <c r="F94" s="606"/>
      <c r="G94" s="606"/>
      <c r="H94" s="606"/>
      <c r="I94" s="606"/>
      <c r="J94" s="606"/>
      <c r="K94" s="606"/>
      <c r="L94" s="606"/>
    </row>
    <row r="95" spans="2:12">
      <c r="B95" s="245">
        <f t="shared" si="1"/>
        <v>44371</v>
      </c>
      <c r="C95" s="244"/>
      <c r="D95" s="244"/>
      <c r="E95" s="244"/>
      <c r="F95" s="606"/>
      <c r="G95" s="606"/>
      <c r="H95" s="606"/>
      <c r="I95" s="606"/>
      <c r="J95" s="606"/>
      <c r="K95" s="606"/>
      <c r="L95" s="606"/>
    </row>
    <row r="96" spans="2:12">
      <c r="B96" s="245">
        <f t="shared" si="1"/>
        <v>44372</v>
      </c>
      <c r="C96" s="244"/>
      <c r="D96" s="244"/>
      <c r="E96" s="244"/>
      <c r="F96" s="606"/>
      <c r="G96" s="606"/>
      <c r="H96" s="606"/>
      <c r="I96" s="606"/>
      <c r="J96" s="606"/>
      <c r="K96" s="606"/>
      <c r="L96" s="606"/>
    </row>
    <row r="97" spans="2:12">
      <c r="B97" s="245">
        <f t="shared" si="1"/>
        <v>44373</v>
      </c>
      <c r="C97" s="244"/>
      <c r="D97" s="244"/>
      <c r="E97" s="244"/>
      <c r="F97" s="606"/>
      <c r="G97" s="606"/>
      <c r="H97" s="606"/>
      <c r="I97" s="606"/>
      <c r="J97" s="606"/>
      <c r="K97" s="606"/>
      <c r="L97" s="606"/>
    </row>
    <row r="98" spans="2:12">
      <c r="B98" s="245">
        <f t="shared" si="1"/>
        <v>44374</v>
      </c>
      <c r="C98" s="244"/>
      <c r="D98" s="244"/>
      <c r="E98" s="244"/>
      <c r="F98" s="606"/>
      <c r="G98" s="606"/>
      <c r="H98" s="606"/>
      <c r="I98" s="606"/>
      <c r="J98" s="606"/>
      <c r="K98" s="606"/>
      <c r="L98" s="606"/>
    </row>
    <row r="99" spans="2:12">
      <c r="B99" s="245">
        <f t="shared" si="1"/>
        <v>44375</v>
      </c>
      <c r="C99" s="244"/>
      <c r="D99" s="244"/>
      <c r="E99" s="244"/>
      <c r="F99" s="606"/>
      <c r="G99" s="606"/>
      <c r="H99" s="606"/>
      <c r="I99" s="606"/>
      <c r="J99" s="606"/>
      <c r="K99" s="606"/>
      <c r="L99" s="606"/>
    </row>
    <row r="100" spans="2:12">
      <c r="B100" s="245">
        <f t="shared" si="1"/>
        <v>44376</v>
      </c>
      <c r="C100" s="244"/>
      <c r="D100" s="244"/>
      <c r="E100" s="244"/>
      <c r="F100" s="606"/>
      <c r="G100" s="606"/>
      <c r="H100" s="606"/>
      <c r="I100" s="606"/>
      <c r="J100" s="606"/>
      <c r="K100" s="606"/>
      <c r="L100" s="606"/>
    </row>
    <row r="101" spans="2:12">
      <c r="B101" s="245">
        <f t="shared" si="1"/>
        <v>44377</v>
      </c>
      <c r="C101" s="244"/>
      <c r="D101" s="244"/>
      <c r="E101" s="244"/>
      <c r="F101" s="606"/>
      <c r="G101" s="606"/>
      <c r="H101" s="606"/>
      <c r="I101" s="606"/>
      <c r="J101" s="606"/>
      <c r="K101" s="606"/>
      <c r="L101" s="606"/>
    </row>
    <row r="102" spans="2:12">
      <c r="B102" s="245">
        <f t="shared" si="1"/>
        <v>44378</v>
      </c>
      <c r="C102" s="244"/>
      <c r="D102" s="244"/>
      <c r="E102" s="244"/>
      <c r="F102" s="606"/>
      <c r="G102" s="606"/>
      <c r="H102" s="606"/>
      <c r="I102" s="606"/>
      <c r="J102" s="606"/>
      <c r="K102" s="606"/>
      <c r="L102" s="606"/>
    </row>
    <row r="103" spans="2:12">
      <c r="B103" s="245">
        <f t="shared" si="1"/>
        <v>44379</v>
      </c>
      <c r="C103" s="244"/>
      <c r="D103" s="244"/>
      <c r="E103" s="244"/>
      <c r="F103" s="606"/>
      <c r="G103" s="606"/>
      <c r="H103" s="606"/>
      <c r="I103" s="606"/>
      <c r="J103" s="606"/>
      <c r="K103" s="606"/>
      <c r="L103" s="606"/>
    </row>
    <row r="104" spans="2:12">
      <c r="B104" s="245">
        <f t="shared" si="1"/>
        <v>44380</v>
      </c>
      <c r="C104" s="244"/>
      <c r="D104" s="244"/>
      <c r="E104" s="244"/>
      <c r="F104" s="606"/>
      <c r="G104" s="606"/>
      <c r="H104" s="606"/>
      <c r="I104" s="606"/>
      <c r="J104" s="606"/>
      <c r="K104" s="606"/>
      <c r="L104" s="606"/>
    </row>
    <row r="105" spans="2:12">
      <c r="B105" s="245">
        <f t="shared" si="1"/>
        <v>44381</v>
      </c>
      <c r="C105" s="244"/>
      <c r="D105" s="244"/>
      <c r="E105" s="244"/>
      <c r="F105" s="606"/>
      <c r="G105" s="606"/>
      <c r="H105" s="606"/>
      <c r="I105" s="606"/>
      <c r="J105" s="606"/>
      <c r="K105" s="606"/>
      <c r="L105" s="606"/>
    </row>
    <row r="106" spans="2:12">
      <c r="B106" s="245">
        <f t="shared" si="1"/>
        <v>44382</v>
      </c>
      <c r="C106" s="244"/>
      <c r="D106" s="244"/>
      <c r="E106" s="244"/>
      <c r="F106" s="606"/>
      <c r="G106" s="606"/>
      <c r="H106" s="606"/>
      <c r="I106" s="606"/>
      <c r="J106" s="606"/>
      <c r="K106" s="606"/>
      <c r="L106" s="606"/>
    </row>
    <row r="107" spans="2:12">
      <c r="B107" s="245">
        <f t="shared" si="1"/>
        <v>44383</v>
      </c>
      <c r="C107" s="244"/>
      <c r="D107" s="244"/>
      <c r="E107" s="244"/>
      <c r="F107" s="606"/>
      <c r="G107" s="606"/>
      <c r="H107" s="606"/>
      <c r="I107" s="606"/>
      <c r="J107" s="606"/>
      <c r="K107" s="606"/>
      <c r="L107" s="606"/>
    </row>
    <row r="108" spans="2:12">
      <c r="B108" s="245">
        <f t="shared" si="1"/>
        <v>44384</v>
      </c>
      <c r="C108" s="244"/>
      <c r="D108" s="244"/>
      <c r="E108" s="244"/>
      <c r="F108" s="606"/>
      <c r="G108" s="606"/>
      <c r="H108" s="606"/>
      <c r="I108" s="606"/>
      <c r="J108" s="606"/>
      <c r="K108" s="606"/>
      <c r="L108" s="606"/>
    </row>
    <row r="109" spans="2:12">
      <c r="B109" s="245">
        <f t="shared" si="1"/>
        <v>44385</v>
      </c>
      <c r="C109" s="244"/>
      <c r="D109" s="244"/>
      <c r="E109" s="244"/>
      <c r="F109" s="606"/>
      <c r="G109" s="606"/>
      <c r="H109" s="606"/>
      <c r="I109" s="606"/>
      <c r="J109" s="606"/>
      <c r="K109" s="606"/>
      <c r="L109" s="606"/>
    </row>
    <row r="110" spans="2:12">
      <c r="B110" s="245">
        <f t="shared" si="1"/>
        <v>44386</v>
      </c>
      <c r="C110" s="244"/>
      <c r="D110" s="244"/>
      <c r="E110" s="244"/>
      <c r="F110" s="606"/>
      <c r="G110" s="606"/>
      <c r="H110" s="606"/>
      <c r="I110" s="606"/>
      <c r="J110" s="606"/>
      <c r="K110" s="606"/>
      <c r="L110" s="606"/>
    </row>
    <row r="111" spans="2:12">
      <c r="B111" s="245">
        <f t="shared" si="1"/>
        <v>44387</v>
      </c>
      <c r="C111" s="244"/>
      <c r="D111" s="244"/>
      <c r="E111" s="244"/>
      <c r="F111" s="606"/>
      <c r="G111" s="606"/>
      <c r="H111" s="606"/>
      <c r="I111" s="606"/>
      <c r="J111" s="606"/>
      <c r="K111" s="606"/>
      <c r="L111" s="606"/>
    </row>
    <row r="112" spans="2:12">
      <c r="B112" s="245">
        <f t="shared" si="1"/>
        <v>44388</v>
      </c>
      <c r="C112" s="244"/>
      <c r="D112" s="244"/>
      <c r="E112" s="244"/>
      <c r="F112" s="606"/>
      <c r="G112" s="606"/>
      <c r="H112" s="606"/>
      <c r="I112" s="606"/>
      <c r="J112" s="606"/>
      <c r="K112" s="606"/>
      <c r="L112" s="606"/>
    </row>
    <row r="113" spans="2:12">
      <c r="B113" s="245">
        <f t="shared" si="1"/>
        <v>44389</v>
      </c>
      <c r="C113" s="244"/>
      <c r="D113" s="244"/>
      <c r="E113" s="244"/>
      <c r="F113" s="606"/>
      <c r="G113" s="606"/>
      <c r="H113" s="606"/>
      <c r="I113" s="606"/>
      <c r="J113" s="606"/>
      <c r="K113" s="606"/>
      <c r="L113" s="606"/>
    </row>
    <row r="114" spans="2:12">
      <c r="B114" s="245">
        <f t="shared" si="1"/>
        <v>44390</v>
      </c>
      <c r="C114" s="244"/>
      <c r="D114" s="244"/>
      <c r="E114" s="244"/>
      <c r="F114" s="606"/>
      <c r="G114" s="606"/>
      <c r="H114" s="606"/>
      <c r="I114" s="606"/>
      <c r="J114" s="606"/>
      <c r="K114" s="606"/>
      <c r="L114" s="606"/>
    </row>
    <row r="115" spans="2:12">
      <c r="B115" s="245">
        <f t="shared" si="1"/>
        <v>44391</v>
      </c>
      <c r="C115" s="244"/>
      <c r="D115" s="244"/>
      <c r="E115" s="244"/>
      <c r="F115" s="606"/>
      <c r="G115" s="606"/>
      <c r="H115" s="606"/>
      <c r="I115" s="606"/>
      <c r="J115" s="606"/>
      <c r="K115" s="606"/>
      <c r="L115" s="606"/>
    </row>
    <row r="116" spans="2:12">
      <c r="B116" s="245">
        <f t="shared" si="1"/>
        <v>44392</v>
      </c>
      <c r="C116" s="244"/>
      <c r="D116" s="244"/>
      <c r="E116" s="244"/>
      <c r="F116" s="606"/>
      <c r="G116" s="606"/>
      <c r="H116" s="606"/>
      <c r="I116" s="606"/>
      <c r="J116" s="606"/>
      <c r="K116" s="606"/>
      <c r="L116" s="606"/>
    </row>
    <row r="117" spans="2:12">
      <c r="B117" s="245">
        <f t="shared" si="1"/>
        <v>44393</v>
      </c>
      <c r="C117" s="244"/>
      <c r="D117" s="244"/>
      <c r="E117" s="244"/>
      <c r="F117" s="606"/>
      <c r="G117" s="606"/>
      <c r="H117" s="606"/>
      <c r="I117" s="606"/>
      <c r="J117" s="606"/>
      <c r="K117" s="606"/>
      <c r="L117" s="606"/>
    </row>
    <row r="118" spans="2:12">
      <c r="B118" s="245">
        <f t="shared" si="1"/>
        <v>44394</v>
      </c>
      <c r="C118" s="244"/>
      <c r="D118" s="244"/>
      <c r="E118" s="244"/>
      <c r="F118" s="606"/>
      <c r="G118" s="606"/>
      <c r="H118" s="606"/>
      <c r="I118" s="606"/>
      <c r="J118" s="606"/>
      <c r="K118" s="606"/>
      <c r="L118" s="606"/>
    </row>
    <row r="119" spans="2:12">
      <c r="B119" s="245">
        <f t="shared" si="1"/>
        <v>44395</v>
      </c>
      <c r="C119" s="244"/>
      <c r="D119" s="244"/>
      <c r="E119" s="244"/>
      <c r="F119" s="606"/>
      <c r="G119" s="606"/>
      <c r="H119" s="606"/>
      <c r="I119" s="606"/>
      <c r="J119" s="606"/>
      <c r="K119" s="606"/>
      <c r="L119" s="606"/>
    </row>
    <row r="120" spans="2:12">
      <c r="B120" s="245">
        <f t="shared" si="1"/>
        <v>44396</v>
      </c>
      <c r="C120" s="244"/>
      <c r="D120" s="244"/>
      <c r="E120" s="244"/>
      <c r="F120" s="606"/>
      <c r="G120" s="606"/>
      <c r="H120" s="606"/>
      <c r="I120" s="606"/>
      <c r="J120" s="606"/>
      <c r="K120" s="606"/>
      <c r="L120" s="606"/>
    </row>
    <row r="121" spans="2:12">
      <c r="B121" s="245">
        <f t="shared" si="1"/>
        <v>44397</v>
      </c>
      <c r="C121" s="244"/>
      <c r="D121" s="244"/>
      <c r="E121" s="244"/>
      <c r="F121" s="606"/>
      <c r="G121" s="606"/>
      <c r="H121" s="606"/>
      <c r="I121" s="606"/>
      <c r="J121" s="606"/>
      <c r="K121" s="606"/>
      <c r="L121" s="606"/>
    </row>
    <row r="122" spans="2:12">
      <c r="B122" s="245">
        <f t="shared" si="1"/>
        <v>44398</v>
      </c>
      <c r="C122" s="244"/>
      <c r="D122" s="244"/>
      <c r="E122" s="244"/>
      <c r="F122" s="606"/>
      <c r="G122" s="606"/>
      <c r="H122" s="606"/>
      <c r="I122" s="606"/>
      <c r="J122" s="606"/>
      <c r="K122" s="606"/>
      <c r="L122" s="606"/>
    </row>
    <row r="123" spans="2:12">
      <c r="B123" s="245">
        <f t="shared" si="1"/>
        <v>44399</v>
      </c>
      <c r="C123" s="244"/>
      <c r="D123" s="244"/>
      <c r="E123" s="244"/>
      <c r="F123" s="606"/>
      <c r="G123" s="606"/>
      <c r="H123" s="606"/>
      <c r="I123" s="606"/>
      <c r="J123" s="606"/>
      <c r="K123" s="606"/>
      <c r="L123" s="606"/>
    </row>
    <row r="124" spans="2:12">
      <c r="B124" s="245">
        <f t="shared" si="1"/>
        <v>44400</v>
      </c>
      <c r="C124" s="244"/>
      <c r="D124" s="244"/>
      <c r="E124" s="244"/>
      <c r="F124" s="606"/>
      <c r="G124" s="606"/>
      <c r="H124" s="606"/>
      <c r="I124" s="606"/>
      <c r="J124" s="606"/>
      <c r="K124" s="606"/>
      <c r="L124" s="606"/>
    </row>
    <row r="125" spans="2:12">
      <c r="B125" s="245">
        <f t="shared" si="1"/>
        <v>44401</v>
      </c>
      <c r="C125" s="244"/>
      <c r="D125" s="244"/>
      <c r="E125" s="244"/>
      <c r="F125" s="606"/>
      <c r="G125" s="606"/>
      <c r="H125" s="606"/>
      <c r="I125" s="606"/>
      <c r="J125" s="606"/>
      <c r="K125" s="606"/>
      <c r="L125" s="606"/>
    </row>
    <row r="126" spans="2:12">
      <c r="B126" s="245">
        <f t="shared" si="1"/>
        <v>44402</v>
      </c>
      <c r="C126" s="244"/>
      <c r="D126" s="244"/>
      <c r="E126" s="244"/>
      <c r="F126" s="606"/>
      <c r="G126" s="606"/>
      <c r="H126" s="606"/>
      <c r="I126" s="606"/>
      <c r="J126" s="606"/>
      <c r="K126" s="606"/>
      <c r="L126" s="606"/>
    </row>
    <row r="127" spans="2:12">
      <c r="B127" s="245">
        <f t="shared" si="1"/>
        <v>44403</v>
      </c>
      <c r="C127" s="244"/>
      <c r="D127" s="244"/>
      <c r="E127" s="244"/>
      <c r="F127" s="606"/>
      <c r="G127" s="606"/>
      <c r="H127" s="606"/>
      <c r="I127" s="606"/>
      <c r="J127" s="606"/>
      <c r="K127" s="606"/>
      <c r="L127" s="606"/>
    </row>
    <row r="128" spans="2:12">
      <c r="B128" s="245">
        <f t="shared" si="1"/>
        <v>44404</v>
      </c>
      <c r="C128" s="244"/>
      <c r="D128" s="244"/>
      <c r="E128" s="244"/>
      <c r="F128" s="606"/>
      <c r="G128" s="606"/>
      <c r="H128" s="606"/>
      <c r="I128" s="606"/>
      <c r="J128" s="606"/>
      <c r="K128" s="606"/>
      <c r="L128" s="606"/>
    </row>
    <row r="129" spans="2:12">
      <c r="B129" s="245">
        <f t="shared" si="1"/>
        <v>44405</v>
      </c>
      <c r="C129" s="244"/>
      <c r="D129" s="244"/>
      <c r="E129" s="244"/>
      <c r="F129" s="606"/>
      <c r="G129" s="606"/>
      <c r="H129" s="606"/>
      <c r="I129" s="606"/>
      <c r="J129" s="606"/>
      <c r="K129" s="606"/>
      <c r="L129" s="606"/>
    </row>
    <row r="130" spans="2:12">
      <c r="B130" s="245">
        <f t="shared" si="1"/>
        <v>44406</v>
      </c>
      <c r="C130" s="244"/>
      <c r="D130" s="244"/>
      <c r="E130" s="244"/>
      <c r="F130" s="606"/>
      <c r="G130" s="606"/>
      <c r="H130" s="606"/>
      <c r="I130" s="606"/>
      <c r="J130" s="606"/>
      <c r="K130" s="606"/>
      <c r="L130" s="606"/>
    </row>
    <row r="131" spans="2:12">
      <c r="B131" s="245">
        <f t="shared" si="1"/>
        <v>44407</v>
      </c>
      <c r="C131" s="244"/>
      <c r="D131" s="244"/>
      <c r="E131" s="244"/>
      <c r="F131" s="606"/>
      <c r="G131" s="606"/>
      <c r="H131" s="606"/>
      <c r="I131" s="606"/>
      <c r="J131" s="606"/>
      <c r="K131" s="606"/>
      <c r="L131" s="606"/>
    </row>
    <row r="132" spans="2:12">
      <c r="B132" s="245">
        <f t="shared" si="1"/>
        <v>44408</v>
      </c>
      <c r="C132" s="244"/>
      <c r="D132" s="244"/>
      <c r="E132" s="244"/>
      <c r="F132" s="606"/>
      <c r="G132" s="606"/>
      <c r="H132" s="606"/>
      <c r="I132" s="606"/>
      <c r="J132" s="606"/>
      <c r="K132" s="606"/>
      <c r="L132" s="606"/>
    </row>
    <row r="133" spans="2:12">
      <c r="B133" s="245">
        <f t="shared" si="1"/>
        <v>44409</v>
      </c>
      <c r="C133" s="244"/>
      <c r="D133" s="244"/>
      <c r="E133" s="244"/>
      <c r="F133" s="606"/>
      <c r="G133" s="606"/>
      <c r="H133" s="606"/>
      <c r="I133" s="606"/>
      <c r="J133" s="606"/>
      <c r="K133" s="606"/>
      <c r="L133" s="606"/>
    </row>
    <row r="134" spans="2:12">
      <c r="B134" s="245">
        <f t="shared" si="1"/>
        <v>44410</v>
      </c>
      <c r="C134" s="244"/>
      <c r="D134" s="244"/>
      <c r="E134" s="244"/>
      <c r="F134" s="606"/>
      <c r="G134" s="606"/>
      <c r="H134" s="606"/>
      <c r="I134" s="606"/>
      <c r="J134" s="606"/>
      <c r="K134" s="606"/>
      <c r="L134" s="606"/>
    </row>
    <row r="135" spans="2:12">
      <c r="B135" s="245">
        <f t="shared" si="1"/>
        <v>44411</v>
      </c>
      <c r="C135" s="244"/>
      <c r="D135" s="244"/>
      <c r="E135" s="244"/>
      <c r="F135" s="606"/>
      <c r="G135" s="606"/>
      <c r="H135" s="606"/>
      <c r="I135" s="606"/>
      <c r="J135" s="606"/>
      <c r="K135" s="606"/>
      <c r="L135" s="606"/>
    </row>
    <row r="136" spans="2:12">
      <c r="B136" s="245">
        <f t="shared" si="1"/>
        <v>44412</v>
      </c>
      <c r="C136" s="244"/>
      <c r="D136" s="244"/>
      <c r="E136" s="244"/>
      <c r="F136" s="606"/>
      <c r="G136" s="606"/>
      <c r="H136" s="606"/>
      <c r="I136" s="606"/>
      <c r="J136" s="606"/>
      <c r="K136" s="606"/>
      <c r="L136" s="606"/>
    </row>
    <row r="137" spans="2:12">
      <c r="B137" s="245">
        <f t="shared" si="1"/>
        <v>44413</v>
      </c>
      <c r="C137" s="244"/>
      <c r="D137" s="244"/>
      <c r="E137" s="244"/>
      <c r="F137" s="606"/>
      <c r="G137" s="606"/>
      <c r="H137" s="606"/>
      <c r="I137" s="606"/>
      <c r="J137" s="606"/>
      <c r="K137" s="606"/>
      <c r="L137" s="606"/>
    </row>
    <row r="138" spans="2:12">
      <c r="B138" s="245">
        <f t="shared" si="1"/>
        <v>44414</v>
      </c>
      <c r="C138" s="244"/>
      <c r="D138" s="244"/>
      <c r="E138" s="244"/>
      <c r="F138" s="606"/>
      <c r="G138" s="606"/>
      <c r="H138" s="606"/>
      <c r="I138" s="606"/>
      <c r="J138" s="606"/>
      <c r="K138" s="606"/>
      <c r="L138" s="606"/>
    </row>
    <row r="139" spans="2:12">
      <c r="B139" s="245">
        <f t="shared" si="1"/>
        <v>44415</v>
      </c>
      <c r="C139" s="244"/>
      <c r="D139" s="244"/>
      <c r="E139" s="244"/>
      <c r="F139" s="606"/>
      <c r="G139" s="606"/>
      <c r="H139" s="606"/>
      <c r="I139" s="606"/>
      <c r="J139" s="606"/>
      <c r="K139" s="606"/>
      <c r="L139" s="606"/>
    </row>
    <row r="140" spans="2:12">
      <c r="B140" s="245">
        <f t="shared" ref="B140:B203" si="2">B139+1</f>
        <v>44416</v>
      </c>
      <c r="C140" s="244"/>
      <c r="D140" s="244"/>
      <c r="E140" s="244"/>
      <c r="F140" s="606"/>
      <c r="G140" s="606"/>
      <c r="H140" s="606"/>
      <c r="I140" s="606"/>
      <c r="J140" s="606"/>
      <c r="K140" s="606"/>
      <c r="L140" s="606"/>
    </row>
    <row r="141" spans="2:12">
      <c r="B141" s="245">
        <f t="shared" si="2"/>
        <v>44417</v>
      </c>
      <c r="C141" s="244"/>
      <c r="D141" s="244"/>
      <c r="E141" s="244"/>
      <c r="F141" s="606"/>
      <c r="G141" s="606"/>
      <c r="H141" s="606"/>
      <c r="I141" s="606"/>
      <c r="J141" s="606"/>
      <c r="K141" s="606"/>
      <c r="L141" s="606"/>
    </row>
    <row r="142" spans="2:12">
      <c r="B142" s="245">
        <f t="shared" si="2"/>
        <v>44418</v>
      </c>
      <c r="C142" s="244"/>
      <c r="D142" s="244"/>
      <c r="E142" s="244"/>
      <c r="F142" s="606"/>
      <c r="G142" s="606"/>
      <c r="H142" s="606"/>
      <c r="I142" s="606"/>
      <c r="J142" s="606"/>
      <c r="K142" s="606"/>
      <c r="L142" s="606"/>
    </row>
    <row r="143" spans="2:12">
      <c r="B143" s="245">
        <f t="shared" si="2"/>
        <v>44419</v>
      </c>
      <c r="C143" s="244"/>
      <c r="D143" s="244"/>
      <c r="E143" s="244"/>
      <c r="F143" s="606"/>
      <c r="G143" s="606"/>
      <c r="H143" s="606"/>
      <c r="I143" s="606"/>
      <c r="J143" s="606"/>
      <c r="K143" s="606"/>
      <c r="L143" s="606"/>
    </row>
    <row r="144" spans="2:12">
      <c r="B144" s="245">
        <f t="shared" si="2"/>
        <v>44420</v>
      </c>
      <c r="C144" s="244"/>
      <c r="D144" s="244"/>
      <c r="E144" s="244"/>
      <c r="F144" s="606"/>
      <c r="G144" s="606"/>
      <c r="H144" s="606"/>
      <c r="I144" s="606"/>
      <c r="J144" s="606"/>
      <c r="K144" s="606"/>
      <c r="L144" s="606"/>
    </row>
    <row r="145" spans="2:12">
      <c r="B145" s="245">
        <f t="shared" si="2"/>
        <v>44421</v>
      </c>
      <c r="C145" s="244"/>
      <c r="D145" s="244"/>
      <c r="E145" s="244"/>
      <c r="F145" s="606"/>
      <c r="G145" s="606"/>
      <c r="H145" s="606"/>
      <c r="I145" s="606"/>
      <c r="J145" s="606"/>
      <c r="K145" s="606"/>
      <c r="L145" s="606"/>
    </row>
    <row r="146" spans="2:12">
      <c r="B146" s="245">
        <f t="shared" si="2"/>
        <v>44422</v>
      </c>
      <c r="C146" s="244"/>
      <c r="D146" s="244"/>
      <c r="E146" s="244"/>
      <c r="F146" s="606"/>
      <c r="G146" s="606"/>
      <c r="H146" s="606"/>
      <c r="I146" s="606"/>
      <c r="J146" s="606"/>
      <c r="K146" s="606"/>
      <c r="L146" s="606"/>
    </row>
    <row r="147" spans="2:12">
      <c r="B147" s="245">
        <f t="shared" si="2"/>
        <v>44423</v>
      </c>
      <c r="C147" s="244"/>
      <c r="D147" s="244"/>
      <c r="E147" s="244"/>
      <c r="F147" s="606"/>
      <c r="G147" s="606"/>
      <c r="H147" s="606"/>
      <c r="I147" s="606"/>
      <c r="J147" s="606"/>
      <c r="K147" s="606"/>
      <c r="L147" s="606"/>
    </row>
    <row r="148" spans="2:12">
      <c r="B148" s="245">
        <f t="shared" si="2"/>
        <v>44424</v>
      </c>
      <c r="C148" s="244"/>
      <c r="D148" s="244"/>
      <c r="E148" s="244"/>
      <c r="F148" s="606"/>
      <c r="G148" s="606"/>
      <c r="H148" s="606"/>
      <c r="I148" s="606"/>
      <c r="J148" s="606"/>
      <c r="K148" s="606"/>
      <c r="L148" s="606"/>
    </row>
    <row r="149" spans="2:12">
      <c r="B149" s="245">
        <f t="shared" si="2"/>
        <v>44425</v>
      </c>
      <c r="C149" s="244"/>
      <c r="D149" s="244"/>
      <c r="E149" s="244"/>
      <c r="F149" s="606"/>
      <c r="G149" s="606"/>
      <c r="H149" s="606"/>
      <c r="I149" s="606"/>
      <c r="J149" s="606"/>
      <c r="K149" s="606"/>
      <c r="L149" s="606"/>
    </row>
    <row r="150" spans="2:12">
      <c r="B150" s="245">
        <f t="shared" si="2"/>
        <v>44426</v>
      </c>
      <c r="C150" s="244"/>
      <c r="D150" s="244"/>
      <c r="E150" s="244"/>
      <c r="F150" s="606"/>
      <c r="G150" s="606"/>
      <c r="H150" s="606"/>
      <c r="I150" s="606"/>
      <c r="J150" s="606"/>
      <c r="K150" s="606"/>
      <c r="L150" s="606"/>
    </row>
    <row r="151" spans="2:12">
      <c r="B151" s="245">
        <f t="shared" si="2"/>
        <v>44427</v>
      </c>
      <c r="C151" s="244"/>
      <c r="D151" s="244"/>
      <c r="E151" s="244"/>
      <c r="F151" s="606"/>
      <c r="G151" s="606"/>
      <c r="H151" s="606"/>
      <c r="I151" s="606"/>
      <c r="J151" s="606"/>
      <c r="K151" s="606"/>
      <c r="L151" s="606"/>
    </row>
    <row r="152" spans="2:12">
      <c r="B152" s="245">
        <f t="shared" si="2"/>
        <v>44428</v>
      </c>
      <c r="C152" s="244"/>
      <c r="D152" s="244"/>
      <c r="E152" s="244"/>
      <c r="F152" s="606"/>
      <c r="G152" s="606"/>
      <c r="H152" s="606"/>
      <c r="I152" s="606"/>
      <c r="J152" s="606"/>
      <c r="K152" s="606"/>
      <c r="L152" s="606"/>
    </row>
    <row r="153" spans="2:12">
      <c r="B153" s="245">
        <f t="shared" si="2"/>
        <v>44429</v>
      </c>
      <c r="C153" s="244"/>
      <c r="D153" s="244"/>
      <c r="E153" s="244"/>
      <c r="F153" s="606"/>
      <c r="G153" s="606"/>
      <c r="H153" s="606"/>
      <c r="I153" s="606"/>
      <c r="J153" s="606"/>
      <c r="K153" s="606"/>
      <c r="L153" s="606"/>
    </row>
    <row r="154" spans="2:12">
      <c r="B154" s="245">
        <f t="shared" si="2"/>
        <v>44430</v>
      </c>
      <c r="C154" s="244"/>
      <c r="D154" s="244"/>
      <c r="E154" s="244"/>
      <c r="F154" s="606"/>
      <c r="G154" s="606"/>
      <c r="H154" s="606"/>
      <c r="I154" s="606"/>
      <c r="J154" s="606"/>
      <c r="K154" s="606"/>
      <c r="L154" s="606"/>
    </row>
    <row r="155" spans="2:12">
      <c r="B155" s="245">
        <f t="shared" si="2"/>
        <v>44431</v>
      </c>
      <c r="C155" s="244"/>
      <c r="D155" s="244"/>
      <c r="E155" s="244"/>
      <c r="F155" s="606"/>
      <c r="G155" s="606"/>
      <c r="H155" s="606"/>
      <c r="I155" s="606"/>
      <c r="J155" s="606"/>
      <c r="K155" s="606"/>
      <c r="L155" s="606"/>
    </row>
    <row r="156" spans="2:12">
      <c r="B156" s="245">
        <f t="shared" si="2"/>
        <v>44432</v>
      </c>
      <c r="C156" s="244"/>
      <c r="D156" s="244"/>
      <c r="E156" s="244"/>
      <c r="F156" s="606"/>
      <c r="G156" s="606"/>
      <c r="H156" s="606"/>
      <c r="I156" s="606"/>
      <c r="J156" s="606"/>
      <c r="K156" s="606"/>
      <c r="L156" s="606"/>
    </row>
    <row r="157" spans="2:12">
      <c r="B157" s="245">
        <f t="shared" si="2"/>
        <v>44433</v>
      </c>
      <c r="C157" s="244"/>
      <c r="D157" s="244"/>
      <c r="E157" s="244"/>
      <c r="F157" s="606"/>
      <c r="G157" s="606"/>
      <c r="H157" s="606"/>
      <c r="I157" s="606"/>
      <c r="J157" s="606"/>
      <c r="K157" s="606"/>
      <c r="L157" s="606"/>
    </row>
    <row r="158" spans="2:12">
      <c r="B158" s="245">
        <f t="shared" si="2"/>
        <v>44434</v>
      </c>
      <c r="C158" s="244"/>
      <c r="D158" s="244"/>
      <c r="E158" s="244"/>
      <c r="F158" s="606"/>
      <c r="G158" s="606"/>
      <c r="H158" s="606"/>
      <c r="I158" s="606"/>
      <c r="J158" s="606"/>
      <c r="K158" s="606"/>
      <c r="L158" s="606"/>
    </row>
    <row r="159" spans="2:12">
      <c r="B159" s="245">
        <f t="shared" si="2"/>
        <v>44435</v>
      </c>
      <c r="C159" s="244"/>
      <c r="D159" s="244"/>
      <c r="E159" s="244"/>
      <c r="F159" s="606"/>
      <c r="G159" s="606"/>
      <c r="H159" s="606"/>
      <c r="I159" s="606"/>
      <c r="J159" s="606"/>
      <c r="K159" s="606"/>
      <c r="L159" s="606"/>
    </row>
    <row r="160" spans="2:12">
      <c r="B160" s="245">
        <f t="shared" si="2"/>
        <v>44436</v>
      </c>
      <c r="C160" s="244"/>
      <c r="D160" s="244"/>
      <c r="E160" s="244"/>
      <c r="F160" s="606"/>
      <c r="G160" s="606"/>
      <c r="H160" s="606"/>
      <c r="I160" s="606"/>
      <c r="J160" s="606"/>
      <c r="K160" s="606"/>
      <c r="L160" s="606"/>
    </row>
    <row r="161" spans="2:12">
      <c r="B161" s="245">
        <f t="shared" si="2"/>
        <v>44437</v>
      </c>
      <c r="C161" s="244"/>
      <c r="D161" s="244"/>
      <c r="E161" s="244"/>
      <c r="F161" s="606"/>
      <c r="G161" s="606"/>
      <c r="H161" s="606"/>
      <c r="I161" s="606"/>
      <c r="J161" s="606"/>
      <c r="K161" s="606"/>
      <c r="L161" s="606"/>
    </row>
    <row r="162" spans="2:12">
      <c r="B162" s="245">
        <f t="shared" si="2"/>
        <v>44438</v>
      </c>
      <c r="C162" s="244"/>
      <c r="D162" s="244"/>
      <c r="E162" s="244"/>
      <c r="F162" s="606"/>
      <c r="G162" s="606"/>
      <c r="H162" s="606"/>
      <c r="I162" s="606"/>
      <c r="J162" s="606"/>
      <c r="K162" s="606"/>
      <c r="L162" s="606"/>
    </row>
    <row r="163" spans="2:12">
      <c r="B163" s="245">
        <f t="shared" si="2"/>
        <v>44439</v>
      </c>
      <c r="C163" s="244"/>
      <c r="D163" s="244"/>
      <c r="E163" s="244"/>
      <c r="F163" s="606"/>
      <c r="G163" s="606"/>
      <c r="H163" s="606"/>
      <c r="I163" s="606"/>
      <c r="J163" s="606"/>
      <c r="K163" s="606"/>
      <c r="L163" s="606"/>
    </row>
    <row r="164" spans="2:12">
      <c r="B164" s="245">
        <f t="shared" si="2"/>
        <v>44440</v>
      </c>
      <c r="C164" s="244"/>
      <c r="D164" s="244"/>
      <c r="E164" s="244"/>
      <c r="F164" s="606"/>
      <c r="G164" s="606"/>
      <c r="H164" s="606"/>
      <c r="I164" s="606"/>
      <c r="J164" s="606"/>
      <c r="K164" s="606"/>
      <c r="L164" s="606"/>
    </row>
    <row r="165" spans="2:12">
      <c r="B165" s="245">
        <f t="shared" si="2"/>
        <v>44441</v>
      </c>
      <c r="C165" s="244"/>
      <c r="D165" s="244"/>
      <c r="E165" s="244"/>
      <c r="F165" s="606"/>
      <c r="G165" s="606"/>
      <c r="H165" s="606"/>
      <c r="I165" s="606"/>
      <c r="J165" s="606"/>
      <c r="K165" s="606"/>
      <c r="L165" s="606"/>
    </row>
    <row r="166" spans="2:12">
      <c r="B166" s="245">
        <f t="shared" si="2"/>
        <v>44442</v>
      </c>
      <c r="C166" s="244"/>
      <c r="D166" s="244"/>
      <c r="E166" s="244"/>
      <c r="F166" s="606"/>
      <c r="G166" s="606"/>
      <c r="H166" s="606"/>
      <c r="I166" s="606"/>
      <c r="J166" s="606"/>
      <c r="K166" s="606"/>
      <c r="L166" s="606"/>
    </row>
    <row r="167" spans="2:12">
      <c r="B167" s="245">
        <f t="shared" si="2"/>
        <v>44443</v>
      </c>
      <c r="C167" s="244"/>
      <c r="D167" s="244"/>
      <c r="E167" s="244"/>
      <c r="F167" s="606"/>
      <c r="G167" s="606"/>
      <c r="H167" s="606"/>
      <c r="I167" s="606"/>
      <c r="J167" s="606"/>
      <c r="K167" s="606"/>
      <c r="L167" s="606"/>
    </row>
    <row r="168" spans="2:12">
      <c r="B168" s="245">
        <f t="shared" si="2"/>
        <v>44444</v>
      </c>
      <c r="C168" s="244"/>
      <c r="D168" s="244"/>
      <c r="E168" s="244"/>
      <c r="F168" s="606"/>
      <c r="G168" s="606"/>
      <c r="H168" s="606"/>
      <c r="I168" s="606"/>
      <c r="J168" s="606"/>
      <c r="K168" s="606"/>
      <c r="L168" s="606"/>
    </row>
    <row r="169" spans="2:12">
      <c r="B169" s="245">
        <f t="shared" si="2"/>
        <v>44445</v>
      </c>
      <c r="C169" s="244"/>
      <c r="D169" s="244"/>
      <c r="E169" s="244"/>
      <c r="F169" s="606"/>
      <c r="G169" s="606"/>
      <c r="H169" s="606"/>
      <c r="I169" s="606"/>
      <c r="J169" s="606"/>
      <c r="K169" s="606"/>
      <c r="L169" s="606"/>
    </row>
    <row r="170" spans="2:12">
      <c r="B170" s="245">
        <f t="shared" si="2"/>
        <v>44446</v>
      </c>
      <c r="C170" s="244"/>
      <c r="D170" s="244"/>
      <c r="E170" s="244"/>
      <c r="F170" s="606"/>
      <c r="G170" s="606"/>
      <c r="H170" s="606"/>
      <c r="I170" s="606"/>
      <c r="J170" s="606"/>
      <c r="K170" s="606"/>
      <c r="L170" s="606"/>
    </row>
    <row r="171" spans="2:12">
      <c r="B171" s="245">
        <f t="shared" si="2"/>
        <v>44447</v>
      </c>
      <c r="C171" s="244"/>
      <c r="D171" s="244"/>
      <c r="E171" s="244"/>
      <c r="F171" s="606"/>
      <c r="G171" s="606"/>
      <c r="H171" s="606"/>
      <c r="I171" s="606"/>
      <c r="J171" s="606"/>
      <c r="K171" s="606"/>
      <c r="L171" s="606"/>
    </row>
    <row r="172" spans="2:12">
      <c r="B172" s="245">
        <f t="shared" si="2"/>
        <v>44448</v>
      </c>
      <c r="C172" s="244"/>
      <c r="D172" s="244"/>
      <c r="E172" s="244"/>
      <c r="F172" s="606"/>
      <c r="G172" s="606"/>
      <c r="H172" s="606"/>
      <c r="I172" s="606"/>
      <c r="J172" s="606"/>
      <c r="K172" s="606"/>
      <c r="L172" s="606"/>
    </row>
    <row r="173" spans="2:12">
      <c r="B173" s="245">
        <f t="shared" si="2"/>
        <v>44449</v>
      </c>
      <c r="C173" s="244"/>
      <c r="D173" s="244"/>
      <c r="E173" s="244"/>
      <c r="F173" s="606"/>
      <c r="G173" s="606"/>
      <c r="H173" s="606"/>
      <c r="I173" s="606"/>
      <c r="J173" s="606"/>
      <c r="K173" s="606"/>
      <c r="L173" s="606"/>
    </row>
    <row r="174" spans="2:12">
      <c r="B174" s="245">
        <f t="shared" si="2"/>
        <v>44450</v>
      </c>
      <c r="C174" s="244"/>
      <c r="D174" s="244"/>
      <c r="E174" s="244"/>
      <c r="F174" s="606"/>
      <c r="G174" s="606"/>
      <c r="H174" s="606"/>
      <c r="I174" s="606"/>
      <c r="J174" s="606"/>
      <c r="K174" s="606"/>
      <c r="L174" s="606"/>
    </row>
    <row r="175" spans="2:12">
      <c r="B175" s="245">
        <f t="shared" si="2"/>
        <v>44451</v>
      </c>
      <c r="C175" s="244"/>
      <c r="D175" s="244"/>
      <c r="E175" s="244"/>
      <c r="F175" s="606"/>
      <c r="G175" s="606"/>
      <c r="H175" s="606"/>
      <c r="I175" s="606"/>
      <c r="J175" s="606"/>
      <c r="K175" s="606"/>
      <c r="L175" s="606"/>
    </row>
    <row r="176" spans="2:12">
      <c r="B176" s="245">
        <f t="shared" si="2"/>
        <v>44452</v>
      </c>
      <c r="C176" s="244"/>
      <c r="D176" s="244"/>
      <c r="E176" s="244"/>
      <c r="F176" s="606"/>
      <c r="G176" s="606"/>
      <c r="H176" s="606"/>
      <c r="I176" s="606"/>
      <c r="J176" s="606"/>
      <c r="K176" s="606"/>
      <c r="L176" s="606"/>
    </row>
    <row r="177" spans="2:12">
      <c r="B177" s="245">
        <f t="shared" si="2"/>
        <v>44453</v>
      </c>
      <c r="C177" s="244"/>
      <c r="D177" s="244"/>
      <c r="E177" s="244"/>
      <c r="F177" s="606"/>
      <c r="G177" s="606"/>
      <c r="H177" s="606"/>
      <c r="I177" s="606"/>
      <c r="J177" s="606"/>
      <c r="K177" s="606"/>
      <c r="L177" s="606"/>
    </row>
    <row r="178" spans="2:12">
      <c r="B178" s="245">
        <f t="shared" si="2"/>
        <v>44454</v>
      </c>
      <c r="C178" s="244"/>
      <c r="D178" s="244"/>
      <c r="E178" s="244"/>
      <c r="F178" s="606"/>
      <c r="G178" s="606"/>
      <c r="H178" s="606"/>
      <c r="I178" s="606"/>
      <c r="J178" s="606"/>
      <c r="K178" s="606"/>
      <c r="L178" s="606"/>
    </row>
    <row r="179" spans="2:12">
      <c r="B179" s="245">
        <f t="shared" si="2"/>
        <v>44455</v>
      </c>
      <c r="C179" s="244"/>
      <c r="D179" s="244"/>
      <c r="E179" s="244"/>
      <c r="F179" s="606"/>
      <c r="G179" s="606"/>
      <c r="H179" s="606"/>
      <c r="I179" s="606"/>
      <c r="J179" s="606"/>
      <c r="K179" s="606"/>
      <c r="L179" s="606"/>
    </row>
    <row r="180" spans="2:12">
      <c r="B180" s="245">
        <f t="shared" si="2"/>
        <v>44456</v>
      </c>
      <c r="C180" s="244"/>
      <c r="D180" s="244"/>
      <c r="E180" s="244"/>
      <c r="F180" s="606"/>
      <c r="G180" s="606"/>
      <c r="H180" s="606"/>
      <c r="I180" s="606"/>
      <c r="J180" s="606"/>
      <c r="K180" s="606"/>
      <c r="L180" s="606"/>
    </row>
    <row r="181" spans="2:12">
      <c r="B181" s="245">
        <f t="shared" si="2"/>
        <v>44457</v>
      </c>
      <c r="C181" s="244"/>
      <c r="D181" s="244"/>
      <c r="E181" s="244"/>
      <c r="F181" s="606"/>
      <c r="G181" s="606"/>
      <c r="H181" s="606"/>
      <c r="I181" s="606"/>
      <c r="J181" s="606"/>
      <c r="K181" s="606"/>
      <c r="L181" s="606"/>
    </row>
    <row r="182" spans="2:12">
      <c r="B182" s="245">
        <f t="shared" si="2"/>
        <v>44458</v>
      </c>
      <c r="C182" s="244"/>
      <c r="D182" s="244"/>
      <c r="E182" s="244"/>
      <c r="F182" s="606"/>
      <c r="G182" s="606"/>
      <c r="H182" s="606"/>
      <c r="I182" s="606"/>
      <c r="J182" s="606"/>
      <c r="K182" s="606"/>
      <c r="L182" s="606"/>
    </row>
    <row r="183" spans="2:12">
      <c r="B183" s="245">
        <f t="shared" si="2"/>
        <v>44459</v>
      </c>
      <c r="C183" s="244"/>
      <c r="D183" s="244"/>
      <c r="E183" s="244"/>
      <c r="F183" s="606"/>
      <c r="G183" s="606"/>
      <c r="H183" s="606"/>
      <c r="I183" s="606"/>
      <c r="J183" s="606"/>
      <c r="K183" s="606"/>
      <c r="L183" s="606"/>
    </row>
    <row r="184" spans="2:12">
      <c r="B184" s="245">
        <f t="shared" si="2"/>
        <v>44460</v>
      </c>
      <c r="C184" s="244"/>
      <c r="D184" s="244"/>
      <c r="E184" s="244"/>
      <c r="F184" s="606"/>
      <c r="G184" s="606"/>
      <c r="H184" s="606"/>
      <c r="I184" s="606"/>
      <c r="J184" s="606"/>
      <c r="K184" s="606"/>
      <c r="L184" s="606"/>
    </row>
    <row r="185" spans="2:12">
      <c r="B185" s="245">
        <f t="shared" si="2"/>
        <v>44461</v>
      </c>
      <c r="C185" s="244"/>
      <c r="D185" s="244"/>
      <c r="E185" s="244"/>
      <c r="F185" s="606"/>
      <c r="G185" s="606"/>
      <c r="H185" s="606"/>
      <c r="I185" s="606"/>
      <c r="J185" s="606"/>
      <c r="K185" s="606"/>
      <c r="L185" s="606"/>
    </row>
    <row r="186" spans="2:12">
      <c r="B186" s="245">
        <f t="shared" si="2"/>
        <v>44462</v>
      </c>
      <c r="C186" s="244"/>
      <c r="D186" s="244"/>
      <c r="E186" s="244"/>
      <c r="F186" s="606"/>
      <c r="G186" s="606"/>
      <c r="H186" s="606"/>
      <c r="I186" s="606"/>
      <c r="J186" s="606"/>
      <c r="K186" s="606"/>
      <c r="L186" s="606"/>
    </row>
    <row r="187" spans="2:12">
      <c r="B187" s="245">
        <f t="shared" si="2"/>
        <v>44463</v>
      </c>
      <c r="C187" s="244"/>
      <c r="D187" s="244"/>
      <c r="E187" s="244"/>
      <c r="F187" s="606"/>
      <c r="G187" s="606"/>
      <c r="H187" s="606"/>
      <c r="I187" s="606"/>
      <c r="J187" s="606"/>
      <c r="K187" s="606"/>
      <c r="L187" s="606"/>
    </row>
    <row r="188" spans="2:12">
      <c r="B188" s="245">
        <f t="shared" si="2"/>
        <v>44464</v>
      </c>
      <c r="C188" s="244"/>
      <c r="D188" s="244"/>
      <c r="E188" s="244"/>
      <c r="F188" s="606"/>
      <c r="G188" s="606"/>
      <c r="H188" s="606"/>
      <c r="I188" s="606"/>
      <c r="J188" s="606"/>
      <c r="K188" s="606"/>
      <c r="L188" s="606"/>
    </row>
    <row r="189" spans="2:12">
      <c r="B189" s="245">
        <f t="shared" si="2"/>
        <v>44465</v>
      </c>
      <c r="C189" s="244"/>
      <c r="D189" s="244"/>
      <c r="E189" s="244"/>
      <c r="F189" s="606"/>
      <c r="G189" s="606"/>
      <c r="H189" s="606"/>
      <c r="I189" s="606"/>
      <c r="J189" s="606"/>
      <c r="K189" s="606"/>
      <c r="L189" s="606"/>
    </row>
    <row r="190" spans="2:12">
      <c r="B190" s="245">
        <f t="shared" si="2"/>
        <v>44466</v>
      </c>
      <c r="C190" s="244"/>
      <c r="D190" s="244"/>
      <c r="E190" s="244"/>
      <c r="F190" s="606"/>
      <c r="G190" s="606"/>
      <c r="H190" s="606"/>
      <c r="I190" s="606"/>
      <c r="J190" s="606"/>
      <c r="K190" s="606"/>
      <c r="L190" s="606"/>
    </row>
    <row r="191" spans="2:12">
      <c r="B191" s="245">
        <f t="shared" si="2"/>
        <v>44467</v>
      </c>
      <c r="C191" s="244"/>
      <c r="D191" s="244"/>
      <c r="E191" s="244"/>
      <c r="F191" s="606"/>
      <c r="G191" s="606"/>
      <c r="H191" s="606"/>
      <c r="I191" s="606"/>
      <c r="J191" s="606"/>
      <c r="K191" s="606"/>
      <c r="L191" s="606"/>
    </row>
    <row r="192" spans="2:12">
      <c r="B192" s="245">
        <f t="shared" si="2"/>
        <v>44468</v>
      </c>
      <c r="C192" s="244"/>
      <c r="D192" s="244"/>
      <c r="E192" s="244"/>
      <c r="F192" s="606"/>
      <c r="G192" s="606"/>
      <c r="H192" s="606"/>
      <c r="I192" s="606"/>
      <c r="J192" s="606"/>
      <c r="K192" s="606"/>
      <c r="L192" s="606"/>
    </row>
    <row r="193" spans="2:12">
      <c r="B193" s="245">
        <f t="shared" si="2"/>
        <v>44469</v>
      </c>
      <c r="C193" s="244"/>
      <c r="D193" s="244"/>
      <c r="E193" s="244"/>
      <c r="F193" s="606"/>
      <c r="G193" s="606"/>
      <c r="H193" s="606"/>
      <c r="I193" s="606"/>
      <c r="J193" s="606"/>
      <c r="K193" s="606"/>
      <c r="L193" s="606"/>
    </row>
    <row r="194" spans="2:12">
      <c r="B194" s="245">
        <f t="shared" si="2"/>
        <v>44470</v>
      </c>
      <c r="C194" s="244"/>
      <c r="D194" s="244"/>
      <c r="E194" s="244"/>
      <c r="F194" s="606"/>
      <c r="G194" s="606"/>
      <c r="H194" s="606"/>
      <c r="I194" s="606"/>
      <c r="J194" s="606"/>
      <c r="K194" s="606"/>
      <c r="L194" s="606"/>
    </row>
    <row r="195" spans="2:12">
      <c r="B195" s="245">
        <f t="shared" si="2"/>
        <v>44471</v>
      </c>
      <c r="C195" s="244"/>
      <c r="D195" s="244"/>
      <c r="E195" s="244"/>
      <c r="F195" s="606"/>
      <c r="G195" s="606"/>
      <c r="H195" s="606"/>
      <c r="I195" s="606"/>
      <c r="J195" s="606"/>
      <c r="K195" s="606"/>
      <c r="L195" s="606"/>
    </row>
    <row r="196" spans="2:12">
      <c r="B196" s="245">
        <f t="shared" si="2"/>
        <v>44472</v>
      </c>
      <c r="C196" s="244"/>
      <c r="D196" s="244"/>
      <c r="E196" s="244"/>
      <c r="F196" s="606"/>
      <c r="G196" s="606"/>
      <c r="H196" s="606"/>
      <c r="I196" s="606"/>
      <c r="J196" s="606"/>
      <c r="K196" s="606"/>
      <c r="L196" s="606"/>
    </row>
    <row r="197" spans="2:12">
      <c r="B197" s="245">
        <f t="shared" si="2"/>
        <v>44473</v>
      </c>
      <c r="C197" s="244"/>
      <c r="D197" s="244"/>
      <c r="E197" s="244"/>
      <c r="F197" s="606"/>
      <c r="G197" s="606"/>
      <c r="H197" s="606"/>
      <c r="I197" s="606"/>
      <c r="J197" s="606"/>
      <c r="K197" s="606"/>
      <c r="L197" s="606"/>
    </row>
    <row r="198" spans="2:12">
      <c r="B198" s="245">
        <f t="shared" si="2"/>
        <v>44474</v>
      </c>
      <c r="C198" s="244"/>
      <c r="D198" s="244"/>
      <c r="E198" s="244"/>
      <c r="F198" s="606"/>
      <c r="G198" s="606"/>
      <c r="H198" s="606"/>
      <c r="I198" s="606"/>
      <c r="J198" s="606"/>
      <c r="K198" s="606"/>
      <c r="L198" s="606"/>
    </row>
    <row r="199" spans="2:12">
      <c r="B199" s="245">
        <f t="shared" si="2"/>
        <v>44475</v>
      </c>
      <c r="C199" s="244"/>
      <c r="D199" s="244"/>
      <c r="E199" s="244"/>
      <c r="F199" s="606"/>
      <c r="G199" s="606"/>
      <c r="H199" s="606"/>
      <c r="I199" s="606"/>
      <c r="J199" s="606"/>
      <c r="K199" s="606"/>
      <c r="L199" s="606"/>
    </row>
    <row r="200" spans="2:12">
      <c r="B200" s="245">
        <f t="shared" si="2"/>
        <v>44476</v>
      </c>
      <c r="C200" s="244"/>
      <c r="D200" s="244"/>
      <c r="E200" s="244"/>
      <c r="F200" s="606"/>
      <c r="G200" s="606"/>
      <c r="H200" s="606"/>
      <c r="I200" s="606"/>
      <c r="J200" s="606"/>
      <c r="K200" s="606"/>
      <c r="L200" s="606"/>
    </row>
    <row r="201" spans="2:12">
      <c r="B201" s="245">
        <f t="shared" si="2"/>
        <v>44477</v>
      </c>
      <c r="C201" s="244"/>
      <c r="D201" s="244"/>
      <c r="E201" s="244"/>
      <c r="F201" s="606"/>
      <c r="G201" s="606"/>
      <c r="H201" s="606"/>
      <c r="I201" s="606"/>
      <c r="J201" s="606"/>
      <c r="K201" s="606"/>
      <c r="L201" s="606"/>
    </row>
    <row r="202" spans="2:12">
      <c r="B202" s="245">
        <f t="shared" si="2"/>
        <v>44478</v>
      </c>
      <c r="C202" s="244"/>
      <c r="D202" s="244"/>
      <c r="E202" s="244"/>
      <c r="F202" s="606"/>
      <c r="G202" s="606"/>
      <c r="H202" s="606"/>
      <c r="I202" s="606"/>
      <c r="J202" s="606"/>
      <c r="K202" s="606"/>
      <c r="L202" s="606"/>
    </row>
    <row r="203" spans="2:12">
      <c r="B203" s="245">
        <f t="shared" si="2"/>
        <v>44479</v>
      </c>
      <c r="C203" s="244"/>
      <c r="D203" s="244"/>
      <c r="E203" s="244"/>
      <c r="F203" s="606"/>
      <c r="G203" s="606"/>
      <c r="H203" s="606"/>
      <c r="I203" s="606"/>
      <c r="J203" s="606"/>
      <c r="K203" s="606"/>
      <c r="L203" s="606"/>
    </row>
    <row r="204" spans="2:12">
      <c r="B204" s="245">
        <f t="shared" ref="B204:B267" si="3">B203+1</f>
        <v>44480</v>
      </c>
      <c r="C204" s="244"/>
      <c r="D204" s="244"/>
      <c r="E204" s="244"/>
      <c r="F204" s="606"/>
      <c r="G204" s="606"/>
      <c r="H204" s="606"/>
      <c r="I204" s="606"/>
      <c r="J204" s="606"/>
      <c r="K204" s="606"/>
      <c r="L204" s="606"/>
    </row>
    <row r="205" spans="2:12">
      <c r="B205" s="245">
        <f t="shared" si="3"/>
        <v>44481</v>
      </c>
      <c r="C205" s="244"/>
      <c r="D205" s="244"/>
      <c r="E205" s="244"/>
      <c r="F205" s="606"/>
      <c r="G205" s="606"/>
      <c r="H205" s="606"/>
      <c r="I205" s="606"/>
      <c r="J205" s="606"/>
      <c r="K205" s="606"/>
      <c r="L205" s="606"/>
    </row>
    <row r="206" spans="2:12">
      <c r="B206" s="245">
        <f t="shared" si="3"/>
        <v>44482</v>
      </c>
      <c r="C206" s="244"/>
      <c r="D206" s="244"/>
      <c r="E206" s="244"/>
      <c r="F206" s="606"/>
      <c r="G206" s="606"/>
      <c r="H206" s="606"/>
      <c r="I206" s="606"/>
      <c r="J206" s="606"/>
      <c r="K206" s="606"/>
      <c r="L206" s="606"/>
    </row>
    <row r="207" spans="2:12">
      <c r="B207" s="245">
        <f t="shared" si="3"/>
        <v>44483</v>
      </c>
      <c r="C207" s="244"/>
      <c r="D207" s="244"/>
      <c r="E207" s="244"/>
      <c r="F207" s="606"/>
      <c r="G207" s="606"/>
      <c r="H207" s="606"/>
      <c r="I207" s="606"/>
      <c r="J207" s="606"/>
      <c r="K207" s="606"/>
      <c r="L207" s="606"/>
    </row>
    <row r="208" spans="2:12">
      <c r="B208" s="245">
        <f t="shared" si="3"/>
        <v>44484</v>
      </c>
      <c r="C208" s="244"/>
      <c r="D208" s="244"/>
      <c r="E208" s="244"/>
      <c r="F208" s="606"/>
      <c r="G208" s="606"/>
      <c r="H208" s="606"/>
      <c r="I208" s="606"/>
      <c r="J208" s="606"/>
      <c r="K208" s="606"/>
      <c r="L208" s="606"/>
    </row>
    <row r="209" spans="2:12">
      <c r="B209" s="245">
        <f t="shared" si="3"/>
        <v>44485</v>
      </c>
      <c r="C209" s="244"/>
      <c r="D209" s="244"/>
      <c r="E209" s="244"/>
      <c r="F209" s="606"/>
      <c r="G209" s="606"/>
      <c r="H209" s="606"/>
      <c r="I209" s="606"/>
      <c r="J209" s="606"/>
      <c r="K209" s="606"/>
      <c r="L209" s="606"/>
    </row>
    <row r="210" spans="2:12">
      <c r="B210" s="245">
        <f t="shared" si="3"/>
        <v>44486</v>
      </c>
      <c r="C210" s="244"/>
      <c r="D210" s="244"/>
      <c r="E210" s="244"/>
      <c r="F210" s="606"/>
      <c r="G210" s="606"/>
      <c r="H210" s="606"/>
      <c r="I210" s="606"/>
      <c r="J210" s="606"/>
      <c r="K210" s="606"/>
      <c r="L210" s="606"/>
    </row>
    <row r="211" spans="2:12">
      <c r="B211" s="245">
        <f t="shared" si="3"/>
        <v>44487</v>
      </c>
      <c r="C211" s="244"/>
      <c r="D211" s="244"/>
      <c r="E211" s="244"/>
      <c r="F211" s="606"/>
      <c r="G211" s="606"/>
      <c r="H211" s="606"/>
      <c r="I211" s="606"/>
      <c r="J211" s="606"/>
      <c r="K211" s="606"/>
      <c r="L211" s="606"/>
    </row>
    <row r="212" spans="2:12">
      <c r="B212" s="245">
        <f t="shared" si="3"/>
        <v>44488</v>
      </c>
      <c r="C212" s="244"/>
      <c r="D212" s="244"/>
      <c r="E212" s="244"/>
      <c r="F212" s="606"/>
      <c r="G212" s="606"/>
      <c r="H212" s="606"/>
      <c r="I212" s="606"/>
      <c r="J212" s="606"/>
      <c r="K212" s="606"/>
      <c r="L212" s="606"/>
    </row>
    <row r="213" spans="2:12">
      <c r="B213" s="245">
        <f t="shared" si="3"/>
        <v>44489</v>
      </c>
      <c r="C213" s="244"/>
      <c r="D213" s="244"/>
      <c r="E213" s="244"/>
      <c r="F213" s="606"/>
      <c r="G213" s="606"/>
      <c r="H213" s="606"/>
      <c r="I213" s="606"/>
      <c r="J213" s="606"/>
      <c r="K213" s="606"/>
      <c r="L213" s="606"/>
    </row>
    <row r="214" spans="2:12">
      <c r="B214" s="245">
        <f t="shared" si="3"/>
        <v>44490</v>
      </c>
      <c r="C214" s="244"/>
      <c r="D214" s="244"/>
      <c r="E214" s="244"/>
      <c r="F214" s="606"/>
      <c r="G214" s="606"/>
      <c r="H214" s="606"/>
      <c r="I214" s="606"/>
      <c r="J214" s="606"/>
      <c r="K214" s="606"/>
      <c r="L214" s="606"/>
    </row>
    <row r="215" spans="2:12">
      <c r="B215" s="245">
        <f t="shared" si="3"/>
        <v>44491</v>
      </c>
      <c r="C215" s="244"/>
      <c r="D215" s="244"/>
      <c r="E215" s="244"/>
      <c r="F215" s="606"/>
      <c r="G215" s="606"/>
      <c r="H215" s="606"/>
      <c r="I215" s="606"/>
      <c r="J215" s="606"/>
      <c r="K215" s="606"/>
      <c r="L215" s="606"/>
    </row>
    <row r="216" spans="2:12">
      <c r="B216" s="245">
        <f t="shared" si="3"/>
        <v>44492</v>
      </c>
      <c r="C216" s="244"/>
      <c r="D216" s="244"/>
      <c r="E216" s="244"/>
      <c r="F216" s="606"/>
      <c r="G216" s="606"/>
      <c r="H216" s="606"/>
      <c r="I216" s="606"/>
      <c r="J216" s="606"/>
      <c r="K216" s="606"/>
      <c r="L216" s="606"/>
    </row>
    <row r="217" spans="2:12">
      <c r="B217" s="245">
        <f t="shared" si="3"/>
        <v>44493</v>
      </c>
      <c r="C217" s="244"/>
      <c r="D217" s="244"/>
      <c r="E217" s="244"/>
      <c r="F217" s="606"/>
      <c r="G217" s="606"/>
      <c r="H217" s="606"/>
      <c r="I217" s="606"/>
      <c r="J217" s="606"/>
      <c r="K217" s="606"/>
      <c r="L217" s="606"/>
    </row>
    <row r="218" spans="2:12">
      <c r="B218" s="245">
        <f t="shared" si="3"/>
        <v>44494</v>
      </c>
      <c r="C218" s="244"/>
      <c r="D218" s="244"/>
      <c r="E218" s="244"/>
      <c r="F218" s="606"/>
      <c r="G218" s="606"/>
      <c r="H218" s="606"/>
      <c r="I218" s="606"/>
      <c r="J218" s="606"/>
      <c r="K218" s="606"/>
      <c r="L218" s="606"/>
    </row>
    <row r="219" spans="2:12">
      <c r="B219" s="245">
        <f t="shared" si="3"/>
        <v>44495</v>
      </c>
      <c r="C219" s="244"/>
      <c r="D219" s="244"/>
      <c r="E219" s="244"/>
      <c r="F219" s="606"/>
      <c r="G219" s="606"/>
      <c r="H219" s="606"/>
      <c r="I219" s="606"/>
      <c r="J219" s="606"/>
      <c r="K219" s="606"/>
      <c r="L219" s="606"/>
    </row>
    <row r="220" spans="2:12">
      <c r="B220" s="245">
        <f t="shared" si="3"/>
        <v>44496</v>
      </c>
      <c r="C220" s="244"/>
      <c r="D220" s="244"/>
      <c r="E220" s="244"/>
      <c r="F220" s="606"/>
      <c r="G220" s="606"/>
      <c r="H220" s="606"/>
      <c r="I220" s="606"/>
      <c r="J220" s="606"/>
      <c r="K220" s="606"/>
      <c r="L220" s="606"/>
    </row>
    <row r="221" spans="2:12">
      <c r="B221" s="245">
        <f t="shared" si="3"/>
        <v>44497</v>
      </c>
      <c r="C221" s="244"/>
      <c r="D221" s="244"/>
      <c r="E221" s="244"/>
      <c r="F221" s="606"/>
      <c r="G221" s="606"/>
      <c r="H221" s="606"/>
      <c r="I221" s="606"/>
      <c r="J221" s="606"/>
      <c r="K221" s="606"/>
      <c r="L221" s="606"/>
    </row>
    <row r="222" spans="2:12">
      <c r="B222" s="245">
        <f t="shared" si="3"/>
        <v>44498</v>
      </c>
      <c r="C222" s="244"/>
      <c r="D222" s="244"/>
      <c r="E222" s="244"/>
      <c r="F222" s="606"/>
      <c r="G222" s="606"/>
      <c r="H222" s="606"/>
      <c r="I222" s="606"/>
      <c r="J222" s="606"/>
      <c r="K222" s="606"/>
      <c r="L222" s="606"/>
    </row>
    <row r="223" spans="2:12">
      <c r="B223" s="245">
        <f t="shared" si="3"/>
        <v>44499</v>
      </c>
      <c r="C223" s="244"/>
      <c r="D223" s="244"/>
      <c r="E223" s="244"/>
      <c r="F223" s="606"/>
      <c r="G223" s="606"/>
      <c r="H223" s="606"/>
      <c r="I223" s="606"/>
      <c r="J223" s="606"/>
      <c r="K223" s="606"/>
      <c r="L223" s="606"/>
    </row>
    <row r="224" spans="2:12">
      <c r="B224" s="245">
        <f t="shared" si="3"/>
        <v>44500</v>
      </c>
      <c r="C224" s="244"/>
      <c r="D224" s="244"/>
      <c r="E224" s="244"/>
      <c r="F224" s="606"/>
      <c r="G224" s="606"/>
      <c r="H224" s="606"/>
      <c r="I224" s="606"/>
      <c r="J224" s="606"/>
      <c r="K224" s="606"/>
      <c r="L224" s="606"/>
    </row>
    <row r="225" spans="2:12">
      <c r="B225" s="245">
        <f t="shared" si="3"/>
        <v>44501</v>
      </c>
      <c r="C225" s="244"/>
      <c r="D225" s="244"/>
      <c r="E225" s="244"/>
      <c r="F225" s="606"/>
      <c r="G225" s="606"/>
      <c r="H225" s="606"/>
      <c r="I225" s="606"/>
      <c r="J225" s="606"/>
      <c r="K225" s="606"/>
      <c r="L225" s="606"/>
    </row>
    <row r="226" spans="2:12">
      <c r="B226" s="245">
        <f t="shared" si="3"/>
        <v>44502</v>
      </c>
      <c r="C226" s="244"/>
      <c r="D226" s="244"/>
      <c r="E226" s="244"/>
      <c r="F226" s="606"/>
      <c r="G226" s="606"/>
      <c r="H226" s="606"/>
      <c r="I226" s="606"/>
      <c r="J226" s="606"/>
      <c r="K226" s="606"/>
      <c r="L226" s="606"/>
    </row>
    <row r="227" spans="2:12">
      <c r="B227" s="245">
        <f t="shared" si="3"/>
        <v>44503</v>
      </c>
      <c r="C227" s="244"/>
      <c r="D227" s="244"/>
      <c r="E227" s="244"/>
      <c r="F227" s="606"/>
      <c r="G227" s="606"/>
      <c r="H227" s="606"/>
      <c r="I227" s="606"/>
      <c r="J227" s="606"/>
      <c r="K227" s="606"/>
      <c r="L227" s="606"/>
    </row>
    <row r="228" spans="2:12">
      <c r="B228" s="245">
        <f t="shared" si="3"/>
        <v>44504</v>
      </c>
      <c r="C228" s="244"/>
      <c r="D228" s="244"/>
      <c r="E228" s="244"/>
      <c r="F228" s="606"/>
      <c r="G228" s="606"/>
      <c r="H228" s="606"/>
      <c r="I228" s="606"/>
      <c r="J228" s="606"/>
      <c r="K228" s="606"/>
      <c r="L228" s="606"/>
    </row>
    <row r="229" spans="2:12">
      <c r="B229" s="245">
        <f t="shared" si="3"/>
        <v>44505</v>
      </c>
      <c r="C229" s="244"/>
      <c r="D229" s="244"/>
      <c r="E229" s="244"/>
      <c r="F229" s="606"/>
      <c r="G229" s="606"/>
      <c r="H229" s="606"/>
      <c r="I229" s="606"/>
      <c r="J229" s="606"/>
      <c r="K229" s="606"/>
      <c r="L229" s="606"/>
    </row>
    <row r="230" spans="2:12">
      <c r="B230" s="245">
        <f t="shared" si="3"/>
        <v>44506</v>
      </c>
      <c r="C230" s="244"/>
      <c r="D230" s="244"/>
      <c r="E230" s="244"/>
      <c r="F230" s="606"/>
      <c r="G230" s="606"/>
      <c r="H230" s="606"/>
      <c r="I230" s="606"/>
      <c r="J230" s="606"/>
      <c r="K230" s="606"/>
      <c r="L230" s="606"/>
    </row>
    <row r="231" spans="2:12">
      <c r="B231" s="245">
        <f t="shared" si="3"/>
        <v>44507</v>
      </c>
      <c r="C231" s="244"/>
      <c r="D231" s="244"/>
      <c r="E231" s="244"/>
      <c r="F231" s="606"/>
      <c r="G231" s="606"/>
      <c r="H231" s="606"/>
      <c r="I231" s="606"/>
      <c r="J231" s="606"/>
      <c r="K231" s="606"/>
      <c r="L231" s="606"/>
    </row>
    <row r="232" spans="2:12">
      <c r="B232" s="245">
        <f t="shared" si="3"/>
        <v>44508</v>
      </c>
      <c r="C232" s="244"/>
      <c r="D232" s="244"/>
      <c r="E232" s="244"/>
      <c r="F232" s="606"/>
      <c r="G232" s="606"/>
      <c r="H232" s="606"/>
      <c r="I232" s="606"/>
      <c r="J232" s="606"/>
      <c r="K232" s="606"/>
      <c r="L232" s="606"/>
    </row>
    <row r="233" spans="2:12">
      <c r="B233" s="245">
        <f t="shared" si="3"/>
        <v>44509</v>
      </c>
      <c r="C233" s="244"/>
      <c r="D233" s="244"/>
      <c r="E233" s="244"/>
      <c r="F233" s="606"/>
      <c r="G233" s="606"/>
      <c r="H233" s="606"/>
      <c r="I233" s="606"/>
      <c r="J233" s="606"/>
      <c r="K233" s="606"/>
      <c r="L233" s="606"/>
    </row>
    <row r="234" spans="2:12">
      <c r="B234" s="245">
        <f t="shared" si="3"/>
        <v>44510</v>
      </c>
      <c r="C234" s="244"/>
      <c r="D234" s="244"/>
      <c r="E234" s="244"/>
      <c r="F234" s="606"/>
      <c r="G234" s="606"/>
      <c r="H234" s="606"/>
      <c r="I234" s="606"/>
      <c r="J234" s="606"/>
      <c r="K234" s="606"/>
      <c r="L234" s="606"/>
    </row>
    <row r="235" spans="2:12">
      <c r="B235" s="245">
        <f t="shared" si="3"/>
        <v>44511</v>
      </c>
      <c r="C235" s="244"/>
      <c r="D235" s="244"/>
      <c r="E235" s="244"/>
      <c r="F235" s="606"/>
      <c r="G235" s="606"/>
      <c r="H235" s="606"/>
      <c r="I235" s="606"/>
      <c r="J235" s="606"/>
      <c r="K235" s="606"/>
      <c r="L235" s="606"/>
    </row>
    <row r="236" spans="2:12">
      <c r="B236" s="245">
        <f t="shared" si="3"/>
        <v>44512</v>
      </c>
      <c r="C236" s="244"/>
      <c r="D236" s="244"/>
      <c r="E236" s="244"/>
      <c r="F236" s="606"/>
      <c r="G236" s="606"/>
      <c r="H236" s="606"/>
      <c r="I236" s="606"/>
      <c r="J236" s="606"/>
      <c r="K236" s="606"/>
      <c r="L236" s="606"/>
    </row>
    <row r="237" spans="2:12">
      <c r="B237" s="245">
        <f t="shared" si="3"/>
        <v>44513</v>
      </c>
      <c r="C237" s="244"/>
      <c r="D237" s="244"/>
      <c r="E237" s="244"/>
      <c r="F237" s="606"/>
      <c r="G237" s="606"/>
      <c r="H237" s="606"/>
      <c r="I237" s="606"/>
      <c r="J237" s="606"/>
      <c r="K237" s="606"/>
      <c r="L237" s="606"/>
    </row>
    <row r="238" spans="2:12">
      <c r="B238" s="245">
        <f t="shared" si="3"/>
        <v>44514</v>
      </c>
      <c r="C238" s="244"/>
      <c r="D238" s="244"/>
      <c r="E238" s="244"/>
      <c r="F238" s="606"/>
      <c r="G238" s="606"/>
      <c r="H238" s="606"/>
      <c r="I238" s="606"/>
      <c r="J238" s="606"/>
      <c r="K238" s="606"/>
      <c r="L238" s="606"/>
    </row>
    <row r="239" spans="2:12">
      <c r="B239" s="245">
        <f t="shared" si="3"/>
        <v>44515</v>
      </c>
      <c r="C239" s="244"/>
      <c r="D239" s="244"/>
      <c r="E239" s="244"/>
      <c r="F239" s="606"/>
      <c r="G239" s="606"/>
      <c r="H239" s="606"/>
      <c r="I239" s="606"/>
      <c r="J239" s="606"/>
      <c r="K239" s="606"/>
      <c r="L239" s="606"/>
    </row>
    <row r="240" spans="2:12">
      <c r="B240" s="245">
        <f t="shared" si="3"/>
        <v>44516</v>
      </c>
      <c r="C240" s="244"/>
      <c r="D240" s="244"/>
      <c r="E240" s="244"/>
      <c r="F240" s="606"/>
      <c r="G240" s="606"/>
      <c r="H240" s="606"/>
      <c r="I240" s="606"/>
      <c r="J240" s="606"/>
      <c r="K240" s="606"/>
      <c r="L240" s="606"/>
    </row>
    <row r="241" spans="2:12">
      <c r="B241" s="245">
        <f t="shared" si="3"/>
        <v>44517</v>
      </c>
      <c r="C241" s="244"/>
      <c r="D241" s="244"/>
      <c r="E241" s="244"/>
      <c r="F241" s="606"/>
      <c r="G241" s="606"/>
      <c r="H241" s="606"/>
      <c r="I241" s="606"/>
      <c r="J241" s="606"/>
      <c r="K241" s="606"/>
      <c r="L241" s="606"/>
    </row>
    <row r="242" spans="2:12">
      <c r="B242" s="245">
        <f t="shared" si="3"/>
        <v>44518</v>
      </c>
      <c r="C242" s="244"/>
      <c r="D242" s="244"/>
      <c r="E242" s="244"/>
      <c r="F242" s="606"/>
      <c r="G242" s="606"/>
      <c r="H242" s="606"/>
      <c r="I242" s="606"/>
      <c r="J242" s="606"/>
      <c r="K242" s="606"/>
      <c r="L242" s="606"/>
    </row>
    <row r="243" spans="2:12">
      <c r="B243" s="245">
        <f t="shared" si="3"/>
        <v>44519</v>
      </c>
      <c r="C243" s="244"/>
      <c r="D243" s="244"/>
      <c r="E243" s="244"/>
      <c r="F243" s="606"/>
      <c r="G243" s="606"/>
      <c r="H243" s="606"/>
      <c r="I243" s="606"/>
      <c r="J243" s="606"/>
      <c r="K243" s="606"/>
      <c r="L243" s="606"/>
    </row>
    <row r="244" spans="2:12">
      <c r="B244" s="245">
        <f t="shared" si="3"/>
        <v>44520</v>
      </c>
      <c r="C244" s="244"/>
      <c r="D244" s="244"/>
      <c r="E244" s="244"/>
      <c r="F244" s="606"/>
      <c r="G244" s="606"/>
      <c r="H244" s="606"/>
      <c r="I244" s="606"/>
      <c r="J244" s="606"/>
      <c r="K244" s="606"/>
      <c r="L244" s="606"/>
    </row>
    <row r="245" spans="2:12">
      <c r="B245" s="245">
        <f t="shared" si="3"/>
        <v>44521</v>
      </c>
      <c r="C245" s="244"/>
      <c r="D245" s="244"/>
      <c r="E245" s="244"/>
      <c r="F245" s="606"/>
      <c r="G245" s="606"/>
      <c r="H245" s="606"/>
      <c r="I245" s="606"/>
      <c r="J245" s="606"/>
      <c r="K245" s="606"/>
      <c r="L245" s="606"/>
    </row>
    <row r="246" spans="2:12">
      <c r="B246" s="245">
        <f t="shared" si="3"/>
        <v>44522</v>
      </c>
      <c r="C246" s="244"/>
      <c r="D246" s="244"/>
      <c r="E246" s="244"/>
      <c r="F246" s="606"/>
      <c r="G246" s="606"/>
      <c r="H246" s="606"/>
      <c r="I246" s="606"/>
      <c r="J246" s="606"/>
      <c r="K246" s="606"/>
      <c r="L246" s="606"/>
    </row>
    <row r="247" spans="2:12">
      <c r="B247" s="245">
        <f t="shared" si="3"/>
        <v>44523</v>
      </c>
      <c r="C247" s="244"/>
      <c r="D247" s="244"/>
      <c r="E247" s="244"/>
      <c r="F247" s="606"/>
      <c r="G247" s="606"/>
      <c r="H247" s="606"/>
      <c r="I247" s="606"/>
      <c r="J247" s="606"/>
      <c r="K247" s="606"/>
      <c r="L247" s="606"/>
    </row>
    <row r="248" spans="2:12">
      <c r="B248" s="245">
        <f t="shared" si="3"/>
        <v>44524</v>
      </c>
      <c r="C248" s="244"/>
      <c r="D248" s="244"/>
      <c r="E248" s="244"/>
      <c r="F248" s="606"/>
      <c r="G248" s="606"/>
      <c r="H248" s="606"/>
      <c r="I248" s="606"/>
      <c r="J248" s="606"/>
      <c r="K248" s="606"/>
      <c r="L248" s="606"/>
    </row>
    <row r="249" spans="2:12">
      <c r="B249" s="245">
        <f t="shared" si="3"/>
        <v>44525</v>
      </c>
      <c r="C249" s="244"/>
      <c r="D249" s="244"/>
      <c r="E249" s="244"/>
      <c r="F249" s="606"/>
      <c r="G249" s="606"/>
      <c r="H249" s="606"/>
      <c r="I249" s="606"/>
      <c r="J249" s="606"/>
      <c r="K249" s="606"/>
      <c r="L249" s="606"/>
    </row>
    <row r="250" spans="2:12">
      <c r="B250" s="245">
        <f t="shared" si="3"/>
        <v>44526</v>
      </c>
      <c r="C250" s="244"/>
      <c r="D250" s="244"/>
      <c r="E250" s="244"/>
      <c r="F250" s="606"/>
      <c r="G250" s="606"/>
      <c r="H250" s="606"/>
      <c r="I250" s="606"/>
      <c r="J250" s="606"/>
      <c r="K250" s="606"/>
      <c r="L250" s="606"/>
    </row>
    <row r="251" spans="2:12">
      <c r="B251" s="245">
        <f t="shared" si="3"/>
        <v>44527</v>
      </c>
      <c r="C251" s="244"/>
      <c r="D251" s="244"/>
      <c r="E251" s="244"/>
      <c r="F251" s="606"/>
      <c r="G251" s="606"/>
      <c r="H251" s="606"/>
      <c r="I251" s="606"/>
      <c r="J251" s="606"/>
      <c r="K251" s="606"/>
      <c r="L251" s="606"/>
    </row>
    <row r="252" spans="2:12">
      <c r="B252" s="245">
        <f t="shared" si="3"/>
        <v>44528</v>
      </c>
      <c r="C252" s="244"/>
      <c r="D252" s="244"/>
      <c r="E252" s="244"/>
      <c r="F252" s="606"/>
      <c r="G252" s="606"/>
      <c r="H252" s="606"/>
      <c r="I252" s="606"/>
      <c r="J252" s="606"/>
      <c r="K252" s="606"/>
      <c r="L252" s="606"/>
    </row>
    <row r="253" spans="2:12">
      <c r="B253" s="245">
        <f t="shared" si="3"/>
        <v>44529</v>
      </c>
      <c r="C253" s="244"/>
      <c r="D253" s="244"/>
      <c r="E253" s="244"/>
      <c r="F253" s="606"/>
      <c r="G253" s="606"/>
      <c r="H253" s="606"/>
      <c r="I253" s="606"/>
      <c r="J253" s="606"/>
      <c r="K253" s="606"/>
      <c r="L253" s="606"/>
    </row>
    <row r="254" spans="2:12">
      <c r="B254" s="245">
        <f t="shared" si="3"/>
        <v>44530</v>
      </c>
      <c r="C254" s="244"/>
      <c r="D254" s="244"/>
      <c r="E254" s="244"/>
      <c r="F254" s="606"/>
      <c r="G254" s="606"/>
      <c r="H254" s="606"/>
      <c r="I254" s="606"/>
      <c r="J254" s="606"/>
      <c r="K254" s="606"/>
      <c r="L254" s="606"/>
    </row>
    <row r="255" spans="2:12">
      <c r="B255" s="245">
        <f t="shared" si="3"/>
        <v>44531</v>
      </c>
      <c r="C255" s="244"/>
      <c r="D255" s="244"/>
      <c r="E255" s="244"/>
      <c r="F255" s="606"/>
      <c r="G255" s="606"/>
      <c r="H255" s="606"/>
      <c r="I255" s="606"/>
      <c r="J255" s="606"/>
      <c r="K255" s="606"/>
      <c r="L255" s="606"/>
    </row>
    <row r="256" spans="2:12">
      <c r="B256" s="245">
        <f t="shared" si="3"/>
        <v>44532</v>
      </c>
      <c r="C256" s="244"/>
      <c r="D256" s="244"/>
      <c r="E256" s="244"/>
      <c r="F256" s="606"/>
      <c r="G256" s="606"/>
      <c r="H256" s="606"/>
      <c r="I256" s="606"/>
      <c r="J256" s="606"/>
      <c r="K256" s="606"/>
      <c r="L256" s="606"/>
    </row>
    <row r="257" spans="2:12">
      <c r="B257" s="245">
        <f t="shared" si="3"/>
        <v>44533</v>
      </c>
      <c r="C257" s="244"/>
      <c r="D257" s="244"/>
      <c r="E257" s="244"/>
      <c r="F257" s="606"/>
      <c r="G257" s="606"/>
      <c r="H257" s="606"/>
      <c r="I257" s="606"/>
      <c r="J257" s="606"/>
      <c r="K257" s="606"/>
      <c r="L257" s="606"/>
    </row>
    <row r="258" spans="2:12">
      <c r="B258" s="245">
        <f t="shared" si="3"/>
        <v>44534</v>
      </c>
      <c r="C258" s="244"/>
      <c r="D258" s="244"/>
      <c r="E258" s="244"/>
      <c r="F258" s="606"/>
      <c r="G258" s="606"/>
      <c r="H258" s="606"/>
      <c r="I258" s="606"/>
      <c r="J258" s="606"/>
      <c r="K258" s="606"/>
      <c r="L258" s="606"/>
    </row>
    <row r="259" spans="2:12">
      <c r="B259" s="245">
        <f t="shared" si="3"/>
        <v>44535</v>
      </c>
      <c r="C259" s="244"/>
      <c r="D259" s="244"/>
      <c r="E259" s="244"/>
      <c r="F259" s="606"/>
      <c r="G259" s="606"/>
      <c r="H259" s="606"/>
      <c r="I259" s="606"/>
      <c r="J259" s="606"/>
      <c r="K259" s="606"/>
      <c r="L259" s="606"/>
    </row>
    <row r="260" spans="2:12">
      <c r="B260" s="245">
        <f t="shared" si="3"/>
        <v>44536</v>
      </c>
      <c r="C260" s="244"/>
      <c r="D260" s="244"/>
      <c r="E260" s="244"/>
      <c r="F260" s="606"/>
      <c r="G260" s="606"/>
      <c r="H260" s="606"/>
      <c r="I260" s="606"/>
      <c r="J260" s="606"/>
      <c r="K260" s="606"/>
      <c r="L260" s="606"/>
    </row>
    <row r="261" spans="2:12">
      <c r="B261" s="245">
        <f t="shared" si="3"/>
        <v>44537</v>
      </c>
      <c r="C261" s="244"/>
      <c r="D261" s="244"/>
      <c r="E261" s="244"/>
      <c r="F261" s="606"/>
      <c r="G261" s="606"/>
      <c r="H261" s="606"/>
      <c r="I261" s="606"/>
      <c r="J261" s="606"/>
      <c r="K261" s="606"/>
      <c r="L261" s="606"/>
    </row>
    <row r="262" spans="2:12">
      <c r="B262" s="245">
        <f t="shared" si="3"/>
        <v>44538</v>
      </c>
      <c r="C262" s="244"/>
      <c r="D262" s="244"/>
      <c r="E262" s="244"/>
      <c r="F262" s="606"/>
      <c r="G262" s="606"/>
      <c r="H262" s="606"/>
      <c r="I262" s="606"/>
      <c r="J262" s="606"/>
      <c r="K262" s="606"/>
      <c r="L262" s="606"/>
    </row>
    <row r="263" spans="2:12">
      <c r="B263" s="245">
        <f t="shared" si="3"/>
        <v>44539</v>
      </c>
      <c r="C263" s="244"/>
      <c r="D263" s="244"/>
      <c r="E263" s="244"/>
      <c r="F263" s="606"/>
      <c r="G263" s="606"/>
      <c r="H263" s="606"/>
      <c r="I263" s="606"/>
      <c r="J263" s="606"/>
      <c r="K263" s="606"/>
      <c r="L263" s="606"/>
    </row>
    <row r="264" spans="2:12">
      <c r="B264" s="245">
        <f t="shared" si="3"/>
        <v>44540</v>
      </c>
      <c r="C264" s="244"/>
      <c r="D264" s="244"/>
      <c r="E264" s="244"/>
      <c r="F264" s="606"/>
      <c r="G264" s="606"/>
      <c r="H264" s="606"/>
      <c r="I264" s="606"/>
      <c r="J264" s="606"/>
      <c r="K264" s="606"/>
      <c r="L264" s="606"/>
    </row>
    <row r="265" spans="2:12">
      <c r="B265" s="245">
        <f t="shared" si="3"/>
        <v>44541</v>
      </c>
      <c r="C265" s="244"/>
      <c r="D265" s="244"/>
      <c r="E265" s="244"/>
      <c r="F265" s="606"/>
      <c r="G265" s="606"/>
      <c r="H265" s="606"/>
      <c r="I265" s="606"/>
      <c r="J265" s="606"/>
      <c r="K265" s="606"/>
      <c r="L265" s="606"/>
    </row>
    <row r="266" spans="2:12">
      <c r="B266" s="245">
        <f t="shared" si="3"/>
        <v>44542</v>
      </c>
      <c r="C266" s="244"/>
      <c r="D266" s="244"/>
      <c r="E266" s="244"/>
      <c r="F266" s="606"/>
      <c r="G266" s="606"/>
      <c r="H266" s="606"/>
      <c r="I266" s="606"/>
      <c r="J266" s="606"/>
      <c r="K266" s="606"/>
      <c r="L266" s="606"/>
    </row>
    <row r="267" spans="2:12">
      <c r="B267" s="245">
        <f t="shared" si="3"/>
        <v>44543</v>
      </c>
      <c r="C267" s="244"/>
      <c r="D267" s="244"/>
      <c r="E267" s="244"/>
      <c r="F267" s="606"/>
      <c r="G267" s="606"/>
      <c r="H267" s="606"/>
      <c r="I267" s="606"/>
      <c r="J267" s="606"/>
      <c r="K267" s="606"/>
      <c r="L267" s="606"/>
    </row>
    <row r="268" spans="2:12">
      <c r="B268" s="245">
        <f t="shared" ref="B268:B331" si="4">B267+1</f>
        <v>44544</v>
      </c>
      <c r="C268" s="244"/>
      <c r="D268" s="244"/>
      <c r="E268" s="244"/>
      <c r="F268" s="606"/>
      <c r="G268" s="606"/>
      <c r="H268" s="606"/>
      <c r="I268" s="606"/>
      <c r="J268" s="606"/>
      <c r="K268" s="606"/>
      <c r="L268" s="606"/>
    </row>
    <row r="269" spans="2:12">
      <c r="B269" s="245">
        <f t="shared" si="4"/>
        <v>44545</v>
      </c>
      <c r="C269" s="244"/>
      <c r="D269" s="244"/>
      <c r="E269" s="244"/>
      <c r="F269" s="606"/>
      <c r="G269" s="606"/>
      <c r="H269" s="606"/>
      <c r="I269" s="606"/>
      <c r="J269" s="606"/>
      <c r="K269" s="606"/>
      <c r="L269" s="606"/>
    </row>
    <row r="270" spans="2:12">
      <c r="B270" s="245">
        <f t="shared" si="4"/>
        <v>44546</v>
      </c>
      <c r="C270" s="244"/>
      <c r="D270" s="244"/>
      <c r="E270" s="244"/>
      <c r="F270" s="606"/>
      <c r="G270" s="606"/>
      <c r="H270" s="606"/>
      <c r="I270" s="606"/>
      <c r="J270" s="606"/>
      <c r="K270" s="606"/>
      <c r="L270" s="606"/>
    </row>
    <row r="271" spans="2:12">
      <c r="B271" s="245">
        <f t="shared" si="4"/>
        <v>44547</v>
      </c>
      <c r="C271" s="244"/>
      <c r="D271" s="244"/>
      <c r="E271" s="244"/>
      <c r="F271" s="606"/>
      <c r="G271" s="606"/>
      <c r="H271" s="606"/>
      <c r="I271" s="606"/>
      <c r="J271" s="606"/>
      <c r="K271" s="606"/>
      <c r="L271" s="606"/>
    </row>
    <row r="272" spans="2:12">
      <c r="B272" s="245">
        <f t="shared" si="4"/>
        <v>44548</v>
      </c>
      <c r="C272" s="244"/>
      <c r="D272" s="244"/>
      <c r="E272" s="244"/>
      <c r="F272" s="606"/>
      <c r="G272" s="606"/>
      <c r="H272" s="606"/>
      <c r="I272" s="606"/>
      <c r="J272" s="606"/>
      <c r="K272" s="606"/>
      <c r="L272" s="606"/>
    </row>
    <row r="273" spans="2:12">
      <c r="B273" s="245">
        <f t="shared" si="4"/>
        <v>44549</v>
      </c>
      <c r="C273" s="244"/>
      <c r="D273" s="244"/>
      <c r="E273" s="244"/>
      <c r="F273" s="606"/>
      <c r="G273" s="606"/>
      <c r="H273" s="606"/>
      <c r="I273" s="606"/>
      <c r="J273" s="606"/>
      <c r="K273" s="606"/>
      <c r="L273" s="606"/>
    </row>
    <row r="274" spans="2:12">
      <c r="B274" s="245">
        <f t="shared" si="4"/>
        <v>44550</v>
      </c>
      <c r="C274" s="244"/>
      <c r="D274" s="244"/>
      <c r="E274" s="244"/>
      <c r="F274" s="606"/>
      <c r="G274" s="606"/>
      <c r="H274" s="606"/>
      <c r="I274" s="606"/>
      <c r="J274" s="606"/>
      <c r="K274" s="606"/>
      <c r="L274" s="606"/>
    </row>
    <row r="275" spans="2:12">
      <c r="B275" s="245">
        <f t="shared" si="4"/>
        <v>44551</v>
      </c>
      <c r="C275" s="244"/>
      <c r="D275" s="244"/>
      <c r="E275" s="244"/>
      <c r="F275" s="606"/>
      <c r="G275" s="606"/>
      <c r="H275" s="606"/>
      <c r="I275" s="606"/>
      <c r="J275" s="606"/>
      <c r="K275" s="606"/>
      <c r="L275" s="606"/>
    </row>
    <row r="276" spans="2:12">
      <c r="B276" s="245">
        <f t="shared" si="4"/>
        <v>44552</v>
      </c>
      <c r="C276" s="244"/>
      <c r="D276" s="244"/>
      <c r="E276" s="244"/>
      <c r="F276" s="606"/>
      <c r="G276" s="606"/>
      <c r="H276" s="606"/>
      <c r="I276" s="606"/>
      <c r="J276" s="606"/>
      <c r="K276" s="606"/>
      <c r="L276" s="606"/>
    </row>
    <row r="277" spans="2:12">
      <c r="B277" s="245">
        <f t="shared" si="4"/>
        <v>44553</v>
      </c>
      <c r="C277" s="244"/>
      <c r="D277" s="244"/>
      <c r="E277" s="244"/>
      <c r="F277" s="606"/>
      <c r="G277" s="606"/>
      <c r="H277" s="606"/>
      <c r="I277" s="606"/>
      <c r="J277" s="606"/>
      <c r="K277" s="606"/>
      <c r="L277" s="606"/>
    </row>
    <row r="278" spans="2:12">
      <c r="B278" s="245">
        <f t="shared" si="4"/>
        <v>44554</v>
      </c>
      <c r="C278" s="244"/>
      <c r="D278" s="244"/>
      <c r="E278" s="244"/>
      <c r="F278" s="606"/>
      <c r="G278" s="606"/>
      <c r="H278" s="606"/>
      <c r="I278" s="606"/>
      <c r="J278" s="606"/>
      <c r="K278" s="606"/>
      <c r="L278" s="606"/>
    </row>
    <row r="279" spans="2:12">
      <c r="B279" s="245">
        <f t="shared" si="4"/>
        <v>44555</v>
      </c>
      <c r="C279" s="244"/>
      <c r="D279" s="244"/>
      <c r="E279" s="244"/>
      <c r="F279" s="606"/>
      <c r="G279" s="606"/>
      <c r="H279" s="606"/>
      <c r="I279" s="606"/>
      <c r="J279" s="606"/>
      <c r="K279" s="606"/>
      <c r="L279" s="606"/>
    </row>
    <row r="280" spans="2:12">
      <c r="B280" s="245">
        <f t="shared" si="4"/>
        <v>44556</v>
      </c>
      <c r="C280" s="244"/>
      <c r="D280" s="244"/>
      <c r="E280" s="244"/>
      <c r="F280" s="606"/>
      <c r="G280" s="606"/>
      <c r="H280" s="606"/>
      <c r="I280" s="606"/>
      <c r="J280" s="606"/>
      <c r="K280" s="606"/>
      <c r="L280" s="606"/>
    </row>
    <row r="281" spans="2:12">
      <c r="B281" s="245">
        <f t="shared" si="4"/>
        <v>44557</v>
      </c>
      <c r="C281" s="244"/>
      <c r="D281" s="244"/>
      <c r="E281" s="244"/>
      <c r="F281" s="606"/>
      <c r="G281" s="606"/>
      <c r="H281" s="606"/>
      <c r="I281" s="606"/>
      <c r="J281" s="606"/>
      <c r="K281" s="606"/>
      <c r="L281" s="606"/>
    </row>
    <row r="282" spans="2:12">
      <c r="B282" s="245">
        <f t="shared" si="4"/>
        <v>44558</v>
      </c>
      <c r="C282" s="244"/>
      <c r="D282" s="244"/>
      <c r="E282" s="244"/>
      <c r="F282" s="606"/>
      <c r="G282" s="606"/>
      <c r="H282" s="606"/>
      <c r="I282" s="606"/>
      <c r="J282" s="606"/>
      <c r="K282" s="606"/>
      <c r="L282" s="606"/>
    </row>
    <row r="283" spans="2:12">
      <c r="B283" s="245">
        <f t="shared" si="4"/>
        <v>44559</v>
      </c>
      <c r="C283" s="244"/>
      <c r="D283" s="244"/>
      <c r="E283" s="244"/>
      <c r="F283" s="606"/>
      <c r="G283" s="606"/>
      <c r="H283" s="606"/>
      <c r="I283" s="606"/>
      <c r="J283" s="606"/>
      <c r="K283" s="606"/>
      <c r="L283" s="606"/>
    </row>
    <row r="284" spans="2:12">
      <c r="B284" s="245">
        <f t="shared" si="4"/>
        <v>44560</v>
      </c>
      <c r="C284" s="244"/>
      <c r="D284" s="244"/>
      <c r="E284" s="244"/>
      <c r="F284" s="606"/>
      <c r="G284" s="606"/>
      <c r="H284" s="606"/>
      <c r="I284" s="606"/>
      <c r="J284" s="606"/>
      <c r="K284" s="606"/>
      <c r="L284" s="606"/>
    </row>
    <row r="285" spans="2:12">
      <c r="B285" s="245">
        <f t="shared" si="4"/>
        <v>44561</v>
      </c>
      <c r="C285" s="244"/>
      <c r="D285" s="244"/>
      <c r="E285" s="244"/>
      <c r="F285" s="606"/>
      <c r="G285" s="606"/>
      <c r="H285" s="606"/>
      <c r="I285" s="606"/>
      <c r="J285" s="606"/>
      <c r="K285" s="606"/>
      <c r="L285" s="606"/>
    </row>
    <row r="286" spans="2:12">
      <c r="B286" s="245">
        <f t="shared" si="4"/>
        <v>44562</v>
      </c>
      <c r="C286" s="244"/>
      <c r="D286" s="244"/>
      <c r="E286" s="244"/>
      <c r="F286" s="606"/>
      <c r="G286" s="606"/>
      <c r="H286" s="606"/>
      <c r="I286" s="606"/>
      <c r="J286" s="606"/>
      <c r="K286" s="606"/>
      <c r="L286" s="606"/>
    </row>
    <row r="287" spans="2:12">
      <c r="B287" s="245">
        <f t="shared" si="4"/>
        <v>44563</v>
      </c>
      <c r="C287" s="244"/>
      <c r="D287" s="244"/>
      <c r="E287" s="244"/>
      <c r="F287" s="606"/>
      <c r="G287" s="606"/>
      <c r="H287" s="606"/>
      <c r="I287" s="606"/>
      <c r="J287" s="606"/>
      <c r="K287" s="606"/>
      <c r="L287" s="606"/>
    </row>
    <row r="288" spans="2:12">
      <c r="B288" s="245">
        <f t="shared" si="4"/>
        <v>44564</v>
      </c>
      <c r="C288" s="244"/>
      <c r="D288" s="244"/>
      <c r="E288" s="244"/>
      <c r="F288" s="606"/>
      <c r="G288" s="606"/>
      <c r="H288" s="606"/>
      <c r="I288" s="606"/>
      <c r="J288" s="606"/>
      <c r="K288" s="606"/>
      <c r="L288" s="606"/>
    </row>
    <row r="289" spans="2:12">
      <c r="B289" s="245">
        <f t="shared" si="4"/>
        <v>44565</v>
      </c>
      <c r="C289" s="244"/>
      <c r="D289" s="244"/>
      <c r="E289" s="244"/>
      <c r="F289" s="606"/>
      <c r="G289" s="606"/>
      <c r="H289" s="606"/>
      <c r="I289" s="606"/>
      <c r="J289" s="606"/>
      <c r="K289" s="606"/>
      <c r="L289" s="606"/>
    </row>
    <row r="290" spans="2:12">
      <c r="B290" s="245">
        <f t="shared" si="4"/>
        <v>44566</v>
      </c>
      <c r="C290" s="244"/>
      <c r="D290" s="244"/>
      <c r="E290" s="244"/>
      <c r="F290" s="606"/>
      <c r="G290" s="606"/>
      <c r="H290" s="606"/>
      <c r="I290" s="606"/>
      <c r="J290" s="606"/>
      <c r="K290" s="606"/>
      <c r="L290" s="606"/>
    </row>
    <row r="291" spans="2:12">
      <c r="B291" s="245">
        <f t="shared" si="4"/>
        <v>44567</v>
      </c>
      <c r="C291" s="244"/>
      <c r="D291" s="244"/>
      <c r="E291" s="244"/>
      <c r="F291" s="606"/>
      <c r="G291" s="606"/>
      <c r="H291" s="606"/>
      <c r="I291" s="606"/>
      <c r="J291" s="606"/>
      <c r="K291" s="606"/>
      <c r="L291" s="606"/>
    </row>
    <row r="292" spans="2:12">
      <c r="B292" s="245">
        <f t="shared" si="4"/>
        <v>44568</v>
      </c>
      <c r="C292" s="244"/>
      <c r="D292" s="244"/>
      <c r="E292" s="244"/>
      <c r="F292" s="606"/>
      <c r="G292" s="606"/>
      <c r="H292" s="606"/>
      <c r="I292" s="606"/>
      <c r="J292" s="606"/>
      <c r="K292" s="606"/>
      <c r="L292" s="606"/>
    </row>
    <row r="293" spans="2:12">
      <c r="B293" s="245">
        <f t="shared" si="4"/>
        <v>44569</v>
      </c>
      <c r="C293" s="244"/>
      <c r="D293" s="244"/>
      <c r="E293" s="244"/>
      <c r="F293" s="606"/>
      <c r="G293" s="606"/>
      <c r="H293" s="606"/>
      <c r="I293" s="606"/>
      <c r="J293" s="606"/>
      <c r="K293" s="606"/>
      <c r="L293" s="606"/>
    </row>
    <row r="294" spans="2:12">
      <c r="B294" s="245">
        <f t="shared" si="4"/>
        <v>44570</v>
      </c>
      <c r="C294" s="244"/>
      <c r="D294" s="244"/>
      <c r="E294" s="244"/>
      <c r="F294" s="606"/>
      <c r="G294" s="606"/>
      <c r="H294" s="606"/>
      <c r="I294" s="606"/>
      <c r="J294" s="606"/>
      <c r="K294" s="606"/>
      <c r="L294" s="606"/>
    </row>
    <row r="295" spans="2:12">
      <c r="B295" s="245">
        <f t="shared" si="4"/>
        <v>44571</v>
      </c>
      <c r="C295" s="244"/>
      <c r="D295" s="244"/>
      <c r="E295" s="244"/>
      <c r="F295" s="606"/>
      <c r="G295" s="606"/>
      <c r="H295" s="606"/>
      <c r="I295" s="606"/>
      <c r="J295" s="606"/>
      <c r="K295" s="606"/>
      <c r="L295" s="606"/>
    </row>
    <row r="296" spans="2:12">
      <c r="B296" s="245">
        <f t="shared" si="4"/>
        <v>44572</v>
      </c>
      <c r="C296" s="244"/>
      <c r="D296" s="244"/>
      <c r="E296" s="244"/>
      <c r="F296" s="606"/>
      <c r="G296" s="606"/>
      <c r="H296" s="606"/>
      <c r="I296" s="606"/>
      <c r="J296" s="606"/>
      <c r="K296" s="606"/>
      <c r="L296" s="606"/>
    </row>
    <row r="297" spans="2:12">
      <c r="B297" s="245">
        <f t="shared" si="4"/>
        <v>44573</v>
      </c>
      <c r="C297" s="244"/>
      <c r="D297" s="244"/>
      <c r="E297" s="244"/>
      <c r="F297" s="606"/>
      <c r="G297" s="606"/>
      <c r="H297" s="606"/>
      <c r="I297" s="606"/>
      <c r="J297" s="606"/>
      <c r="K297" s="606"/>
      <c r="L297" s="606"/>
    </row>
    <row r="298" spans="2:12">
      <c r="B298" s="245">
        <f t="shared" si="4"/>
        <v>44574</v>
      </c>
      <c r="C298" s="244"/>
      <c r="D298" s="244"/>
      <c r="E298" s="244"/>
      <c r="F298" s="606"/>
      <c r="G298" s="606"/>
      <c r="H298" s="606"/>
      <c r="I298" s="606"/>
      <c r="J298" s="606"/>
      <c r="K298" s="606"/>
      <c r="L298" s="606"/>
    </row>
    <row r="299" spans="2:12">
      <c r="B299" s="245">
        <f t="shared" si="4"/>
        <v>44575</v>
      </c>
      <c r="C299" s="244"/>
      <c r="D299" s="244"/>
      <c r="E299" s="244"/>
      <c r="F299" s="606"/>
      <c r="G299" s="606"/>
      <c r="H299" s="606"/>
      <c r="I299" s="606"/>
      <c r="J299" s="606"/>
      <c r="K299" s="606"/>
      <c r="L299" s="606"/>
    </row>
    <row r="300" spans="2:12">
      <c r="B300" s="245">
        <f t="shared" si="4"/>
        <v>44576</v>
      </c>
      <c r="C300" s="244"/>
      <c r="D300" s="244"/>
      <c r="E300" s="244"/>
      <c r="F300" s="606"/>
      <c r="G300" s="606"/>
      <c r="H300" s="606"/>
      <c r="I300" s="606"/>
      <c r="J300" s="606"/>
      <c r="K300" s="606"/>
      <c r="L300" s="606"/>
    </row>
    <row r="301" spans="2:12">
      <c r="B301" s="245">
        <f t="shared" si="4"/>
        <v>44577</v>
      </c>
      <c r="C301" s="244"/>
      <c r="D301" s="244"/>
      <c r="E301" s="244"/>
      <c r="F301" s="606"/>
      <c r="G301" s="606"/>
      <c r="H301" s="606"/>
      <c r="I301" s="606"/>
      <c r="J301" s="606"/>
      <c r="K301" s="606"/>
      <c r="L301" s="606"/>
    </row>
    <row r="302" spans="2:12">
      <c r="B302" s="245">
        <f t="shared" si="4"/>
        <v>44578</v>
      </c>
      <c r="C302" s="244"/>
      <c r="D302" s="244"/>
      <c r="E302" s="244"/>
      <c r="F302" s="606"/>
      <c r="G302" s="606"/>
      <c r="H302" s="606"/>
      <c r="I302" s="606"/>
      <c r="J302" s="606"/>
      <c r="K302" s="606"/>
      <c r="L302" s="606"/>
    </row>
    <row r="303" spans="2:12">
      <c r="B303" s="245">
        <f t="shared" si="4"/>
        <v>44579</v>
      </c>
      <c r="C303" s="244"/>
      <c r="D303" s="244"/>
      <c r="E303" s="244"/>
      <c r="F303" s="606"/>
      <c r="G303" s="606"/>
      <c r="H303" s="606"/>
      <c r="I303" s="606"/>
      <c r="J303" s="606"/>
      <c r="K303" s="606"/>
      <c r="L303" s="606"/>
    </row>
    <row r="304" spans="2:12">
      <c r="B304" s="245">
        <f t="shared" si="4"/>
        <v>44580</v>
      </c>
      <c r="C304" s="244"/>
      <c r="D304" s="244"/>
      <c r="E304" s="244"/>
      <c r="F304" s="606"/>
      <c r="G304" s="606"/>
      <c r="H304" s="606"/>
      <c r="I304" s="606"/>
      <c r="J304" s="606"/>
      <c r="K304" s="606"/>
      <c r="L304" s="606"/>
    </row>
    <row r="305" spans="2:12">
      <c r="B305" s="245">
        <f t="shared" si="4"/>
        <v>44581</v>
      </c>
      <c r="C305" s="244"/>
      <c r="D305" s="244"/>
      <c r="E305" s="244"/>
      <c r="F305" s="606"/>
      <c r="G305" s="606"/>
      <c r="H305" s="606"/>
      <c r="I305" s="606"/>
      <c r="J305" s="606"/>
      <c r="K305" s="606"/>
      <c r="L305" s="606"/>
    </row>
    <row r="306" spans="2:12">
      <c r="B306" s="245">
        <f t="shared" si="4"/>
        <v>44582</v>
      </c>
      <c r="C306" s="244"/>
      <c r="D306" s="244"/>
      <c r="E306" s="244"/>
      <c r="F306" s="606"/>
      <c r="G306" s="606"/>
      <c r="H306" s="606"/>
      <c r="I306" s="606"/>
      <c r="J306" s="606"/>
      <c r="K306" s="606"/>
      <c r="L306" s="606"/>
    </row>
    <row r="307" spans="2:12">
      <c r="B307" s="245">
        <f t="shared" si="4"/>
        <v>44583</v>
      </c>
      <c r="C307" s="244"/>
      <c r="D307" s="244"/>
      <c r="E307" s="244"/>
      <c r="F307" s="606"/>
      <c r="G307" s="606"/>
      <c r="H307" s="606"/>
      <c r="I307" s="606"/>
      <c r="J307" s="606"/>
      <c r="K307" s="606"/>
      <c r="L307" s="606"/>
    </row>
    <row r="308" spans="2:12">
      <c r="B308" s="245">
        <f t="shared" si="4"/>
        <v>44584</v>
      </c>
      <c r="C308" s="244"/>
      <c r="D308" s="244"/>
      <c r="E308" s="244"/>
      <c r="F308" s="606"/>
      <c r="G308" s="606"/>
      <c r="H308" s="606"/>
      <c r="I308" s="606"/>
      <c r="J308" s="606"/>
      <c r="K308" s="606"/>
      <c r="L308" s="606"/>
    </row>
    <row r="309" spans="2:12">
      <c r="B309" s="245">
        <f t="shared" si="4"/>
        <v>44585</v>
      </c>
      <c r="C309" s="244"/>
      <c r="D309" s="244"/>
      <c r="E309" s="244"/>
      <c r="F309" s="606"/>
      <c r="G309" s="606"/>
      <c r="H309" s="606"/>
      <c r="I309" s="606"/>
      <c r="J309" s="606"/>
      <c r="K309" s="606"/>
      <c r="L309" s="606"/>
    </row>
    <row r="310" spans="2:12">
      <c r="B310" s="245">
        <f t="shared" si="4"/>
        <v>44586</v>
      </c>
      <c r="C310" s="244"/>
      <c r="D310" s="244"/>
      <c r="E310" s="244"/>
      <c r="F310" s="606"/>
      <c r="G310" s="606"/>
      <c r="H310" s="606"/>
      <c r="I310" s="606"/>
      <c r="J310" s="606"/>
      <c r="K310" s="606"/>
      <c r="L310" s="606"/>
    </row>
    <row r="311" spans="2:12">
      <c r="B311" s="245">
        <f t="shared" si="4"/>
        <v>44587</v>
      </c>
      <c r="C311" s="244"/>
      <c r="D311" s="244"/>
      <c r="E311" s="244"/>
      <c r="F311" s="606"/>
      <c r="G311" s="606"/>
      <c r="H311" s="606"/>
      <c r="I311" s="606"/>
      <c r="J311" s="606"/>
      <c r="K311" s="606"/>
      <c r="L311" s="606"/>
    </row>
    <row r="312" spans="2:12">
      <c r="B312" s="245">
        <f t="shared" si="4"/>
        <v>44588</v>
      </c>
      <c r="C312" s="244"/>
      <c r="D312" s="244"/>
      <c r="E312" s="244"/>
      <c r="F312" s="606"/>
      <c r="G312" s="606"/>
      <c r="H312" s="606"/>
      <c r="I312" s="606"/>
      <c r="J312" s="606"/>
      <c r="K312" s="606"/>
      <c r="L312" s="606"/>
    </row>
    <row r="313" spans="2:12">
      <c r="B313" s="245">
        <f t="shared" si="4"/>
        <v>44589</v>
      </c>
      <c r="C313" s="244"/>
      <c r="D313" s="244"/>
      <c r="E313" s="244"/>
      <c r="F313" s="606"/>
      <c r="G313" s="606"/>
      <c r="H313" s="606"/>
      <c r="I313" s="606"/>
      <c r="J313" s="606"/>
      <c r="K313" s="606"/>
      <c r="L313" s="606"/>
    </row>
    <row r="314" spans="2:12">
      <c r="B314" s="245">
        <f t="shared" si="4"/>
        <v>44590</v>
      </c>
      <c r="C314" s="244"/>
      <c r="D314" s="244"/>
      <c r="E314" s="244"/>
      <c r="F314" s="606"/>
      <c r="G314" s="606"/>
      <c r="H314" s="606"/>
      <c r="I314" s="606"/>
      <c r="J314" s="606"/>
      <c r="K314" s="606"/>
      <c r="L314" s="606"/>
    </row>
    <row r="315" spans="2:12">
      <c r="B315" s="245">
        <f t="shared" si="4"/>
        <v>44591</v>
      </c>
      <c r="C315" s="244"/>
      <c r="D315" s="244"/>
      <c r="E315" s="244"/>
      <c r="F315" s="606"/>
      <c r="G315" s="606"/>
      <c r="H315" s="606"/>
      <c r="I315" s="606"/>
      <c r="J315" s="606"/>
      <c r="K315" s="606"/>
      <c r="L315" s="606"/>
    </row>
    <row r="316" spans="2:12">
      <c r="B316" s="245">
        <f t="shared" si="4"/>
        <v>44592</v>
      </c>
      <c r="C316" s="244"/>
      <c r="D316" s="244"/>
      <c r="E316" s="244"/>
      <c r="F316" s="606"/>
      <c r="G316" s="606"/>
      <c r="H316" s="606"/>
      <c r="I316" s="606"/>
      <c r="J316" s="606"/>
      <c r="K316" s="606"/>
      <c r="L316" s="606"/>
    </row>
    <row r="317" spans="2:12">
      <c r="B317" s="245">
        <f t="shared" si="4"/>
        <v>44593</v>
      </c>
      <c r="C317" s="244"/>
      <c r="D317" s="244"/>
      <c r="E317" s="244"/>
      <c r="F317" s="606"/>
      <c r="G317" s="606"/>
      <c r="H317" s="606"/>
      <c r="I317" s="606"/>
      <c r="J317" s="606"/>
      <c r="K317" s="606"/>
      <c r="L317" s="606"/>
    </row>
    <row r="318" spans="2:12">
      <c r="B318" s="245">
        <f t="shared" si="4"/>
        <v>44594</v>
      </c>
      <c r="C318" s="244"/>
      <c r="D318" s="244"/>
      <c r="E318" s="244"/>
      <c r="F318" s="606"/>
      <c r="G318" s="606"/>
      <c r="H318" s="606"/>
      <c r="I318" s="606"/>
      <c r="J318" s="606"/>
      <c r="K318" s="606"/>
      <c r="L318" s="606"/>
    </row>
    <row r="319" spans="2:12">
      <c r="B319" s="245">
        <f t="shared" si="4"/>
        <v>44595</v>
      </c>
      <c r="C319" s="244"/>
      <c r="D319" s="244"/>
      <c r="E319" s="244"/>
      <c r="F319" s="606"/>
      <c r="G319" s="606"/>
      <c r="H319" s="606"/>
      <c r="I319" s="606"/>
      <c r="J319" s="606"/>
      <c r="K319" s="606"/>
      <c r="L319" s="606"/>
    </row>
    <row r="320" spans="2:12">
      <c r="B320" s="245">
        <f t="shared" si="4"/>
        <v>44596</v>
      </c>
      <c r="C320" s="244"/>
      <c r="D320" s="244"/>
      <c r="E320" s="244"/>
      <c r="F320" s="606"/>
      <c r="G320" s="606"/>
      <c r="H320" s="606"/>
      <c r="I320" s="606"/>
      <c r="J320" s="606"/>
      <c r="K320" s="606"/>
      <c r="L320" s="606"/>
    </row>
    <row r="321" spans="2:12">
      <c r="B321" s="245">
        <f t="shared" si="4"/>
        <v>44597</v>
      </c>
      <c r="C321" s="244"/>
      <c r="D321" s="244"/>
      <c r="E321" s="244"/>
      <c r="F321" s="606"/>
      <c r="G321" s="606"/>
      <c r="H321" s="606"/>
      <c r="I321" s="606"/>
      <c r="J321" s="606"/>
      <c r="K321" s="606"/>
      <c r="L321" s="606"/>
    </row>
    <row r="322" spans="2:12">
      <c r="B322" s="245">
        <f t="shared" si="4"/>
        <v>44598</v>
      </c>
      <c r="C322" s="244"/>
      <c r="D322" s="244"/>
      <c r="E322" s="244"/>
      <c r="F322" s="606"/>
      <c r="G322" s="606"/>
      <c r="H322" s="606"/>
      <c r="I322" s="606"/>
      <c r="J322" s="606"/>
      <c r="K322" s="606"/>
      <c r="L322" s="606"/>
    </row>
    <row r="323" spans="2:12">
      <c r="B323" s="245">
        <f t="shared" si="4"/>
        <v>44599</v>
      </c>
      <c r="C323" s="244"/>
      <c r="D323" s="244"/>
      <c r="E323" s="244"/>
      <c r="F323" s="606"/>
      <c r="G323" s="606"/>
      <c r="H323" s="606"/>
      <c r="I323" s="606"/>
      <c r="J323" s="606"/>
      <c r="K323" s="606"/>
      <c r="L323" s="606"/>
    </row>
    <row r="324" spans="2:12">
      <c r="B324" s="245">
        <f t="shared" si="4"/>
        <v>44600</v>
      </c>
      <c r="C324" s="244"/>
      <c r="D324" s="244"/>
      <c r="E324" s="244"/>
      <c r="F324" s="606"/>
      <c r="G324" s="606"/>
      <c r="H324" s="606"/>
      <c r="I324" s="606"/>
      <c r="J324" s="606"/>
      <c r="K324" s="606"/>
      <c r="L324" s="606"/>
    </row>
    <row r="325" spans="2:12">
      <c r="B325" s="245">
        <f t="shared" si="4"/>
        <v>44601</v>
      </c>
      <c r="C325" s="244"/>
      <c r="D325" s="244"/>
      <c r="E325" s="244"/>
      <c r="F325" s="606"/>
      <c r="G325" s="606"/>
      <c r="H325" s="606"/>
      <c r="I325" s="606"/>
      <c r="J325" s="606"/>
      <c r="K325" s="606"/>
      <c r="L325" s="606"/>
    </row>
    <row r="326" spans="2:12">
      <c r="B326" s="245">
        <f t="shared" si="4"/>
        <v>44602</v>
      </c>
      <c r="C326" s="244"/>
      <c r="D326" s="244"/>
      <c r="E326" s="244"/>
      <c r="F326" s="606"/>
      <c r="G326" s="606"/>
      <c r="H326" s="606"/>
      <c r="I326" s="606"/>
      <c r="J326" s="606"/>
      <c r="K326" s="606"/>
      <c r="L326" s="606"/>
    </row>
    <row r="327" spans="2:12">
      <c r="B327" s="245">
        <f t="shared" si="4"/>
        <v>44603</v>
      </c>
      <c r="C327" s="244"/>
      <c r="D327" s="244"/>
      <c r="E327" s="244"/>
      <c r="F327" s="606"/>
      <c r="G327" s="606"/>
      <c r="H327" s="606"/>
      <c r="I327" s="606"/>
      <c r="J327" s="606"/>
      <c r="K327" s="606"/>
      <c r="L327" s="606"/>
    </row>
    <row r="328" spans="2:12">
      <c r="B328" s="245">
        <f t="shared" si="4"/>
        <v>44604</v>
      </c>
      <c r="C328" s="244"/>
      <c r="D328" s="244"/>
      <c r="E328" s="244"/>
      <c r="F328" s="606"/>
      <c r="G328" s="606"/>
      <c r="H328" s="606"/>
      <c r="I328" s="606"/>
      <c r="J328" s="606"/>
      <c r="K328" s="606"/>
      <c r="L328" s="606"/>
    </row>
    <row r="329" spans="2:12">
      <c r="B329" s="245">
        <f t="shared" si="4"/>
        <v>44605</v>
      </c>
      <c r="C329" s="244"/>
      <c r="D329" s="244"/>
      <c r="E329" s="244"/>
      <c r="F329" s="606"/>
      <c r="G329" s="606"/>
      <c r="H329" s="606"/>
      <c r="I329" s="606"/>
      <c r="J329" s="606"/>
      <c r="K329" s="606"/>
      <c r="L329" s="606"/>
    </row>
    <row r="330" spans="2:12">
      <c r="B330" s="245">
        <f t="shared" si="4"/>
        <v>44606</v>
      </c>
      <c r="C330" s="244"/>
      <c r="D330" s="244"/>
      <c r="E330" s="244"/>
      <c r="F330" s="606"/>
      <c r="G330" s="606"/>
      <c r="H330" s="606"/>
      <c r="I330" s="606"/>
      <c r="J330" s="606"/>
      <c r="K330" s="606"/>
      <c r="L330" s="606"/>
    </row>
    <row r="331" spans="2:12">
      <c r="B331" s="245">
        <f t="shared" si="4"/>
        <v>44607</v>
      </c>
      <c r="C331" s="244"/>
      <c r="D331" s="244"/>
      <c r="E331" s="244"/>
      <c r="F331" s="606"/>
      <c r="G331" s="606"/>
      <c r="H331" s="606"/>
      <c r="I331" s="606"/>
      <c r="J331" s="606"/>
      <c r="K331" s="606"/>
      <c r="L331" s="606"/>
    </row>
    <row r="332" spans="2:12">
      <c r="B332" s="245">
        <f t="shared" ref="B332:B375" si="5">B331+1</f>
        <v>44608</v>
      </c>
      <c r="C332" s="244"/>
      <c r="D332" s="244"/>
      <c r="E332" s="244"/>
      <c r="F332" s="606"/>
      <c r="G332" s="606"/>
      <c r="H332" s="606"/>
      <c r="I332" s="606"/>
      <c r="J332" s="606"/>
      <c r="K332" s="606"/>
      <c r="L332" s="606"/>
    </row>
    <row r="333" spans="2:12">
      <c r="B333" s="245">
        <f t="shared" si="5"/>
        <v>44609</v>
      </c>
      <c r="C333" s="244"/>
      <c r="D333" s="244"/>
      <c r="E333" s="244"/>
      <c r="F333" s="606"/>
      <c r="G333" s="606"/>
      <c r="H333" s="606"/>
      <c r="I333" s="606"/>
      <c r="J333" s="606"/>
      <c r="K333" s="606"/>
      <c r="L333" s="606"/>
    </row>
    <row r="334" spans="2:12">
      <c r="B334" s="245">
        <f t="shared" si="5"/>
        <v>44610</v>
      </c>
      <c r="C334" s="244"/>
      <c r="D334" s="244"/>
      <c r="E334" s="244"/>
      <c r="F334" s="606"/>
      <c r="G334" s="606"/>
      <c r="H334" s="606"/>
      <c r="I334" s="606"/>
      <c r="J334" s="606"/>
      <c r="K334" s="606"/>
      <c r="L334" s="606"/>
    </row>
    <row r="335" spans="2:12">
      <c r="B335" s="245">
        <f t="shared" si="5"/>
        <v>44611</v>
      </c>
      <c r="C335" s="244"/>
      <c r="D335" s="244"/>
      <c r="E335" s="244"/>
      <c r="F335" s="606"/>
      <c r="G335" s="606"/>
      <c r="H335" s="606"/>
      <c r="I335" s="606"/>
      <c r="J335" s="606"/>
      <c r="K335" s="606"/>
      <c r="L335" s="606"/>
    </row>
    <row r="336" spans="2:12">
      <c r="B336" s="245">
        <f t="shared" si="5"/>
        <v>44612</v>
      </c>
      <c r="C336" s="244"/>
      <c r="D336" s="244"/>
      <c r="E336" s="244"/>
      <c r="F336" s="606"/>
      <c r="G336" s="606"/>
      <c r="H336" s="606"/>
      <c r="I336" s="606"/>
      <c r="J336" s="606"/>
      <c r="K336" s="606"/>
      <c r="L336" s="606"/>
    </row>
    <row r="337" spans="2:12">
      <c r="B337" s="245">
        <f t="shared" si="5"/>
        <v>44613</v>
      </c>
      <c r="C337" s="244"/>
      <c r="D337" s="244"/>
      <c r="E337" s="244"/>
      <c r="F337" s="606"/>
      <c r="G337" s="606"/>
      <c r="H337" s="606"/>
      <c r="I337" s="606"/>
      <c r="J337" s="606"/>
      <c r="K337" s="606"/>
      <c r="L337" s="606"/>
    </row>
    <row r="338" spans="2:12">
      <c r="B338" s="245">
        <f t="shared" si="5"/>
        <v>44614</v>
      </c>
      <c r="C338" s="244"/>
      <c r="D338" s="244"/>
      <c r="E338" s="244"/>
      <c r="F338" s="606"/>
      <c r="G338" s="606"/>
      <c r="H338" s="606"/>
      <c r="I338" s="606"/>
      <c r="J338" s="606"/>
      <c r="K338" s="606"/>
      <c r="L338" s="606"/>
    </row>
    <row r="339" spans="2:12">
      <c r="B339" s="245">
        <f t="shared" si="5"/>
        <v>44615</v>
      </c>
      <c r="C339" s="244"/>
      <c r="D339" s="244"/>
      <c r="E339" s="244"/>
      <c r="F339" s="606"/>
      <c r="G339" s="606"/>
      <c r="H339" s="606"/>
      <c r="I339" s="606"/>
      <c r="J339" s="606"/>
      <c r="K339" s="606"/>
      <c r="L339" s="606"/>
    </row>
    <row r="340" spans="2:12">
      <c r="B340" s="245">
        <f t="shared" si="5"/>
        <v>44616</v>
      </c>
      <c r="C340" s="244"/>
      <c r="D340" s="244"/>
      <c r="E340" s="244"/>
      <c r="F340" s="606"/>
      <c r="G340" s="606"/>
      <c r="H340" s="606"/>
      <c r="I340" s="606"/>
      <c r="J340" s="606"/>
      <c r="K340" s="606"/>
      <c r="L340" s="606"/>
    </row>
    <row r="341" spans="2:12">
      <c r="B341" s="245">
        <f t="shared" si="5"/>
        <v>44617</v>
      </c>
      <c r="C341" s="244"/>
      <c r="D341" s="244"/>
      <c r="E341" s="244"/>
      <c r="F341" s="606"/>
      <c r="G341" s="606"/>
      <c r="H341" s="606"/>
      <c r="I341" s="606"/>
      <c r="J341" s="606"/>
      <c r="K341" s="606"/>
      <c r="L341" s="606"/>
    </row>
    <row r="342" spans="2:12">
      <c r="B342" s="245">
        <f t="shared" si="5"/>
        <v>44618</v>
      </c>
      <c r="C342" s="244"/>
      <c r="D342" s="244"/>
      <c r="E342" s="244"/>
      <c r="F342" s="606"/>
      <c r="G342" s="606"/>
      <c r="H342" s="606"/>
      <c r="I342" s="606"/>
      <c r="J342" s="606"/>
      <c r="K342" s="606"/>
      <c r="L342" s="606"/>
    </row>
    <row r="343" spans="2:12">
      <c r="B343" s="245">
        <f t="shared" si="5"/>
        <v>44619</v>
      </c>
      <c r="C343" s="244"/>
      <c r="D343" s="244"/>
      <c r="E343" s="244"/>
      <c r="F343" s="606"/>
      <c r="G343" s="606"/>
      <c r="H343" s="606"/>
      <c r="I343" s="606"/>
      <c r="J343" s="606"/>
      <c r="K343" s="606"/>
      <c r="L343" s="606"/>
    </row>
    <row r="344" spans="2:12">
      <c r="B344" s="245">
        <f t="shared" si="5"/>
        <v>44620</v>
      </c>
      <c r="C344" s="244"/>
      <c r="D344" s="244"/>
      <c r="E344" s="244"/>
      <c r="F344" s="606"/>
      <c r="G344" s="606"/>
      <c r="H344" s="606"/>
      <c r="I344" s="606"/>
      <c r="J344" s="606"/>
      <c r="K344" s="606"/>
      <c r="L344" s="606"/>
    </row>
    <row r="345" spans="2:12">
      <c r="B345" s="245">
        <f t="shared" si="5"/>
        <v>44621</v>
      </c>
      <c r="C345" s="244"/>
      <c r="D345" s="244"/>
      <c r="E345" s="244"/>
      <c r="F345" s="606"/>
      <c r="G345" s="606"/>
      <c r="H345" s="606"/>
      <c r="I345" s="606"/>
      <c r="J345" s="606"/>
      <c r="K345" s="606"/>
      <c r="L345" s="606"/>
    </row>
    <row r="346" spans="2:12">
      <c r="B346" s="245">
        <f t="shared" si="5"/>
        <v>44622</v>
      </c>
      <c r="C346" s="244"/>
      <c r="D346" s="244"/>
      <c r="E346" s="244"/>
      <c r="F346" s="606"/>
      <c r="G346" s="606"/>
      <c r="H346" s="606"/>
      <c r="I346" s="606"/>
      <c r="J346" s="606"/>
      <c r="K346" s="606"/>
      <c r="L346" s="606"/>
    </row>
    <row r="347" spans="2:12">
      <c r="B347" s="245">
        <f t="shared" si="5"/>
        <v>44623</v>
      </c>
      <c r="C347" s="244"/>
      <c r="D347" s="244"/>
      <c r="E347" s="244"/>
      <c r="F347" s="606"/>
      <c r="G347" s="606"/>
      <c r="H347" s="606"/>
      <c r="I347" s="606"/>
      <c r="J347" s="606"/>
      <c r="K347" s="606"/>
      <c r="L347" s="606"/>
    </row>
    <row r="348" spans="2:12">
      <c r="B348" s="245">
        <f t="shared" si="5"/>
        <v>44624</v>
      </c>
      <c r="C348" s="244"/>
      <c r="D348" s="244"/>
      <c r="E348" s="244"/>
      <c r="F348" s="606"/>
      <c r="G348" s="606"/>
      <c r="H348" s="606"/>
      <c r="I348" s="606"/>
      <c r="J348" s="606"/>
      <c r="K348" s="606"/>
      <c r="L348" s="606"/>
    </row>
    <row r="349" spans="2:12">
      <c r="B349" s="245">
        <f t="shared" si="5"/>
        <v>44625</v>
      </c>
      <c r="C349" s="244"/>
      <c r="D349" s="244"/>
      <c r="E349" s="244"/>
      <c r="F349" s="606"/>
      <c r="G349" s="606"/>
      <c r="H349" s="606"/>
      <c r="I349" s="606"/>
      <c r="J349" s="606"/>
      <c r="K349" s="606"/>
      <c r="L349" s="606"/>
    </row>
    <row r="350" spans="2:12">
      <c r="B350" s="245">
        <f t="shared" si="5"/>
        <v>44626</v>
      </c>
      <c r="C350" s="244"/>
      <c r="D350" s="244"/>
      <c r="E350" s="244"/>
      <c r="F350" s="606"/>
      <c r="G350" s="606"/>
      <c r="H350" s="606"/>
      <c r="I350" s="606"/>
      <c r="J350" s="606"/>
      <c r="K350" s="606"/>
      <c r="L350" s="606"/>
    </row>
    <row r="351" spans="2:12">
      <c r="B351" s="245">
        <f t="shared" si="5"/>
        <v>44627</v>
      </c>
      <c r="C351" s="244"/>
      <c r="D351" s="244"/>
      <c r="E351" s="244"/>
      <c r="F351" s="606"/>
      <c r="G351" s="606"/>
      <c r="H351" s="606"/>
      <c r="I351" s="606"/>
      <c r="J351" s="606"/>
      <c r="K351" s="606"/>
      <c r="L351" s="606"/>
    </row>
    <row r="352" spans="2:12">
      <c r="B352" s="245">
        <f t="shared" si="5"/>
        <v>44628</v>
      </c>
      <c r="C352" s="244"/>
      <c r="D352" s="244"/>
      <c r="E352" s="244"/>
      <c r="F352" s="606"/>
      <c r="G352" s="606"/>
      <c r="H352" s="606"/>
      <c r="I352" s="606"/>
      <c r="J352" s="606"/>
      <c r="K352" s="606"/>
      <c r="L352" s="606"/>
    </row>
    <row r="353" spans="2:12">
      <c r="B353" s="245">
        <f t="shared" si="5"/>
        <v>44629</v>
      </c>
      <c r="C353" s="244"/>
      <c r="D353" s="244"/>
      <c r="E353" s="244"/>
      <c r="F353" s="606"/>
      <c r="G353" s="606"/>
      <c r="H353" s="606"/>
      <c r="I353" s="606"/>
      <c r="J353" s="606"/>
      <c r="K353" s="606"/>
      <c r="L353" s="606"/>
    </row>
    <row r="354" spans="2:12">
      <c r="B354" s="245">
        <f t="shared" si="5"/>
        <v>44630</v>
      </c>
      <c r="C354" s="244"/>
      <c r="D354" s="244"/>
      <c r="E354" s="244"/>
      <c r="F354" s="606"/>
      <c r="G354" s="606"/>
      <c r="H354" s="606"/>
      <c r="I354" s="606"/>
      <c r="J354" s="606"/>
      <c r="K354" s="606"/>
      <c r="L354" s="606"/>
    </row>
    <row r="355" spans="2:12">
      <c r="B355" s="245">
        <f t="shared" si="5"/>
        <v>44631</v>
      </c>
      <c r="C355" s="244"/>
      <c r="D355" s="244"/>
      <c r="E355" s="244"/>
      <c r="F355" s="606"/>
      <c r="G355" s="606"/>
      <c r="H355" s="606"/>
      <c r="I355" s="606"/>
      <c r="J355" s="606"/>
      <c r="K355" s="606"/>
      <c r="L355" s="606"/>
    </row>
    <row r="356" spans="2:12">
      <c r="B356" s="245">
        <f t="shared" si="5"/>
        <v>44632</v>
      </c>
      <c r="C356" s="244"/>
      <c r="D356" s="244"/>
      <c r="E356" s="244"/>
      <c r="F356" s="606"/>
      <c r="G356" s="606"/>
      <c r="H356" s="606"/>
      <c r="I356" s="606"/>
      <c r="J356" s="606"/>
      <c r="K356" s="606"/>
      <c r="L356" s="606"/>
    </row>
    <row r="357" spans="2:12">
      <c r="B357" s="245">
        <f t="shared" si="5"/>
        <v>44633</v>
      </c>
      <c r="C357" s="244"/>
      <c r="D357" s="244"/>
      <c r="E357" s="244"/>
      <c r="F357" s="606"/>
      <c r="G357" s="606"/>
      <c r="H357" s="606"/>
      <c r="I357" s="606"/>
      <c r="J357" s="606"/>
      <c r="K357" s="606"/>
      <c r="L357" s="606"/>
    </row>
    <row r="358" spans="2:12">
      <c r="B358" s="245">
        <f t="shared" si="5"/>
        <v>44634</v>
      </c>
      <c r="C358" s="244"/>
      <c r="D358" s="244"/>
      <c r="E358" s="244"/>
      <c r="F358" s="606"/>
      <c r="G358" s="606"/>
      <c r="H358" s="606"/>
      <c r="I358" s="606"/>
      <c r="J358" s="606"/>
      <c r="K358" s="606"/>
      <c r="L358" s="606"/>
    </row>
    <row r="359" spans="2:12">
      <c r="B359" s="245">
        <f t="shared" si="5"/>
        <v>44635</v>
      </c>
      <c r="C359" s="244"/>
      <c r="D359" s="244"/>
      <c r="E359" s="244"/>
      <c r="F359" s="606"/>
      <c r="G359" s="606"/>
      <c r="H359" s="606"/>
      <c r="I359" s="606"/>
      <c r="J359" s="606"/>
      <c r="K359" s="606"/>
      <c r="L359" s="606"/>
    </row>
    <row r="360" spans="2:12">
      <c r="B360" s="245">
        <f t="shared" si="5"/>
        <v>44636</v>
      </c>
      <c r="C360" s="244"/>
      <c r="D360" s="244"/>
      <c r="E360" s="244"/>
      <c r="F360" s="606"/>
      <c r="G360" s="606"/>
      <c r="H360" s="606"/>
      <c r="I360" s="606"/>
      <c r="J360" s="606"/>
      <c r="K360" s="606"/>
      <c r="L360" s="606"/>
    </row>
    <row r="361" spans="2:12">
      <c r="B361" s="245">
        <f t="shared" si="5"/>
        <v>44637</v>
      </c>
      <c r="C361" s="244"/>
      <c r="D361" s="244"/>
      <c r="E361" s="244"/>
      <c r="F361" s="606"/>
      <c r="G361" s="606"/>
      <c r="H361" s="606"/>
      <c r="I361" s="606"/>
      <c r="J361" s="606"/>
      <c r="K361" s="606"/>
      <c r="L361" s="606"/>
    </row>
    <row r="362" spans="2:12">
      <c r="B362" s="245">
        <f t="shared" si="5"/>
        <v>44638</v>
      </c>
      <c r="C362" s="244"/>
      <c r="D362" s="244"/>
      <c r="E362" s="244"/>
      <c r="F362" s="606"/>
      <c r="G362" s="606"/>
      <c r="H362" s="606"/>
      <c r="I362" s="606"/>
      <c r="J362" s="606"/>
      <c r="K362" s="606"/>
      <c r="L362" s="606"/>
    </row>
    <row r="363" spans="2:12">
      <c r="B363" s="245">
        <f t="shared" si="5"/>
        <v>44639</v>
      </c>
      <c r="C363" s="244"/>
      <c r="D363" s="244"/>
      <c r="E363" s="244"/>
      <c r="F363" s="606"/>
      <c r="G363" s="606"/>
      <c r="H363" s="606"/>
      <c r="I363" s="606"/>
      <c r="J363" s="606"/>
      <c r="K363" s="606"/>
      <c r="L363" s="606"/>
    </row>
    <row r="364" spans="2:12">
      <c r="B364" s="245">
        <f t="shared" si="5"/>
        <v>44640</v>
      </c>
      <c r="C364" s="244"/>
      <c r="D364" s="244"/>
      <c r="E364" s="244"/>
      <c r="F364" s="606"/>
      <c r="G364" s="606"/>
      <c r="H364" s="606"/>
      <c r="I364" s="606"/>
      <c r="J364" s="606"/>
      <c r="K364" s="606"/>
      <c r="L364" s="606"/>
    </row>
    <row r="365" spans="2:12">
      <c r="B365" s="245">
        <f t="shared" si="5"/>
        <v>44641</v>
      </c>
      <c r="C365" s="244"/>
      <c r="D365" s="244"/>
      <c r="E365" s="244"/>
      <c r="F365" s="606"/>
      <c r="G365" s="606"/>
      <c r="H365" s="606"/>
      <c r="I365" s="606"/>
      <c r="J365" s="606"/>
      <c r="K365" s="606"/>
      <c r="L365" s="606"/>
    </row>
    <row r="366" spans="2:12">
      <c r="B366" s="245">
        <f t="shared" si="5"/>
        <v>44642</v>
      </c>
      <c r="C366" s="244"/>
      <c r="D366" s="244"/>
      <c r="E366" s="244"/>
      <c r="F366" s="606"/>
      <c r="G366" s="606"/>
      <c r="H366" s="606"/>
      <c r="I366" s="606"/>
      <c r="J366" s="606"/>
      <c r="K366" s="606"/>
      <c r="L366" s="606"/>
    </row>
    <row r="367" spans="2:12">
      <c r="B367" s="245">
        <f t="shared" si="5"/>
        <v>44643</v>
      </c>
      <c r="C367" s="244"/>
      <c r="D367" s="244"/>
      <c r="E367" s="244"/>
      <c r="F367" s="606"/>
      <c r="G367" s="606"/>
      <c r="H367" s="606"/>
      <c r="I367" s="606"/>
      <c r="J367" s="606"/>
      <c r="K367" s="606"/>
      <c r="L367" s="606"/>
    </row>
    <row r="368" spans="2:12">
      <c r="B368" s="245">
        <f t="shared" si="5"/>
        <v>44644</v>
      </c>
      <c r="C368" s="244"/>
      <c r="D368" s="244"/>
      <c r="E368" s="244"/>
      <c r="F368" s="606"/>
      <c r="G368" s="606"/>
      <c r="H368" s="606"/>
      <c r="I368" s="606"/>
      <c r="J368" s="606"/>
      <c r="K368" s="606"/>
      <c r="L368" s="606"/>
    </row>
    <row r="369" spans="2:12">
      <c r="B369" s="245">
        <f t="shared" si="5"/>
        <v>44645</v>
      </c>
      <c r="C369" s="244"/>
      <c r="D369" s="244"/>
      <c r="E369" s="244"/>
      <c r="F369" s="606"/>
      <c r="G369" s="606"/>
      <c r="H369" s="606"/>
      <c r="I369" s="606"/>
      <c r="J369" s="606"/>
      <c r="K369" s="606"/>
      <c r="L369" s="606"/>
    </row>
    <row r="370" spans="2:12">
      <c r="B370" s="245">
        <f t="shared" si="5"/>
        <v>44646</v>
      </c>
      <c r="C370" s="244"/>
      <c r="D370" s="244"/>
      <c r="E370" s="244"/>
      <c r="F370" s="606"/>
      <c r="G370" s="606"/>
      <c r="H370" s="606"/>
      <c r="I370" s="606"/>
      <c r="J370" s="606"/>
      <c r="K370" s="606"/>
      <c r="L370" s="606"/>
    </row>
    <row r="371" spans="2:12">
      <c r="B371" s="245">
        <f t="shared" si="5"/>
        <v>44647</v>
      </c>
      <c r="C371" s="244"/>
      <c r="D371" s="244"/>
      <c r="E371" s="244"/>
      <c r="F371" s="606"/>
      <c r="G371" s="606"/>
      <c r="H371" s="606"/>
      <c r="I371" s="606"/>
      <c r="J371" s="606"/>
      <c r="K371" s="606"/>
      <c r="L371" s="606"/>
    </row>
    <row r="372" spans="2:12">
      <c r="B372" s="245">
        <f t="shared" si="5"/>
        <v>44648</v>
      </c>
      <c r="C372" s="244"/>
      <c r="D372" s="244"/>
      <c r="E372" s="244"/>
      <c r="F372" s="606"/>
      <c r="G372" s="606"/>
      <c r="H372" s="606"/>
      <c r="I372" s="606"/>
      <c r="J372" s="606"/>
      <c r="K372" s="606"/>
      <c r="L372" s="606"/>
    </row>
    <row r="373" spans="2:12">
      <c r="B373" s="245">
        <f t="shared" si="5"/>
        <v>44649</v>
      </c>
      <c r="C373" s="244"/>
      <c r="D373" s="244"/>
      <c r="E373" s="244"/>
      <c r="F373" s="606"/>
      <c r="G373" s="606"/>
      <c r="H373" s="606"/>
      <c r="I373" s="606"/>
      <c r="J373" s="606"/>
      <c r="K373" s="606"/>
      <c r="L373" s="606"/>
    </row>
    <row r="374" spans="2:12">
      <c r="B374" s="245">
        <f t="shared" si="5"/>
        <v>44650</v>
      </c>
      <c r="C374" s="244"/>
      <c r="D374" s="244"/>
      <c r="E374" s="244"/>
      <c r="F374" s="606"/>
      <c r="G374" s="606"/>
      <c r="H374" s="606"/>
      <c r="I374" s="606"/>
      <c r="J374" s="606"/>
      <c r="K374" s="606"/>
      <c r="L374" s="606"/>
    </row>
    <row r="375" spans="2:12">
      <c r="B375" s="245">
        <f t="shared" si="5"/>
        <v>44651</v>
      </c>
      <c r="C375" s="244"/>
      <c r="D375" s="244"/>
      <c r="E375" s="244"/>
      <c r="F375" s="606"/>
      <c r="G375" s="606"/>
      <c r="H375" s="606"/>
      <c r="I375" s="606"/>
      <c r="J375" s="606"/>
      <c r="K375" s="606"/>
      <c r="L375" s="606"/>
    </row>
    <row r="376" spans="2:12">
      <c r="B376" s="245"/>
      <c r="C376" s="244"/>
      <c r="D376" s="244"/>
      <c r="E376" s="244"/>
      <c r="F376" s="606"/>
      <c r="G376" s="606"/>
      <c r="H376" s="606"/>
      <c r="I376" s="606"/>
      <c r="J376" s="606"/>
      <c r="K376" s="606"/>
      <c r="L376" s="606"/>
    </row>
    <row r="377" spans="2:12" ht="35.450000000000003" customHeight="1">
      <c r="B377" s="243" t="s">
        <v>1108</v>
      </c>
      <c r="C377" s="243"/>
      <c r="D377" s="243"/>
      <c r="E377" s="243"/>
      <c r="F377" s="606"/>
      <c r="G377" s="606"/>
      <c r="H377" s="606"/>
      <c r="I377" s="606"/>
      <c r="J377" s="606"/>
      <c r="K377" s="606"/>
      <c r="L377" s="606"/>
    </row>
    <row r="378" spans="2:12" ht="36" customHeight="1">
      <c r="B378" s="242" t="s">
        <v>1214</v>
      </c>
      <c r="C378" s="242"/>
      <c r="D378" s="242"/>
      <c r="E378" s="242"/>
      <c r="F378" s="606"/>
      <c r="G378" s="606"/>
      <c r="H378" s="606"/>
      <c r="I378" s="606"/>
      <c r="J378" s="606"/>
      <c r="K378" s="606"/>
      <c r="L378" s="606"/>
    </row>
    <row r="379" spans="2:12">
      <c r="F379" s="159"/>
      <c r="G379" s="159"/>
      <c r="H379" s="400"/>
      <c r="I379" s="159"/>
      <c r="J379" s="159"/>
      <c r="K379" s="159"/>
      <c r="L379" s="159"/>
    </row>
    <row r="380" spans="2:12">
      <c r="F380" s="159"/>
      <c r="G380" s="159"/>
      <c r="H380" s="400"/>
      <c r="I380" s="159"/>
      <c r="J380" s="159"/>
      <c r="K380" s="159"/>
      <c r="L380" s="159"/>
    </row>
    <row r="381" spans="2:12">
      <c r="F381" s="159"/>
      <c r="G381" s="159"/>
      <c r="H381" s="400"/>
      <c r="I381" s="159"/>
      <c r="J381" s="159"/>
      <c r="K381" s="159"/>
      <c r="L381" s="159"/>
    </row>
    <row r="382" spans="2:12">
      <c r="F382" s="159"/>
      <c r="G382" s="159"/>
      <c r="H382" s="400"/>
      <c r="I382" s="159"/>
      <c r="J382" s="159"/>
      <c r="K382" s="159"/>
      <c r="L382" s="159"/>
    </row>
    <row r="383" spans="2:12">
      <c r="G383" s="159"/>
      <c r="H383" s="400"/>
      <c r="I383" s="159"/>
      <c r="J383" s="159"/>
      <c r="K383" s="159"/>
      <c r="L383" s="159"/>
    </row>
  </sheetData>
  <mergeCells count="1">
    <mergeCell ref="B8:B10"/>
  </mergeCells>
  <pageMargins left="0.23622047244094491" right="0.23622047244094491" top="0.74803149606299213" bottom="0.74803149606299213" header="0.31496062992125984" footer="0.31496062992125984"/>
  <pageSetup paperSize="8" scale="51"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0" zoomScaleNormal="80" workbookViewId="0">
      <pane ySplit="4" topLeftCell="A5" activePane="bottomLeft" state="frozen"/>
      <selection activeCell="D31" sqref="D31"/>
      <selection pane="bottomLeft"/>
    </sheetView>
  </sheetViews>
  <sheetFormatPr defaultColWidth="10.265625" defaultRowHeight="12.75"/>
  <cols>
    <col min="1" max="2" width="12.59765625" style="151" customWidth="1"/>
    <col min="3" max="3" width="11.59765625" style="151" customWidth="1"/>
    <col min="4" max="7" width="15.265625" style="151" customWidth="1"/>
    <col min="8" max="8" width="2.86328125" style="151" customWidth="1"/>
    <col min="9" max="9" width="43.59765625" style="151" customWidth="1"/>
    <col min="10" max="10" width="14.86328125" style="151" customWidth="1"/>
    <col min="11" max="16384" width="10.265625" style="151"/>
  </cols>
  <sheetData>
    <row r="1" spans="1:23" s="73" customFormat="1" ht="23.25">
      <c r="A1" s="89" t="str">
        <f>'1.1 Cover'!A2</f>
        <v>Regulatory Reporting Pack</v>
      </c>
    </row>
    <row r="2" spans="1:23" s="73" customFormat="1" ht="23.25">
      <c r="A2" s="89" t="str">
        <f>'1.1 Cover'!A3</f>
        <v>Price base - 2018/19</v>
      </c>
    </row>
    <row r="3" spans="1:23" s="73" customFormat="1" ht="23.25">
      <c r="A3" s="89" t="str">
        <f>'1.1 Cover'!A4</f>
        <v>Regulatory Year: April 2021 - March 2022</v>
      </c>
    </row>
    <row r="4" spans="1:23" s="73" customFormat="1" ht="23.25">
      <c r="A4" s="89" t="s">
        <v>2830</v>
      </c>
    </row>
    <row r="5" spans="1:23" s="310" customFormat="1" ht="15">
      <c r="F5" s="311"/>
      <c r="G5" s="312"/>
      <c r="H5" s="313"/>
      <c r="I5" s="313"/>
      <c r="J5" s="313"/>
      <c r="K5" s="313"/>
      <c r="L5" s="313"/>
      <c r="M5" s="313"/>
      <c r="N5" s="313"/>
      <c r="O5" s="313"/>
      <c r="P5" s="313"/>
      <c r="Q5" s="313"/>
      <c r="R5" s="313"/>
      <c r="S5" s="313"/>
      <c r="T5" s="313"/>
      <c r="U5" s="313"/>
      <c r="V5" s="313"/>
      <c r="W5" s="313"/>
    </row>
    <row r="6" spans="1:23" s="310" customFormat="1" ht="15">
      <c r="F6" s="311"/>
      <c r="G6" s="312"/>
      <c r="H6" s="313"/>
      <c r="I6" s="313"/>
      <c r="J6" s="313"/>
      <c r="K6" s="313"/>
      <c r="L6" s="313"/>
      <c r="M6" s="313"/>
      <c r="N6" s="313"/>
      <c r="O6" s="313"/>
      <c r="P6" s="313"/>
      <c r="Q6" s="313"/>
      <c r="R6" s="313"/>
      <c r="S6" s="313"/>
      <c r="T6" s="313"/>
      <c r="U6" s="313"/>
      <c r="V6" s="313"/>
      <c r="W6" s="313"/>
    </row>
    <row r="7" spans="1:23" s="310" customFormat="1" ht="15">
      <c r="F7" s="313"/>
      <c r="H7" s="313"/>
      <c r="I7" s="313"/>
      <c r="J7" s="313"/>
      <c r="K7" s="313"/>
      <c r="L7" s="313"/>
      <c r="M7" s="313"/>
      <c r="N7" s="313"/>
      <c r="O7" s="313"/>
      <c r="P7" s="313"/>
      <c r="Q7" s="313"/>
      <c r="R7" s="313"/>
      <c r="S7" s="313"/>
      <c r="T7" s="313"/>
      <c r="U7" s="313"/>
      <c r="V7" s="313"/>
      <c r="W7" s="313"/>
    </row>
    <row r="8" spans="1:23" s="254" customFormat="1">
      <c r="A8" s="255" t="s">
        <v>1232</v>
      </c>
      <c r="B8" s="255"/>
      <c r="C8" s="255"/>
      <c r="D8" s="255"/>
      <c r="E8" s="255"/>
      <c r="F8" s="255"/>
      <c r="G8" s="255"/>
      <c r="H8" s="255"/>
      <c r="I8" s="255"/>
      <c r="J8" s="255"/>
    </row>
    <row r="9" spans="1:23" ht="13.15" thickBot="1"/>
    <row r="10" spans="1:23" ht="27.75" customHeight="1" thickBot="1">
      <c r="B10" s="1430" t="s">
        <v>1240</v>
      </c>
      <c r="C10" s="1431"/>
      <c r="D10" s="1431"/>
      <c r="E10" s="1431"/>
      <c r="F10" s="1431"/>
      <c r="G10" s="1432"/>
      <c r="I10" s="279" t="s">
        <v>1239</v>
      </c>
      <c r="J10" s="279"/>
    </row>
    <row r="11" spans="1:23" ht="45.75" customHeight="1">
      <c r="B11" s="1424" t="s">
        <v>1210</v>
      </c>
      <c r="C11" s="278" t="s">
        <v>1209</v>
      </c>
      <c r="D11" s="403" t="s">
        <v>1238</v>
      </c>
      <c r="E11" s="404" t="s">
        <v>1238</v>
      </c>
      <c r="F11" s="404" t="s">
        <v>1238</v>
      </c>
      <c r="G11" s="405" t="s">
        <v>1238</v>
      </c>
      <c r="H11" s="277"/>
      <c r="I11" s="225" t="s">
        <v>1202</v>
      </c>
      <c r="J11" s="224"/>
    </row>
    <row r="12" spans="1:23" s="272" customFormat="1" ht="14.65">
      <c r="B12" s="1424"/>
      <c r="C12" s="276" t="s">
        <v>1206</v>
      </c>
      <c r="D12" s="275" t="s">
        <v>1237</v>
      </c>
      <c r="E12" s="274" t="s">
        <v>1236</v>
      </c>
      <c r="F12" s="274" t="s">
        <v>1235</v>
      </c>
      <c r="G12" s="273" t="s">
        <v>1234</v>
      </c>
      <c r="H12" s="268"/>
    </row>
    <row r="13" spans="1:23" ht="13.15" thickBot="1">
      <c r="B13" s="1425"/>
      <c r="C13" s="231" t="s">
        <v>1173</v>
      </c>
      <c r="D13" s="271" t="s">
        <v>1173</v>
      </c>
      <c r="E13" s="270" t="s">
        <v>1173</v>
      </c>
      <c r="F13" s="270" t="s">
        <v>1173</v>
      </c>
      <c r="G13" s="269" t="s">
        <v>1173</v>
      </c>
      <c r="H13" s="268"/>
    </row>
    <row r="14" spans="1:23" ht="13.15" thickBot="1">
      <c r="B14" s="230">
        <v>44287</v>
      </c>
      <c r="C14" s="229">
        <f>'9.7_DF_Overview'!I12</f>
        <v>0</v>
      </c>
      <c r="D14" s="401"/>
      <c r="E14" s="401"/>
      <c r="F14" s="401"/>
      <c r="G14" s="402"/>
      <c r="H14" s="265"/>
    </row>
    <row r="15" spans="1:23" ht="13.15" thickBot="1">
      <c r="B15" s="217">
        <f t="shared" ref="B15:B78" si="0">B14+1</f>
        <v>44288</v>
      </c>
      <c r="C15" s="229">
        <f>'9.7_DF_Overview'!I13</f>
        <v>0</v>
      </c>
      <c r="D15" s="260"/>
      <c r="E15" s="261"/>
      <c r="F15" s="260"/>
      <c r="G15" s="259"/>
      <c r="H15" s="265"/>
    </row>
    <row r="16" spans="1:23" ht="13.15" thickBot="1">
      <c r="B16" s="217">
        <f t="shared" si="0"/>
        <v>44289</v>
      </c>
      <c r="C16" s="229">
        <f>'9.7_DF_Overview'!I14</f>
        <v>0</v>
      </c>
      <c r="D16" s="260"/>
      <c r="E16" s="261"/>
      <c r="F16" s="260"/>
      <c r="G16" s="259"/>
      <c r="H16" s="265"/>
    </row>
    <row r="17" spans="2:12" ht="13.15" thickBot="1">
      <c r="B17" s="217">
        <f t="shared" si="0"/>
        <v>44290</v>
      </c>
      <c r="C17" s="229">
        <f>'9.7_DF_Overview'!I15</f>
        <v>0</v>
      </c>
      <c r="D17" s="260"/>
      <c r="E17" s="261"/>
      <c r="F17" s="260"/>
      <c r="G17" s="259"/>
      <c r="H17" s="265"/>
    </row>
    <row r="18" spans="2:12" ht="13.15" thickBot="1">
      <c r="B18" s="217">
        <f t="shared" si="0"/>
        <v>44291</v>
      </c>
      <c r="C18" s="229">
        <f>'9.7_DF_Overview'!I16</f>
        <v>0</v>
      </c>
      <c r="D18" s="260"/>
      <c r="E18" s="261"/>
      <c r="F18" s="260"/>
      <c r="G18" s="259"/>
      <c r="H18" s="265"/>
    </row>
    <row r="19" spans="2:12" ht="13.15" thickBot="1">
      <c r="B19" s="217">
        <f t="shared" si="0"/>
        <v>44292</v>
      </c>
      <c r="C19" s="229">
        <f>'9.7_DF_Overview'!I17</f>
        <v>0</v>
      </c>
      <c r="D19" s="260"/>
      <c r="E19" s="261"/>
      <c r="F19" s="260"/>
      <c r="G19" s="259"/>
      <c r="H19" s="265"/>
    </row>
    <row r="20" spans="2:12" ht="13.15" thickBot="1">
      <c r="B20" s="217">
        <f t="shared" si="0"/>
        <v>44293</v>
      </c>
      <c r="C20" s="229">
        <f>'9.7_DF_Overview'!I18</f>
        <v>0</v>
      </c>
      <c r="D20" s="260"/>
      <c r="E20" s="261"/>
      <c r="F20" s="260"/>
      <c r="G20" s="259"/>
      <c r="H20" s="265"/>
    </row>
    <row r="21" spans="2:12" ht="13.15" thickBot="1">
      <c r="B21" s="217">
        <f t="shared" si="0"/>
        <v>44294</v>
      </c>
      <c r="C21" s="229">
        <f>'9.7_DF_Overview'!I19</f>
        <v>0</v>
      </c>
      <c r="D21" s="260"/>
      <c r="E21" s="261"/>
      <c r="F21" s="260"/>
      <c r="G21" s="259"/>
      <c r="H21" s="265"/>
      <c r="I21" s="234"/>
      <c r="J21" s="267"/>
    </row>
    <row r="22" spans="2:12" ht="13.15" thickBot="1">
      <c r="B22" s="217">
        <f t="shared" si="0"/>
        <v>44295</v>
      </c>
      <c r="C22" s="229">
        <f>'9.7_DF_Overview'!I20</f>
        <v>0</v>
      </c>
      <c r="D22" s="260"/>
      <c r="E22" s="261"/>
      <c r="F22" s="260"/>
      <c r="G22" s="259"/>
      <c r="H22" s="265"/>
      <c r="J22" s="266"/>
    </row>
    <row r="23" spans="2:12" ht="13.15" thickBot="1">
      <c r="B23" s="217">
        <f t="shared" si="0"/>
        <v>44296</v>
      </c>
      <c r="C23" s="229">
        <f>'9.7_DF_Overview'!I21</f>
        <v>0</v>
      </c>
      <c r="D23" s="260"/>
      <c r="E23" s="261"/>
      <c r="F23" s="260"/>
      <c r="G23" s="259"/>
      <c r="H23" s="265"/>
    </row>
    <row r="24" spans="2:12" ht="13.15" thickBot="1">
      <c r="B24" s="217">
        <f t="shared" si="0"/>
        <v>44297</v>
      </c>
      <c r="C24" s="229">
        <f>'9.7_DF_Overview'!I22</f>
        <v>0</v>
      </c>
      <c r="D24" s="260"/>
      <c r="E24" s="261"/>
      <c r="F24" s="260"/>
      <c r="G24" s="259"/>
      <c r="H24" s="265"/>
    </row>
    <row r="25" spans="2:12" ht="13.15" thickBot="1">
      <c r="B25" s="217">
        <f t="shared" si="0"/>
        <v>44298</v>
      </c>
      <c r="C25" s="229">
        <f>'9.7_DF_Overview'!I23</f>
        <v>0</v>
      </c>
      <c r="D25" s="260"/>
      <c r="E25" s="260"/>
      <c r="F25" s="261"/>
      <c r="G25" s="259"/>
      <c r="H25" s="265"/>
    </row>
    <row r="26" spans="2:12" ht="13.15" thickBot="1">
      <c r="B26" s="217">
        <f t="shared" si="0"/>
        <v>44299</v>
      </c>
      <c r="C26" s="229">
        <f>'9.7_DF_Overview'!I24</f>
        <v>0</v>
      </c>
      <c r="D26" s="260"/>
      <c r="E26" s="261"/>
      <c r="F26" s="260"/>
      <c r="G26" s="259"/>
      <c r="H26" s="265"/>
    </row>
    <row r="27" spans="2:12" ht="13.15" thickBot="1">
      <c r="B27" s="217">
        <f t="shared" si="0"/>
        <v>44300</v>
      </c>
      <c r="C27" s="229">
        <f>'9.7_DF_Overview'!I25</f>
        <v>0</v>
      </c>
      <c r="D27" s="260"/>
      <c r="E27" s="261"/>
      <c r="F27" s="260"/>
      <c r="G27" s="259"/>
      <c r="H27" s="265"/>
    </row>
    <row r="28" spans="2:12" ht="13.15" thickBot="1">
      <c r="B28" s="217">
        <f t="shared" si="0"/>
        <v>44301</v>
      </c>
      <c r="C28" s="229">
        <f>'9.7_DF_Overview'!I26</f>
        <v>0</v>
      </c>
      <c r="D28" s="260"/>
      <c r="E28" s="261"/>
      <c r="F28" s="260"/>
      <c r="G28" s="259"/>
      <c r="H28" s="265"/>
    </row>
    <row r="29" spans="2:12" ht="13.15" thickBot="1">
      <c r="B29" s="217">
        <f t="shared" si="0"/>
        <v>44302</v>
      </c>
      <c r="C29" s="229">
        <f>'9.7_DF_Overview'!I27</f>
        <v>0</v>
      </c>
      <c r="D29" s="260"/>
      <c r="E29" s="261"/>
      <c r="F29" s="260"/>
      <c r="G29" s="259"/>
      <c r="H29" s="265"/>
      <c r="I29" s="234"/>
      <c r="J29" s="266"/>
    </row>
    <row r="30" spans="2:12" ht="14.25" customHeight="1" thickBot="1">
      <c r="B30" s="217">
        <f t="shared" si="0"/>
        <v>44303</v>
      </c>
      <c r="C30" s="229">
        <f>'9.7_DF_Overview'!I28</f>
        <v>0</v>
      </c>
      <c r="D30" s="260"/>
      <c r="E30" s="261"/>
      <c r="F30" s="260"/>
      <c r="G30" s="259"/>
      <c r="H30" s="265"/>
      <c r="I30" s="1433" t="s">
        <v>1233</v>
      </c>
      <c r="J30" s="1433"/>
      <c r="K30" s="1433"/>
      <c r="L30" s="1433"/>
    </row>
    <row r="31" spans="2:12" ht="12.75" customHeight="1" thickBot="1">
      <c r="B31" s="217">
        <f t="shared" si="0"/>
        <v>44304</v>
      </c>
      <c r="C31" s="229">
        <f>'9.7_DF_Overview'!I29</f>
        <v>0</v>
      </c>
      <c r="D31" s="260"/>
      <c r="E31" s="261"/>
      <c r="F31" s="260"/>
      <c r="G31" s="259"/>
      <c r="H31" s="606"/>
      <c r="I31" s="1433"/>
      <c r="J31" s="1433"/>
      <c r="K31" s="1433"/>
      <c r="L31" s="1433"/>
    </row>
    <row r="32" spans="2:12" ht="13.15" thickBot="1">
      <c r="B32" s="217">
        <f t="shared" si="0"/>
        <v>44305</v>
      </c>
      <c r="C32" s="229">
        <f>'9.7_DF_Overview'!I30</f>
        <v>0</v>
      </c>
      <c r="D32" s="260"/>
      <c r="E32" s="261"/>
      <c r="F32" s="260"/>
      <c r="G32" s="259"/>
      <c r="H32" s="606"/>
      <c r="I32" s="1433"/>
      <c r="J32" s="1433"/>
      <c r="K32" s="1433"/>
      <c r="L32" s="1433"/>
    </row>
    <row r="33" spans="2:12" ht="13.15" thickBot="1">
      <c r="B33" s="217">
        <f t="shared" si="0"/>
        <v>44306</v>
      </c>
      <c r="C33" s="229">
        <f>'9.7_DF_Overview'!I31</f>
        <v>0</v>
      </c>
      <c r="D33" s="260"/>
      <c r="E33" s="261"/>
      <c r="F33" s="260"/>
      <c r="G33" s="259"/>
      <c r="H33" s="606"/>
      <c r="I33" s="1433"/>
      <c r="J33" s="1433"/>
      <c r="K33" s="1433"/>
      <c r="L33" s="1433"/>
    </row>
    <row r="34" spans="2:12" ht="13.15" thickBot="1">
      <c r="B34" s="217">
        <f t="shared" si="0"/>
        <v>44307</v>
      </c>
      <c r="C34" s="229">
        <f>'9.7_DF_Overview'!I32</f>
        <v>0</v>
      </c>
      <c r="D34" s="260"/>
      <c r="E34" s="261"/>
      <c r="F34" s="260"/>
      <c r="G34" s="259"/>
      <c r="H34" s="606"/>
      <c r="I34" s="1433"/>
      <c r="J34" s="1433"/>
      <c r="K34" s="1433"/>
      <c r="L34" s="1433"/>
    </row>
    <row r="35" spans="2:12" ht="13.15" thickBot="1">
      <c r="B35" s="217">
        <f t="shared" si="0"/>
        <v>44308</v>
      </c>
      <c r="C35" s="229">
        <f>'9.7_DF_Overview'!I33</f>
        <v>0</v>
      </c>
      <c r="D35" s="260"/>
      <c r="E35" s="261"/>
      <c r="F35" s="260"/>
      <c r="G35" s="259"/>
      <c r="H35" s="606"/>
      <c r="I35" s="1433"/>
      <c r="J35" s="1433"/>
      <c r="K35" s="1433"/>
      <c r="L35" s="1433"/>
    </row>
    <row r="36" spans="2:12" ht="13.15" thickBot="1">
      <c r="B36" s="217">
        <f t="shared" si="0"/>
        <v>44309</v>
      </c>
      <c r="C36" s="229">
        <f>'9.7_DF_Overview'!I34</f>
        <v>0</v>
      </c>
      <c r="D36" s="260"/>
      <c r="E36" s="261"/>
      <c r="F36" s="260"/>
      <c r="G36" s="259"/>
      <c r="H36" s="606"/>
      <c r="I36" s="1433"/>
      <c r="J36" s="1433"/>
      <c r="K36" s="1433"/>
      <c r="L36" s="1433"/>
    </row>
    <row r="37" spans="2:12" ht="13.15" thickBot="1">
      <c r="B37" s="217">
        <f t="shared" si="0"/>
        <v>44310</v>
      </c>
      <c r="C37" s="229">
        <f>'9.7_DF_Overview'!I35</f>
        <v>0</v>
      </c>
      <c r="D37" s="260"/>
      <c r="E37" s="261"/>
      <c r="F37" s="260"/>
      <c r="G37" s="259"/>
      <c r="H37" s="606"/>
      <c r="I37" s="606"/>
      <c r="J37" s="606"/>
    </row>
    <row r="38" spans="2:12" ht="13.15" thickBot="1">
      <c r="B38" s="217">
        <f t="shared" si="0"/>
        <v>44311</v>
      </c>
      <c r="C38" s="229">
        <f>'9.7_DF_Overview'!I36</f>
        <v>0</v>
      </c>
      <c r="D38" s="260"/>
      <c r="E38" s="261"/>
      <c r="F38" s="260"/>
      <c r="G38" s="259"/>
      <c r="H38" s="606"/>
      <c r="I38" s="606"/>
      <c r="J38" s="606"/>
    </row>
    <row r="39" spans="2:12" ht="13.15" thickBot="1">
      <c r="B39" s="217">
        <f t="shared" si="0"/>
        <v>44312</v>
      </c>
      <c r="C39" s="229">
        <f>'9.7_DF_Overview'!I37</f>
        <v>0</v>
      </c>
      <c r="D39" s="260"/>
      <c r="E39" s="261"/>
      <c r="F39" s="260"/>
      <c r="G39" s="259"/>
      <c r="H39" s="606"/>
      <c r="I39" s="606"/>
      <c r="J39" s="606"/>
    </row>
    <row r="40" spans="2:12" ht="13.15" thickBot="1">
      <c r="B40" s="217">
        <f t="shared" si="0"/>
        <v>44313</v>
      </c>
      <c r="C40" s="229">
        <f>'9.7_DF_Overview'!I38</f>
        <v>0</v>
      </c>
      <c r="D40" s="260"/>
      <c r="E40" s="261"/>
      <c r="F40" s="260"/>
      <c r="G40" s="259"/>
      <c r="H40" s="606"/>
      <c r="I40" s="606"/>
      <c r="J40" s="606"/>
    </row>
    <row r="41" spans="2:12" ht="13.15" thickBot="1">
      <c r="B41" s="217">
        <f t="shared" si="0"/>
        <v>44314</v>
      </c>
      <c r="C41" s="229">
        <f>'9.7_DF_Overview'!I39</f>
        <v>0</v>
      </c>
      <c r="D41" s="260"/>
      <c r="E41" s="261"/>
      <c r="F41" s="260"/>
      <c r="G41" s="259"/>
      <c r="H41" s="606"/>
      <c r="I41" s="606"/>
      <c r="J41" s="606"/>
    </row>
    <row r="42" spans="2:12" ht="13.15" thickBot="1">
      <c r="B42" s="217">
        <f t="shared" si="0"/>
        <v>44315</v>
      </c>
      <c r="C42" s="229">
        <f>'9.7_DF_Overview'!I40</f>
        <v>0</v>
      </c>
      <c r="D42" s="260"/>
      <c r="E42" s="261"/>
      <c r="F42" s="260"/>
      <c r="G42" s="259"/>
      <c r="H42" s="606"/>
      <c r="I42" s="606"/>
      <c r="J42" s="606"/>
    </row>
    <row r="43" spans="2:12" ht="13.15" thickBot="1">
      <c r="B43" s="219">
        <f t="shared" si="0"/>
        <v>44316</v>
      </c>
      <c r="C43" s="229">
        <f>'9.7_DF_Overview'!I41</f>
        <v>0</v>
      </c>
      <c r="D43" s="260"/>
      <c r="E43" s="264"/>
      <c r="F43" s="263"/>
      <c r="G43" s="262"/>
      <c r="H43" s="606"/>
      <c r="I43" s="606"/>
      <c r="J43" s="606"/>
    </row>
    <row r="44" spans="2:12" ht="13.15" thickBot="1">
      <c r="B44" s="217">
        <f t="shared" si="0"/>
        <v>44317</v>
      </c>
      <c r="C44" s="229">
        <f>'9.7_DF_Overview'!I42</f>
        <v>0</v>
      </c>
      <c r="D44" s="260"/>
      <c r="E44" s="260"/>
      <c r="F44" s="260"/>
      <c r="G44" s="259"/>
      <c r="H44" s="606"/>
      <c r="I44" s="606"/>
      <c r="J44" s="606"/>
    </row>
    <row r="45" spans="2:12" ht="13.15" thickBot="1">
      <c r="B45" s="217">
        <f t="shared" si="0"/>
        <v>44318</v>
      </c>
      <c r="C45" s="229">
        <f>'9.7_DF_Overview'!I43</f>
        <v>0</v>
      </c>
      <c r="D45" s="260"/>
      <c r="E45" s="260"/>
      <c r="F45" s="260"/>
      <c r="G45" s="259"/>
      <c r="H45" s="606"/>
      <c r="I45" s="606"/>
      <c r="J45" s="606"/>
    </row>
    <row r="46" spans="2:12" ht="13.15" thickBot="1">
      <c r="B46" s="217">
        <f t="shared" si="0"/>
        <v>44319</v>
      </c>
      <c r="C46" s="229">
        <f>'9.7_DF_Overview'!I44</f>
        <v>0</v>
      </c>
      <c r="D46" s="260"/>
      <c r="E46" s="260"/>
      <c r="F46" s="260"/>
      <c r="G46" s="259"/>
      <c r="H46" s="606"/>
      <c r="I46" s="606"/>
      <c r="J46" s="606"/>
    </row>
    <row r="47" spans="2:12" ht="13.15" thickBot="1">
      <c r="B47" s="217">
        <f t="shared" si="0"/>
        <v>44320</v>
      </c>
      <c r="C47" s="229">
        <f>'9.7_DF_Overview'!I45</f>
        <v>0</v>
      </c>
      <c r="D47" s="260"/>
      <c r="E47" s="260"/>
      <c r="F47" s="260"/>
      <c r="G47" s="259"/>
      <c r="H47" s="606"/>
      <c r="I47" s="606"/>
      <c r="J47" s="606"/>
    </row>
    <row r="48" spans="2:12" ht="13.15" thickBot="1">
      <c r="B48" s="217">
        <f t="shared" si="0"/>
        <v>44321</v>
      </c>
      <c r="C48" s="229">
        <f>'9.7_DF_Overview'!I46</f>
        <v>0</v>
      </c>
      <c r="D48" s="260"/>
      <c r="E48" s="260"/>
      <c r="F48" s="260"/>
      <c r="G48" s="259"/>
      <c r="H48" s="606"/>
      <c r="I48" s="606"/>
      <c r="J48" s="606"/>
    </row>
    <row r="49" spans="2:10" ht="13.15" thickBot="1">
      <c r="B49" s="217">
        <f t="shared" si="0"/>
        <v>44322</v>
      </c>
      <c r="C49" s="229">
        <f>'9.7_DF_Overview'!I47</f>
        <v>0</v>
      </c>
      <c r="D49" s="260"/>
      <c r="E49" s="260"/>
      <c r="F49" s="260"/>
      <c r="G49" s="259"/>
      <c r="H49" s="606"/>
      <c r="I49" s="606"/>
      <c r="J49" s="606"/>
    </row>
    <row r="50" spans="2:10" ht="13.15" thickBot="1">
      <c r="B50" s="217">
        <f t="shared" si="0"/>
        <v>44323</v>
      </c>
      <c r="C50" s="229">
        <f>'9.7_DF_Overview'!I48</f>
        <v>0</v>
      </c>
      <c r="D50" s="260"/>
      <c r="E50" s="260"/>
      <c r="F50" s="260"/>
      <c r="G50" s="259"/>
      <c r="H50" s="606"/>
      <c r="I50" s="606"/>
      <c r="J50" s="606"/>
    </row>
    <row r="51" spans="2:10" ht="13.15" thickBot="1">
      <c r="B51" s="217">
        <f t="shared" si="0"/>
        <v>44324</v>
      </c>
      <c r="C51" s="229">
        <f>'9.7_DF_Overview'!I49</f>
        <v>0</v>
      </c>
      <c r="D51" s="260"/>
      <c r="E51" s="260"/>
      <c r="F51" s="260"/>
      <c r="G51" s="259"/>
      <c r="H51" s="606"/>
      <c r="I51" s="606"/>
      <c r="J51" s="606"/>
    </row>
    <row r="52" spans="2:10" ht="13.15" thickBot="1">
      <c r="B52" s="217">
        <f t="shared" si="0"/>
        <v>44325</v>
      </c>
      <c r="C52" s="229">
        <f>'9.7_DF_Overview'!I50</f>
        <v>0</v>
      </c>
      <c r="D52" s="260"/>
      <c r="E52" s="260"/>
      <c r="F52" s="260"/>
      <c r="G52" s="259"/>
      <c r="H52" s="606"/>
      <c r="I52" s="606"/>
      <c r="J52" s="606"/>
    </row>
    <row r="53" spans="2:10" ht="13.15" thickBot="1">
      <c r="B53" s="217">
        <f t="shared" si="0"/>
        <v>44326</v>
      </c>
      <c r="C53" s="229">
        <f>'9.7_DF_Overview'!I51</f>
        <v>0</v>
      </c>
      <c r="D53" s="260"/>
      <c r="E53" s="260"/>
      <c r="F53" s="260"/>
      <c r="G53" s="259"/>
      <c r="H53" s="606"/>
      <c r="I53" s="606"/>
      <c r="J53" s="606"/>
    </row>
    <row r="54" spans="2:10" ht="13.15" thickBot="1">
      <c r="B54" s="217">
        <f t="shared" si="0"/>
        <v>44327</v>
      </c>
      <c r="C54" s="229">
        <f>'9.7_DF_Overview'!I52</f>
        <v>0</v>
      </c>
      <c r="D54" s="260"/>
      <c r="E54" s="260"/>
      <c r="F54" s="260"/>
      <c r="G54" s="259"/>
      <c r="H54" s="606"/>
      <c r="I54" s="606"/>
      <c r="J54" s="606"/>
    </row>
    <row r="55" spans="2:10" ht="13.15" thickBot="1">
      <c r="B55" s="217">
        <f t="shared" si="0"/>
        <v>44328</v>
      </c>
      <c r="C55" s="229">
        <f>'9.7_DF_Overview'!I53</f>
        <v>0</v>
      </c>
      <c r="D55" s="260"/>
      <c r="E55" s="260"/>
      <c r="F55" s="260"/>
      <c r="G55" s="259"/>
      <c r="H55" s="606"/>
      <c r="I55" s="606"/>
      <c r="J55" s="606"/>
    </row>
    <row r="56" spans="2:10" ht="13.15" thickBot="1">
      <c r="B56" s="217">
        <f t="shared" si="0"/>
        <v>44329</v>
      </c>
      <c r="C56" s="229">
        <f>'9.7_DF_Overview'!I54</f>
        <v>0</v>
      </c>
      <c r="D56" s="260"/>
      <c r="E56" s="260"/>
      <c r="F56" s="260"/>
      <c r="G56" s="259"/>
      <c r="H56" s="606"/>
      <c r="I56" s="606"/>
      <c r="J56" s="606"/>
    </row>
    <row r="57" spans="2:10" ht="13.15" thickBot="1">
      <c r="B57" s="217">
        <f t="shared" si="0"/>
        <v>44330</v>
      </c>
      <c r="C57" s="229">
        <f>'9.7_DF_Overview'!I55</f>
        <v>0</v>
      </c>
      <c r="D57" s="260"/>
      <c r="E57" s="260"/>
      <c r="F57" s="260"/>
      <c r="G57" s="259"/>
      <c r="H57" s="606"/>
      <c r="I57" s="606"/>
      <c r="J57" s="606"/>
    </row>
    <row r="58" spans="2:10" ht="13.15" thickBot="1">
      <c r="B58" s="217">
        <f t="shared" si="0"/>
        <v>44331</v>
      </c>
      <c r="C58" s="229">
        <f>'9.7_DF_Overview'!I56</f>
        <v>0</v>
      </c>
      <c r="D58" s="260"/>
      <c r="E58" s="260"/>
      <c r="F58" s="260"/>
      <c r="G58" s="259"/>
      <c r="H58" s="606"/>
      <c r="I58" s="606"/>
      <c r="J58" s="606"/>
    </row>
    <row r="59" spans="2:10" ht="13.15" thickBot="1">
      <c r="B59" s="217">
        <f t="shared" si="0"/>
        <v>44332</v>
      </c>
      <c r="C59" s="229">
        <f>'9.7_DF_Overview'!I57</f>
        <v>0</v>
      </c>
      <c r="D59" s="260"/>
      <c r="E59" s="260"/>
      <c r="F59" s="260"/>
      <c r="G59" s="259"/>
      <c r="H59" s="606"/>
      <c r="I59" s="606"/>
      <c r="J59" s="606"/>
    </row>
    <row r="60" spans="2:10" ht="13.15" thickBot="1">
      <c r="B60" s="217">
        <f t="shared" si="0"/>
        <v>44333</v>
      </c>
      <c r="C60" s="229">
        <f>'9.7_DF_Overview'!I58</f>
        <v>0</v>
      </c>
      <c r="D60" s="260"/>
      <c r="E60" s="260"/>
      <c r="F60" s="260"/>
      <c r="G60" s="259"/>
      <c r="H60" s="606"/>
      <c r="I60" s="606"/>
      <c r="J60" s="606"/>
    </row>
    <row r="61" spans="2:10" ht="13.15" thickBot="1">
      <c r="B61" s="217">
        <f t="shared" si="0"/>
        <v>44334</v>
      </c>
      <c r="C61" s="229">
        <f>'9.7_DF_Overview'!I59</f>
        <v>0</v>
      </c>
      <c r="D61" s="260"/>
      <c r="E61" s="260"/>
      <c r="F61" s="260"/>
      <c r="G61" s="259"/>
      <c r="H61" s="606"/>
      <c r="I61" s="606"/>
      <c r="J61" s="606"/>
    </row>
    <row r="62" spans="2:10" ht="13.15" thickBot="1">
      <c r="B62" s="217">
        <f t="shared" si="0"/>
        <v>44335</v>
      </c>
      <c r="C62" s="229">
        <f>'9.7_DF_Overview'!I60</f>
        <v>0</v>
      </c>
      <c r="D62" s="260"/>
      <c r="E62" s="260"/>
      <c r="F62" s="260"/>
      <c r="G62" s="259"/>
      <c r="H62" s="606"/>
      <c r="I62" s="606"/>
      <c r="J62" s="606"/>
    </row>
    <row r="63" spans="2:10" ht="13.15" thickBot="1">
      <c r="B63" s="217">
        <f t="shared" si="0"/>
        <v>44336</v>
      </c>
      <c r="C63" s="229">
        <f>'9.7_DF_Overview'!I61</f>
        <v>0</v>
      </c>
      <c r="D63" s="260"/>
      <c r="E63" s="260"/>
      <c r="F63" s="260"/>
      <c r="G63" s="259"/>
      <c r="H63" s="606"/>
      <c r="I63" s="606"/>
      <c r="J63" s="606"/>
    </row>
    <row r="64" spans="2:10" ht="13.15" thickBot="1">
      <c r="B64" s="217">
        <f t="shared" si="0"/>
        <v>44337</v>
      </c>
      <c r="C64" s="229">
        <f>'9.7_DF_Overview'!I62</f>
        <v>0</v>
      </c>
      <c r="D64" s="260"/>
      <c r="E64" s="260"/>
      <c r="F64" s="260"/>
      <c r="G64" s="259"/>
      <c r="H64" s="606"/>
      <c r="I64" s="606"/>
      <c r="J64" s="606"/>
    </row>
    <row r="65" spans="2:10" ht="13.15" thickBot="1">
      <c r="B65" s="217">
        <f t="shared" si="0"/>
        <v>44338</v>
      </c>
      <c r="C65" s="229">
        <f>'9.7_DF_Overview'!I63</f>
        <v>0</v>
      </c>
      <c r="D65" s="260"/>
      <c r="E65" s="260"/>
      <c r="F65" s="260"/>
      <c r="G65" s="259"/>
      <c r="H65" s="606"/>
      <c r="I65" s="606"/>
      <c r="J65" s="606"/>
    </row>
    <row r="66" spans="2:10" ht="13.15" thickBot="1">
      <c r="B66" s="217">
        <f t="shared" si="0"/>
        <v>44339</v>
      </c>
      <c r="C66" s="229">
        <f>'9.7_DF_Overview'!I64</f>
        <v>0</v>
      </c>
      <c r="D66" s="260"/>
      <c r="E66" s="260"/>
      <c r="F66" s="260"/>
      <c r="G66" s="259"/>
      <c r="H66" s="606"/>
      <c r="I66" s="606"/>
      <c r="J66" s="606"/>
    </row>
    <row r="67" spans="2:10" ht="13.15" thickBot="1">
      <c r="B67" s="217">
        <f t="shared" si="0"/>
        <v>44340</v>
      </c>
      <c r="C67" s="229">
        <f>'9.7_DF_Overview'!I65</f>
        <v>0</v>
      </c>
      <c r="D67" s="260"/>
      <c r="E67" s="260"/>
      <c r="F67" s="260"/>
      <c r="G67" s="259"/>
      <c r="H67" s="606"/>
      <c r="I67" s="606"/>
      <c r="J67" s="606"/>
    </row>
    <row r="68" spans="2:10" ht="13.15" thickBot="1">
      <c r="B68" s="217">
        <f t="shared" si="0"/>
        <v>44341</v>
      </c>
      <c r="C68" s="229">
        <f>'9.7_DF_Overview'!I66</f>
        <v>0</v>
      </c>
      <c r="D68" s="260"/>
      <c r="E68" s="260"/>
      <c r="F68" s="260"/>
      <c r="G68" s="259"/>
      <c r="H68" s="606"/>
      <c r="I68" s="606"/>
      <c r="J68" s="606"/>
    </row>
    <row r="69" spans="2:10" ht="13.15" thickBot="1">
      <c r="B69" s="217">
        <f t="shared" si="0"/>
        <v>44342</v>
      </c>
      <c r="C69" s="229">
        <f>'9.7_DF_Overview'!I67</f>
        <v>0</v>
      </c>
      <c r="D69" s="260"/>
      <c r="E69" s="260"/>
      <c r="F69" s="260"/>
      <c r="G69" s="259"/>
      <c r="H69" s="606"/>
      <c r="I69" s="606"/>
      <c r="J69" s="606"/>
    </row>
    <row r="70" spans="2:10" ht="13.15" thickBot="1">
      <c r="B70" s="217">
        <f t="shared" si="0"/>
        <v>44343</v>
      </c>
      <c r="C70" s="229">
        <f>'9.7_DF_Overview'!I68</f>
        <v>0</v>
      </c>
      <c r="D70" s="260"/>
      <c r="E70" s="260"/>
      <c r="F70" s="260"/>
      <c r="G70" s="259"/>
      <c r="H70" s="606"/>
      <c r="I70" s="606"/>
      <c r="J70" s="606"/>
    </row>
    <row r="71" spans="2:10" ht="13.15" thickBot="1">
      <c r="B71" s="217">
        <f t="shared" si="0"/>
        <v>44344</v>
      </c>
      <c r="C71" s="229">
        <f>'9.7_DF_Overview'!I69</f>
        <v>0</v>
      </c>
      <c r="D71" s="260"/>
      <c r="E71" s="260"/>
      <c r="F71" s="260"/>
      <c r="G71" s="259"/>
      <c r="H71" s="606"/>
      <c r="I71" s="606"/>
      <c r="J71" s="606"/>
    </row>
    <row r="72" spans="2:10" ht="13.15" thickBot="1">
      <c r="B72" s="217">
        <f t="shared" si="0"/>
        <v>44345</v>
      </c>
      <c r="C72" s="229">
        <f>'9.7_DF_Overview'!I70</f>
        <v>0</v>
      </c>
      <c r="D72" s="260"/>
      <c r="E72" s="260"/>
      <c r="F72" s="260"/>
      <c r="G72" s="259"/>
      <c r="H72" s="606"/>
      <c r="I72" s="606"/>
      <c r="J72" s="606"/>
    </row>
    <row r="73" spans="2:10" ht="13.15" thickBot="1">
      <c r="B73" s="217">
        <f t="shared" si="0"/>
        <v>44346</v>
      </c>
      <c r="C73" s="229">
        <f>'9.7_DF_Overview'!I71</f>
        <v>0</v>
      </c>
      <c r="D73" s="260"/>
      <c r="E73" s="260"/>
      <c r="F73" s="260"/>
      <c r="G73" s="259"/>
      <c r="H73" s="606"/>
      <c r="I73" s="606"/>
      <c r="J73" s="606"/>
    </row>
    <row r="74" spans="2:10" ht="13.15" thickBot="1">
      <c r="B74" s="217">
        <f t="shared" si="0"/>
        <v>44347</v>
      </c>
      <c r="C74" s="229">
        <f>'9.7_DF_Overview'!I72</f>
        <v>0</v>
      </c>
      <c r="D74" s="260"/>
      <c r="E74" s="260"/>
      <c r="F74" s="260"/>
      <c r="G74" s="259"/>
      <c r="H74" s="606"/>
      <c r="I74" s="606"/>
      <c r="J74" s="606"/>
    </row>
    <row r="75" spans="2:10" ht="13.15" thickBot="1">
      <c r="B75" s="217">
        <f t="shared" si="0"/>
        <v>44348</v>
      </c>
      <c r="C75" s="229">
        <f>'9.7_DF_Overview'!I73</f>
        <v>0</v>
      </c>
      <c r="D75" s="260"/>
      <c r="E75" s="260"/>
      <c r="F75" s="260"/>
      <c r="G75" s="259"/>
      <c r="H75" s="606"/>
      <c r="I75" s="606"/>
      <c r="J75" s="606"/>
    </row>
    <row r="76" spans="2:10" ht="13.15" thickBot="1">
      <c r="B76" s="217">
        <f t="shared" si="0"/>
        <v>44349</v>
      </c>
      <c r="C76" s="229">
        <f>'9.7_DF_Overview'!I74</f>
        <v>0</v>
      </c>
      <c r="D76" s="260"/>
      <c r="E76" s="260"/>
      <c r="F76" s="260"/>
      <c r="G76" s="259"/>
      <c r="H76" s="606"/>
      <c r="I76" s="606"/>
      <c r="J76" s="606"/>
    </row>
    <row r="77" spans="2:10" ht="13.15" thickBot="1">
      <c r="B77" s="217">
        <f t="shared" si="0"/>
        <v>44350</v>
      </c>
      <c r="C77" s="229">
        <f>'9.7_DF_Overview'!I75</f>
        <v>0</v>
      </c>
      <c r="D77" s="260"/>
      <c r="E77" s="260"/>
      <c r="F77" s="260"/>
      <c r="G77" s="259"/>
      <c r="H77" s="606"/>
      <c r="I77" s="606"/>
      <c r="J77" s="606"/>
    </row>
    <row r="78" spans="2:10" ht="13.15" thickBot="1">
      <c r="B78" s="217">
        <f t="shared" si="0"/>
        <v>44351</v>
      </c>
      <c r="C78" s="229">
        <f>'9.7_DF_Overview'!I76</f>
        <v>0</v>
      </c>
      <c r="D78" s="260"/>
      <c r="E78" s="260"/>
      <c r="F78" s="260"/>
      <c r="G78" s="259"/>
      <c r="H78" s="606"/>
      <c r="I78" s="606"/>
      <c r="J78" s="606"/>
    </row>
    <row r="79" spans="2:10" ht="13.15" thickBot="1">
      <c r="B79" s="217">
        <f t="shared" ref="B79:B142" si="1">B78+1</f>
        <v>44352</v>
      </c>
      <c r="C79" s="229">
        <f>'9.7_DF_Overview'!I77</f>
        <v>0</v>
      </c>
      <c r="D79" s="260"/>
      <c r="E79" s="260"/>
      <c r="F79" s="260"/>
      <c r="G79" s="259"/>
      <c r="H79" s="606"/>
      <c r="I79" s="606"/>
      <c r="J79" s="606"/>
    </row>
    <row r="80" spans="2:10" ht="13.15" thickBot="1">
      <c r="B80" s="217">
        <f t="shared" si="1"/>
        <v>44353</v>
      </c>
      <c r="C80" s="229">
        <f>'9.7_DF_Overview'!I78</f>
        <v>0</v>
      </c>
      <c r="D80" s="260"/>
      <c r="E80" s="260"/>
      <c r="F80" s="260"/>
      <c r="G80" s="259"/>
      <c r="H80" s="606"/>
      <c r="I80" s="606"/>
      <c r="J80" s="606"/>
    </row>
    <row r="81" spans="2:10" ht="13.15" thickBot="1">
      <c r="B81" s="217">
        <f t="shared" si="1"/>
        <v>44354</v>
      </c>
      <c r="C81" s="229">
        <f>'9.7_DF_Overview'!I79</f>
        <v>0</v>
      </c>
      <c r="D81" s="260"/>
      <c r="E81" s="260"/>
      <c r="F81" s="260"/>
      <c r="G81" s="259"/>
      <c r="H81" s="606"/>
      <c r="I81" s="606"/>
      <c r="J81" s="606"/>
    </row>
    <row r="82" spans="2:10" ht="13.15" thickBot="1">
      <c r="B82" s="217">
        <f t="shared" si="1"/>
        <v>44355</v>
      </c>
      <c r="C82" s="229">
        <f>'9.7_DF_Overview'!I80</f>
        <v>0</v>
      </c>
      <c r="D82" s="260"/>
      <c r="E82" s="260"/>
      <c r="F82" s="260"/>
      <c r="G82" s="259"/>
      <c r="H82" s="606"/>
      <c r="I82" s="606"/>
      <c r="J82" s="606"/>
    </row>
    <row r="83" spans="2:10" ht="13.15" thickBot="1">
      <c r="B83" s="217">
        <f t="shared" si="1"/>
        <v>44356</v>
      </c>
      <c r="C83" s="229">
        <f>'9.7_DF_Overview'!I81</f>
        <v>0</v>
      </c>
      <c r="D83" s="260"/>
      <c r="E83" s="260"/>
      <c r="F83" s="260"/>
      <c r="G83" s="259"/>
      <c r="H83" s="606"/>
      <c r="I83" s="606"/>
      <c r="J83" s="606"/>
    </row>
    <row r="84" spans="2:10" ht="13.15" thickBot="1">
      <c r="B84" s="217">
        <f t="shared" si="1"/>
        <v>44357</v>
      </c>
      <c r="C84" s="229">
        <f>'9.7_DF_Overview'!I82</f>
        <v>0</v>
      </c>
      <c r="D84" s="260"/>
      <c r="E84" s="260"/>
      <c r="F84" s="260"/>
      <c r="G84" s="259"/>
      <c r="H84" s="606"/>
      <c r="I84" s="606"/>
      <c r="J84" s="606"/>
    </row>
    <row r="85" spans="2:10" ht="13.15" thickBot="1">
      <c r="B85" s="217">
        <f t="shared" si="1"/>
        <v>44358</v>
      </c>
      <c r="C85" s="229">
        <f>'9.7_DF_Overview'!I83</f>
        <v>0</v>
      </c>
      <c r="D85" s="260"/>
      <c r="E85" s="260"/>
      <c r="F85" s="260"/>
      <c r="G85" s="259"/>
      <c r="H85" s="606"/>
      <c r="I85" s="606"/>
      <c r="J85" s="606"/>
    </row>
    <row r="86" spans="2:10" ht="13.15" thickBot="1">
      <c r="B86" s="217">
        <f t="shared" si="1"/>
        <v>44359</v>
      </c>
      <c r="C86" s="229">
        <f>'9.7_DF_Overview'!I84</f>
        <v>0</v>
      </c>
      <c r="D86" s="260"/>
      <c r="E86" s="260"/>
      <c r="F86" s="260"/>
      <c r="G86" s="259"/>
      <c r="H86" s="606"/>
      <c r="I86" s="606"/>
      <c r="J86" s="606"/>
    </row>
    <row r="87" spans="2:10" ht="13.15" thickBot="1">
      <c r="B87" s="217">
        <f t="shared" si="1"/>
        <v>44360</v>
      </c>
      <c r="C87" s="229">
        <f>'9.7_DF_Overview'!I85</f>
        <v>0</v>
      </c>
      <c r="D87" s="260"/>
      <c r="E87" s="260"/>
      <c r="F87" s="260"/>
      <c r="G87" s="259"/>
      <c r="H87" s="606"/>
      <c r="I87" s="606"/>
      <c r="J87" s="606"/>
    </row>
    <row r="88" spans="2:10" ht="13.15" thickBot="1">
      <c r="B88" s="217">
        <f t="shared" si="1"/>
        <v>44361</v>
      </c>
      <c r="C88" s="229">
        <f>'9.7_DF_Overview'!I86</f>
        <v>0</v>
      </c>
      <c r="D88" s="260"/>
      <c r="E88" s="260"/>
      <c r="F88" s="260"/>
      <c r="G88" s="259"/>
      <c r="H88" s="606"/>
      <c r="I88" s="606"/>
      <c r="J88" s="606"/>
    </row>
    <row r="89" spans="2:10" ht="13.15" thickBot="1">
      <c r="B89" s="217">
        <f t="shared" si="1"/>
        <v>44362</v>
      </c>
      <c r="C89" s="229">
        <f>'9.7_DF_Overview'!I87</f>
        <v>0</v>
      </c>
      <c r="D89" s="260"/>
      <c r="E89" s="260"/>
      <c r="F89" s="260"/>
      <c r="G89" s="259"/>
      <c r="H89" s="606"/>
      <c r="I89" s="606"/>
      <c r="J89" s="606"/>
    </row>
    <row r="90" spans="2:10" ht="13.15" thickBot="1">
      <c r="B90" s="217">
        <f t="shared" si="1"/>
        <v>44363</v>
      </c>
      <c r="C90" s="229">
        <f>'9.7_DF_Overview'!I88</f>
        <v>0</v>
      </c>
      <c r="D90" s="260"/>
      <c r="E90" s="260"/>
      <c r="F90" s="260"/>
      <c r="G90" s="259"/>
      <c r="H90" s="606"/>
      <c r="I90" s="606"/>
      <c r="J90" s="606"/>
    </row>
    <row r="91" spans="2:10" ht="13.15" thickBot="1">
      <c r="B91" s="217">
        <f t="shared" si="1"/>
        <v>44364</v>
      </c>
      <c r="C91" s="229">
        <f>'9.7_DF_Overview'!I89</f>
        <v>0</v>
      </c>
      <c r="D91" s="260"/>
      <c r="E91" s="260"/>
      <c r="F91" s="260"/>
      <c r="G91" s="259"/>
      <c r="H91" s="606"/>
      <c r="I91" s="606"/>
      <c r="J91" s="606"/>
    </row>
    <row r="92" spans="2:10" ht="13.15" thickBot="1">
      <c r="B92" s="217">
        <f t="shared" si="1"/>
        <v>44365</v>
      </c>
      <c r="C92" s="229">
        <f>'9.7_DF_Overview'!I90</f>
        <v>0</v>
      </c>
      <c r="D92" s="260"/>
      <c r="E92" s="260"/>
      <c r="F92" s="260"/>
      <c r="G92" s="259"/>
      <c r="H92" s="606"/>
      <c r="I92" s="606"/>
      <c r="J92" s="606"/>
    </row>
    <row r="93" spans="2:10" ht="13.15" thickBot="1">
      <c r="B93" s="217">
        <f t="shared" si="1"/>
        <v>44366</v>
      </c>
      <c r="C93" s="229">
        <f>'9.7_DF_Overview'!I91</f>
        <v>0</v>
      </c>
      <c r="D93" s="260"/>
      <c r="E93" s="260"/>
      <c r="F93" s="260"/>
      <c r="G93" s="259"/>
      <c r="H93" s="606"/>
      <c r="I93" s="606"/>
      <c r="J93" s="606"/>
    </row>
    <row r="94" spans="2:10" ht="13.15" thickBot="1">
      <c r="B94" s="217">
        <f t="shared" si="1"/>
        <v>44367</v>
      </c>
      <c r="C94" s="229">
        <f>'9.7_DF_Overview'!I92</f>
        <v>0</v>
      </c>
      <c r="D94" s="260"/>
      <c r="E94" s="260"/>
      <c r="F94" s="260"/>
      <c r="G94" s="259"/>
      <c r="H94" s="606"/>
      <c r="I94" s="606"/>
      <c r="J94" s="606"/>
    </row>
    <row r="95" spans="2:10" ht="13.15" thickBot="1">
      <c r="B95" s="217">
        <f t="shared" si="1"/>
        <v>44368</v>
      </c>
      <c r="C95" s="229">
        <f>'9.7_DF_Overview'!I93</f>
        <v>0</v>
      </c>
      <c r="D95" s="260"/>
      <c r="E95" s="260"/>
      <c r="F95" s="260"/>
      <c r="G95" s="259"/>
      <c r="H95" s="606"/>
      <c r="I95" s="606"/>
      <c r="J95" s="606"/>
    </row>
    <row r="96" spans="2:10" ht="13.15" thickBot="1">
      <c r="B96" s="217">
        <f t="shared" si="1"/>
        <v>44369</v>
      </c>
      <c r="C96" s="229">
        <f>'9.7_DF_Overview'!I94</f>
        <v>0</v>
      </c>
      <c r="D96" s="260"/>
      <c r="E96" s="260"/>
      <c r="F96" s="260"/>
      <c r="G96" s="259"/>
      <c r="H96" s="606"/>
      <c r="I96" s="606"/>
      <c r="J96" s="606"/>
    </row>
    <row r="97" spans="2:10" ht="13.15" thickBot="1">
      <c r="B97" s="217">
        <f t="shared" si="1"/>
        <v>44370</v>
      </c>
      <c r="C97" s="229">
        <f>'9.7_DF_Overview'!I95</f>
        <v>0</v>
      </c>
      <c r="D97" s="260"/>
      <c r="E97" s="260"/>
      <c r="F97" s="260"/>
      <c r="G97" s="259"/>
      <c r="H97" s="606"/>
      <c r="I97" s="606"/>
      <c r="J97" s="606"/>
    </row>
    <row r="98" spans="2:10" ht="13.15" thickBot="1">
      <c r="B98" s="217">
        <f t="shared" si="1"/>
        <v>44371</v>
      </c>
      <c r="C98" s="229">
        <f>'9.7_DF_Overview'!I96</f>
        <v>0</v>
      </c>
      <c r="D98" s="260"/>
      <c r="E98" s="260"/>
      <c r="F98" s="260"/>
      <c r="G98" s="259"/>
      <c r="H98" s="606"/>
      <c r="I98" s="606"/>
      <c r="J98" s="606"/>
    </row>
    <row r="99" spans="2:10" ht="13.15" thickBot="1">
      <c r="B99" s="217">
        <f t="shared" si="1"/>
        <v>44372</v>
      </c>
      <c r="C99" s="229">
        <f>'9.7_DF_Overview'!I97</f>
        <v>0</v>
      </c>
      <c r="D99" s="260"/>
      <c r="E99" s="260"/>
      <c r="F99" s="260"/>
      <c r="G99" s="259"/>
      <c r="H99" s="606"/>
      <c r="I99" s="606"/>
      <c r="J99" s="606"/>
    </row>
    <row r="100" spans="2:10" ht="13.15" thickBot="1">
      <c r="B100" s="217">
        <f t="shared" si="1"/>
        <v>44373</v>
      </c>
      <c r="C100" s="229">
        <f>'9.7_DF_Overview'!I98</f>
        <v>0</v>
      </c>
      <c r="D100" s="260"/>
      <c r="E100" s="260"/>
      <c r="F100" s="260"/>
      <c r="G100" s="259"/>
      <c r="H100" s="606"/>
      <c r="I100" s="606"/>
      <c r="J100" s="606"/>
    </row>
    <row r="101" spans="2:10" ht="13.15" thickBot="1">
      <c r="B101" s="217">
        <f t="shared" si="1"/>
        <v>44374</v>
      </c>
      <c r="C101" s="229">
        <f>'9.7_DF_Overview'!I99</f>
        <v>0</v>
      </c>
      <c r="D101" s="260"/>
      <c r="E101" s="260"/>
      <c r="F101" s="260"/>
      <c r="G101" s="259"/>
      <c r="H101" s="606"/>
      <c r="I101" s="606"/>
      <c r="J101" s="606"/>
    </row>
    <row r="102" spans="2:10" ht="13.15" thickBot="1">
      <c r="B102" s="217">
        <f t="shared" si="1"/>
        <v>44375</v>
      </c>
      <c r="C102" s="229">
        <f>'9.7_DF_Overview'!I100</f>
        <v>0</v>
      </c>
      <c r="D102" s="260"/>
      <c r="E102" s="260"/>
      <c r="F102" s="260"/>
      <c r="G102" s="259"/>
      <c r="H102" s="606"/>
      <c r="I102" s="606"/>
      <c r="J102" s="606"/>
    </row>
    <row r="103" spans="2:10" ht="13.15" thickBot="1">
      <c r="B103" s="217">
        <f t="shared" si="1"/>
        <v>44376</v>
      </c>
      <c r="C103" s="229">
        <f>'9.7_DF_Overview'!I101</f>
        <v>0</v>
      </c>
      <c r="D103" s="260"/>
      <c r="E103" s="260"/>
      <c r="F103" s="260"/>
      <c r="G103" s="259"/>
      <c r="H103" s="606"/>
      <c r="I103" s="606"/>
      <c r="J103" s="606"/>
    </row>
    <row r="104" spans="2:10" ht="13.15" thickBot="1">
      <c r="B104" s="217">
        <f t="shared" si="1"/>
        <v>44377</v>
      </c>
      <c r="C104" s="229">
        <f>'9.7_DF_Overview'!I102</f>
        <v>0</v>
      </c>
      <c r="D104" s="260"/>
      <c r="E104" s="260"/>
      <c r="F104" s="260"/>
      <c r="G104" s="259"/>
      <c r="H104" s="606"/>
      <c r="I104" s="606"/>
      <c r="J104" s="606"/>
    </row>
    <row r="105" spans="2:10" ht="13.15" thickBot="1">
      <c r="B105" s="217">
        <f t="shared" si="1"/>
        <v>44378</v>
      </c>
      <c r="C105" s="229">
        <f>'9.7_DF_Overview'!I103</f>
        <v>0</v>
      </c>
      <c r="D105" s="260"/>
      <c r="E105" s="260"/>
      <c r="F105" s="260"/>
      <c r="G105" s="259"/>
      <c r="H105" s="606"/>
      <c r="I105" s="606"/>
      <c r="J105" s="606"/>
    </row>
    <row r="106" spans="2:10" ht="13.15" thickBot="1">
      <c r="B106" s="217">
        <f t="shared" si="1"/>
        <v>44379</v>
      </c>
      <c r="C106" s="229">
        <f>'9.7_DF_Overview'!I104</f>
        <v>0</v>
      </c>
      <c r="D106" s="260"/>
      <c r="E106" s="260"/>
      <c r="F106" s="260"/>
      <c r="G106" s="259"/>
      <c r="H106" s="606"/>
      <c r="I106" s="606"/>
      <c r="J106" s="606"/>
    </row>
    <row r="107" spans="2:10" ht="13.15" thickBot="1">
      <c r="B107" s="217">
        <f t="shared" si="1"/>
        <v>44380</v>
      </c>
      <c r="C107" s="229">
        <f>'9.7_DF_Overview'!I105</f>
        <v>0</v>
      </c>
      <c r="D107" s="260"/>
      <c r="E107" s="260"/>
      <c r="F107" s="260"/>
      <c r="G107" s="259"/>
      <c r="H107" s="606"/>
      <c r="I107" s="606"/>
      <c r="J107" s="606"/>
    </row>
    <row r="108" spans="2:10" ht="13.15" thickBot="1">
      <c r="B108" s="217">
        <f t="shared" si="1"/>
        <v>44381</v>
      </c>
      <c r="C108" s="229">
        <f>'9.7_DF_Overview'!I106</f>
        <v>0</v>
      </c>
      <c r="D108" s="260"/>
      <c r="E108" s="260"/>
      <c r="F108" s="260"/>
      <c r="G108" s="259"/>
      <c r="H108" s="606"/>
      <c r="I108" s="606"/>
      <c r="J108" s="606"/>
    </row>
    <row r="109" spans="2:10" ht="13.15" thickBot="1">
      <c r="B109" s="217">
        <f t="shared" si="1"/>
        <v>44382</v>
      </c>
      <c r="C109" s="229">
        <f>'9.7_DF_Overview'!I107</f>
        <v>0</v>
      </c>
      <c r="D109" s="260"/>
      <c r="E109" s="260"/>
      <c r="F109" s="260"/>
      <c r="G109" s="259"/>
      <c r="H109" s="606"/>
      <c r="I109" s="606"/>
      <c r="J109" s="606"/>
    </row>
    <row r="110" spans="2:10" ht="13.15" thickBot="1">
      <c r="B110" s="217">
        <f t="shared" si="1"/>
        <v>44383</v>
      </c>
      <c r="C110" s="229">
        <f>'9.7_DF_Overview'!I108</f>
        <v>0</v>
      </c>
      <c r="D110" s="260"/>
      <c r="E110" s="260"/>
      <c r="F110" s="260"/>
      <c r="G110" s="259"/>
      <c r="H110" s="606"/>
      <c r="I110" s="606"/>
      <c r="J110" s="606"/>
    </row>
    <row r="111" spans="2:10" ht="13.15" thickBot="1">
      <c r="B111" s="217">
        <f t="shared" si="1"/>
        <v>44384</v>
      </c>
      <c r="C111" s="229">
        <f>'9.7_DF_Overview'!I109</f>
        <v>0</v>
      </c>
      <c r="D111" s="260"/>
      <c r="E111" s="260"/>
      <c r="F111" s="260"/>
      <c r="G111" s="259"/>
      <c r="H111" s="606"/>
      <c r="I111" s="606"/>
      <c r="J111" s="606"/>
    </row>
    <row r="112" spans="2:10" ht="13.15" thickBot="1">
      <c r="B112" s="217">
        <f t="shared" si="1"/>
        <v>44385</v>
      </c>
      <c r="C112" s="229">
        <f>'9.7_DF_Overview'!I110</f>
        <v>0</v>
      </c>
      <c r="D112" s="260"/>
      <c r="E112" s="260"/>
      <c r="F112" s="260"/>
      <c r="G112" s="259"/>
      <c r="H112" s="606"/>
      <c r="I112" s="606"/>
      <c r="J112" s="606"/>
    </row>
    <row r="113" spans="2:10" ht="13.15" thickBot="1">
      <c r="B113" s="217">
        <f t="shared" si="1"/>
        <v>44386</v>
      </c>
      <c r="C113" s="229">
        <f>'9.7_DF_Overview'!I111</f>
        <v>0</v>
      </c>
      <c r="D113" s="260"/>
      <c r="E113" s="260"/>
      <c r="F113" s="260"/>
      <c r="G113" s="259"/>
      <c r="H113" s="606"/>
      <c r="I113" s="606"/>
      <c r="J113" s="606"/>
    </row>
    <row r="114" spans="2:10" ht="13.15" thickBot="1">
      <c r="B114" s="217">
        <f t="shared" si="1"/>
        <v>44387</v>
      </c>
      <c r="C114" s="229">
        <f>'9.7_DF_Overview'!I112</f>
        <v>0</v>
      </c>
      <c r="D114" s="260"/>
      <c r="E114" s="260"/>
      <c r="F114" s="260"/>
      <c r="G114" s="259"/>
      <c r="H114" s="606"/>
      <c r="I114" s="606"/>
      <c r="J114" s="606"/>
    </row>
    <row r="115" spans="2:10" ht="13.15" thickBot="1">
      <c r="B115" s="217">
        <f t="shared" si="1"/>
        <v>44388</v>
      </c>
      <c r="C115" s="229">
        <f>'9.7_DF_Overview'!I113</f>
        <v>0</v>
      </c>
      <c r="D115" s="260"/>
      <c r="E115" s="260"/>
      <c r="F115" s="260"/>
      <c r="G115" s="259"/>
      <c r="H115" s="606"/>
      <c r="I115" s="606"/>
      <c r="J115" s="606"/>
    </row>
    <row r="116" spans="2:10" ht="13.15" thickBot="1">
      <c r="B116" s="217">
        <f t="shared" si="1"/>
        <v>44389</v>
      </c>
      <c r="C116" s="229">
        <f>'9.7_DF_Overview'!I114</f>
        <v>0</v>
      </c>
      <c r="D116" s="260"/>
      <c r="E116" s="260"/>
      <c r="F116" s="260"/>
      <c r="G116" s="259"/>
      <c r="H116" s="606"/>
      <c r="I116" s="606"/>
      <c r="J116" s="606"/>
    </row>
    <row r="117" spans="2:10" ht="13.15" thickBot="1">
      <c r="B117" s="217">
        <f t="shared" si="1"/>
        <v>44390</v>
      </c>
      <c r="C117" s="229">
        <f>'9.7_DF_Overview'!I115</f>
        <v>0</v>
      </c>
      <c r="D117" s="260"/>
      <c r="E117" s="260"/>
      <c r="F117" s="260"/>
      <c r="G117" s="259"/>
      <c r="H117" s="606"/>
      <c r="I117" s="606"/>
      <c r="J117" s="606"/>
    </row>
    <row r="118" spans="2:10" ht="13.15" thickBot="1">
      <c r="B118" s="217">
        <f t="shared" si="1"/>
        <v>44391</v>
      </c>
      <c r="C118" s="229">
        <f>'9.7_DF_Overview'!I116</f>
        <v>0</v>
      </c>
      <c r="D118" s="260"/>
      <c r="E118" s="260"/>
      <c r="F118" s="260"/>
      <c r="G118" s="259"/>
      <c r="H118" s="606"/>
      <c r="I118" s="606"/>
      <c r="J118" s="606"/>
    </row>
    <row r="119" spans="2:10" ht="13.15" thickBot="1">
      <c r="B119" s="217">
        <f t="shared" si="1"/>
        <v>44392</v>
      </c>
      <c r="C119" s="229">
        <f>'9.7_DF_Overview'!I117</f>
        <v>0</v>
      </c>
      <c r="D119" s="260"/>
      <c r="E119" s="260"/>
      <c r="F119" s="260"/>
      <c r="G119" s="259"/>
      <c r="H119" s="606"/>
      <c r="I119" s="606"/>
      <c r="J119" s="606"/>
    </row>
    <row r="120" spans="2:10" ht="13.15" thickBot="1">
      <c r="B120" s="217">
        <f t="shared" si="1"/>
        <v>44393</v>
      </c>
      <c r="C120" s="229">
        <f>'9.7_DF_Overview'!I118</f>
        <v>0</v>
      </c>
      <c r="D120" s="260"/>
      <c r="E120" s="260"/>
      <c r="F120" s="260"/>
      <c r="G120" s="259"/>
      <c r="H120" s="606"/>
      <c r="I120" s="606"/>
      <c r="J120" s="606"/>
    </row>
    <row r="121" spans="2:10" ht="13.15" thickBot="1">
      <c r="B121" s="217">
        <f t="shared" si="1"/>
        <v>44394</v>
      </c>
      <c r="C121" s="229">
        <f>'9.7_DF_Overview'!I119</f>
        <v>0</v>
      </c>
      <c r="D121" s="260"/>
      <c r="E121" s="260"/>
      <c r="F121" s="260"/>
      <c r="G121" s="259"/>
      <c r="H121" s="606"/>
      <c r="I121" s="606"/>
      <c r="J121" s="606"/>
    </row>
    <row r="122" spans="2:10" ht="13.15" thickBot="1">
      <c r="B122" s="217">
        <f t="shared" si="1"/>
        <v>44395</v>
      </c>
      <c r="C122" s="229">
        <f>'9.7_DF_Overview'!I120</f>
        <v>0</v>
      </c>
      <c r="D122" s="260"/>
      <c r="E122" s="260"/>
      <c r="F122" s="260"/>
      <c r="G122" s="259"/>
      <c r="H122" s="606"/>
      <c r="I122" s="606"/>
      <c r="J122" s="606"/>
    </row>
    <row r="123" spans="2:10" ht="13.15" thickBot="1">
      <c r="B123" s="217">
        <f t="shared" si="1"/>
        <v>44396</v>
      </c>
      <c r="C123" s="229">
        <f>'9.7_DF_Overview'!I121</f>
        <v>0</v>
      </c>
      <c r="D123" s="260"/>
      <c r="E123" s="260"/>
      <c r="F123" s="260"/>
      <c r="G123" s="259"/>
      <c r="H123" s="606"/>
      <c r="I123" s="606"/>
      <c r="J123" s="606"/>
    </row>
    <row r="124" spans="2:10" ht="13.15" thickBot="1">
      <c r="B124" s="217">
        <f t="shared" si="1"/>
        <v>44397</v>
      </c>
      <c r="C124" s="229">
        <f>'9.7_DF_Overview'!I122</f>
        <v>0</v>
      </c>
      <c r="D124" s="260"/>
      <c r="E124" s="260"/>
      <c r="F124" s="260"/>
      <c r="G124" s="259"/>
      <c r="H124" s="606"/>
      <c r="I124" s="606"/>
      <c r="J124" s="606"/>
    </row>
    <row r="125" spans="2:10" ht="13.15" thickBot="1">
      <c r="B125" s="217">
        <f t="shared" si="1"/>
        <v>44398</v>
      </c>
      <c r="C125" s="229">
        <f>'9.7_DF_Overview'!I123</f>
        <v>0</v>
      </c>
      <c r="D125" s="260"/>
      <c r="E125" s="260"/>
      <c r="F125" s="260"/>
      <c r="G125" s="259"/>
      <c r="H125" s="606"/>
      <c r="I125" s="606"/>
      <c r="J125" s="606"/>
    </row>
    <row r="126" spans="2:10" ht="13.15" thickBot="1">
      <c r="B126" s="217">
        <f t="shared" si="1"/>
        <v>44399</v>
      </c>
      <c r="C126" s="229">
        <f>'9.7_DF_Overview'!I124</f>
        <v>0</v>
      </c>
      <c r="D126" s="260"/>
      <c r="E126" s="260"/>
      <c r="F126" s="260"/>
      <c r="G126" s="259"/>
      <c r="H126" s="606"/>
      <c r="I126" s="606"/>
      <c r="J126" s="606"/>
    </row>
    <row r="127" spans="2:10" ht="13.15" thickBot="1">
      <c r="B127" s="217">
        <f t="shared" si="1"/>
        <v>44400</v>
      </c>
      <c r="C127" s="229">
        <f>'9.7_DF_Overview'!I125</f>
        <v>0</v>
      </c>
      <c r="D127" s="260"/>
      <c r="E127" s="260"/>
      <c r="F127" s="260"/>
      <c r="G127" s="259"/>
      <c r="H127" s="606"/>
      <c r="I127" s="606"/>
      <c r="J127" s="606"/>
    </row>
    <row r="128" spans="2:10" ht="13.15" thickBot="1">
      <c r="B128" s="217">
        <f t="shared" si="1"/>
        <v>44401</v>
      </c>
      <c r="C128" s="229">
        <f>'9.7_DF_Overview'!I126</f>
        <v>0</v>
      </c>
      <c r="D128" s="260"/>
      <c r="E128" s="260"/>
      <c r="F128" s="260"/>
      <c r="G128" s="259"/>
      <c r="H128" s="606"/>
      <c r="I128" s="606"/>
      <c r="J128" s="606"/>
    </row>
    <row r="129" spans="2:10" ht="13.15" thickBot="1">
      <c r="B129" s="217">
        <f t="shared" si="1"/>
        <v>44402</v>
      </c>
      <c r="C129" s="229">
        <f>'9.7_DF_Overview'!I127</f>
        <v>0</v>
      </c>
      <c r="D129" s="260"/>
      <c r="E129" s="260"/>
      <c r="F129" s="260"/>
      <c r="G129" s="259"/>
      <c r="H129" s="606"/>
      <c r="I129" s="606"/>
      <c r="J129" s="606"/>
    </row>
    <row r="130" spans="2:10" ht="13.15" thickBot="1">
      <c r="B130" s="217">
        <f t="shared" si="1"/>
        <v>44403</v>
      </c>
      <c r="C130" s="229">
        <f>'9.7_DF_Overview'!I128</f>
        <v>0</v>
      </c>
      <c r="D130" s="260"/>
      <c r="E130" s="260"/>
      <c r="F130" s="260"/>
      <c r="G130" s="259"/>
      <c r="H130" s="606"/>
      <c r="I130" s="606"/>
      <c r="J130" s="606"/>
    </row>
    <row r="131" spans="2:10" ht="13.15" thickBot="1">
      <c r="B131" s="217">
        <f t="shared" si="1"/>
        <v>44404</v>
      </c>
      <c r="C131" s="229">
        <f>'9.7_DF_Overview'!I129</f>
        <v>0</v>
      </c>
      <c r="D131" s="260"/>
      <c r="E131" s="260"/>
      <c r="F131" s="260"/>
      <c r="G131" s="259"/>
      <c r="H131" s="606"/>
      <c r="I131" s="606"/>
      <c r="J131" s="606"/>
    </row>
    <row r="132" spans="2:10" ht="13.15" thickBot="1">
      <c r="B132" s="217">
        <f t="shared" si="1"/>
        <v>44405</v>
      </c>
      <c r="C132" s="229">
        <f>'9.7_DF_Overview'!I130</f>
        <v>0</v>
      </c>
      <c r="D132" s="260"/>
      <c r="E132" s="260"/>
      <c r="F132" s="260"/>
      <c r="G132" s="259"/>
      <c r="H132" s="606"/>
      <c r="I132" s="606"/>
      <c r="J132" s="606"/>
    </row>
    <row r="133" spans="2:10" ht="13.15" thickBot="1">
      <c r="B133" s="217">
        <f t="shared" si="1"/>
        <v>44406</v>
      </c>
      <c r="C133" s="229">
        <f>'9.7_DF_Overview'!I131</f>
        <v>0</v>
      </c>
      <c r="D133" s="260"/>
      <c r="E133" s="260"/>
      <c r="F133" s="260"/>
      <c r="G133" s="259"/>
      <c r="H133" s="606"/>
      <c r="I133" s="606"/>
      <c r="J133" s="606"/>
    </row>
    <row r="134" spans="2:10" ht="13.15" thickBot="1">
      <c r="B134" s="217">
        <f t="shared" si="1"/>
        <v>44407</v>
      </c>
      <c r="C134" s="229">
        <f>'9.7_DF_Overview'!I132</f>
        <v>0</v>
      </c>
      <c r="D134" s="260"/>
      <c r="E134" s="260"/>
      <c r="F134" s="260"/>
      <c r="G134" s="259"/>
      <c r="H134" s="606"/>
      <c r="I134" s="606"/>
      <c r="J134" s="606"/>
    </row>
    <row r="135" spans="2:10" ht="13.15" thickBot="1">
      <c r="B135" s="217">
        <f t="shared" si="1"/>
        <v>44408</v>
      </c>
      <c r="C135" s="229">
        <f>'9.7_DF_Overview'!I133</f>
        <v>0</v>
      </c>
      <c r="D135" s="260"/>
      <c r="E135" s="260"/>
      <c r="F135" s="260"/>
      <c r="G135" s="259"/>
      <c r="H135" s="606"/>
      <c r="I135" s="606"/>
      <c r="J135" s="606"/>
    </row>
    <row r="136" spans="2:10" ht="13.15" thickBot="1">
      <c r="B136" s="217">
        <f t="shared" si="1"/>
        <v>44409</v>
      </c>
      <c r="C136" s="229">
        <f>'9.7_DF_Overview'!I134</f>
        <v>0</v>
      </c>
      <c r="D136" s="260"/>
      <c r="E136" s="260"/>
      <c r="F136" s="260"/>
      <c r="G136" s="259"/>
      <c r="H136" s="606"/>
      <c r="I136" s="606"/>
      <c r="J136" s="606"/>
    </row>
    <row r="137" spans="2:10" ht="13.15" thickBot="1">
      <c r="B137" s="217">
        <f t="shared" si="1"/>
        <v>44410</v>
      </c>
      <c r="C137" s="229">
        <f>'9.7_DF_Overview'!I135</f>
        <v>0</v>
      </c>
      <c r="D137" s="260"/>
      <c r="E137" s="260"/>
      <c r="F137" s="260"/>
      <c r="G137" s="259"/>
      <c r="H137" s="606"/>
      <c r="I137" s="606"/>
      <c r="J137" s="606"/>
    </row>
    <row r="138" spans="2:10" ht="13.15" thickBot="1">
      <c r="B138" s="217">
        <f t="shared" si="1"/>
        <v>44411</v>
      </c>
      <c r="C138" s="229">
        <f>'9.7_DF_Overview'!I136</f>
        <v>0</v>
      </c>
      <c r="D138" s="260"/>
      <c r="E138" s="260"/>
      <c r="F138" s="260"/>
      <c r="G138" s="259"/>
      <c r="H138" s="606"/>
      <c r="I138" s="606"/>
      <c r="J138" s="606"/>
    </row>
    <row r="139" spans="2:10" ht="13.15" thickBot="1">
      <c r="B139" s="217">
        <f t="shared" si="1"/>
        <v>44412</v>
      </c>
      <c r="C139" s="229">
        <f>'9.7_DF_Overview'!I137</f>
        <v>0</v>
      </c>
      <c r="D139" s="260"/>
      <c r="E139" s="260"/>
      <c r="F139" s="260"/>
      <c r="G139" s="259"/>
      <c r="H139" s="606"/>
      <c r="I139" s="606"/>
      <c r="J139" s="606"/>
    </row>
    <row r="140" spans="2:10" ht="13.15" thickBot="1">
      <c r="B140" s="217">
        <f t="shared" si="1"/>
        <v>44413</v>
      </c>
      <c r="C140" s="229">
        <f>'9.7_DF_Overview'!I138</f>
        <v>0</v>
      </c>
      <c r="D140" s="260"/>
      <c r="E140" s="260"/>
      <c r="F140" s="260"/>
      <c r="G140" s="259"/>
      <c r="H140" s="606"/>
      <c r="I140" s="606"/>
      <c r="J140" s="606"/>
    </row>
    <row r="141" spans="2:10" ht="13.15" thickBot="1">
      <c r="B141" s="217">
        <f t="shared" si="1"/>
        <v>44414</v>
      </c>
      <c r="C141" s="229">
        <f>'9.7_DF_Overview'!I139</f>
        <v>0</v>
      </c>
      <c r="D141" s="260"/>
      <c r="E141" s="260"/>
      <c r="F141" s="260"/>
      <c r="G141" s="259"/>
      <c r="H141" s="606"/>
      <c r="I141" s="606"/>
      <c r="J141" s="606"/>
    </row>
    <row r="142" spans="2:10" ht="13.15" thickBot="1">
      <c r="B142" s="217">
        <f t="shared" si="1"/>
        <v>44415</v>
      </c>
      <c r="C142" s="229">
        <f>'9.7_DF_Overview'!I140</f>
        <v>0</v>
      </c>
      <c r="D142" s="260"/>
      <c r="E142" s="260"/>
      <c r="F142" s="260"/>
      <c r="G142" s="259"/>
      <c r="H142" s="606"/>
      <c r="I142" s="606"/>
      <c r="J142" s="606"/>
    </row>
    <row r="143" spans="2:10" ht="13.15" thickBot="1">
      <c r="B143" s="217">
        <f t="shared" ref="B143:B206" si="2">B142+1</f>
        <v>44416</v>
      </c>
      <c r="C143" s="229">
        <f>'9.7_DF_Overview'!I141</f>
        <v>0</v>
      </c>
      <c r="D143" s="260"/>
      <c r="E143" s="260"/>
      <c r="F143" s="260"/>
      <c r="G143" s="259"/>
      <c r="H143" s="606"/>
      <c r="I143" s="606"/>
      <c r="J143" s="606"/>
    </row>
    <row r="144" spans="2:10" ht="13.15" thickBot="1">
      <c r="B144" s="217">
        <f t="shared" si="2"/>
        <v>44417</v>
      </c>
      <c r="C144" s="229">
        <f>'9.7_DF_Overview'!I142</f>
        <v>0</v>
      </c>
      <c r="D144" s="260"/>
      <c r="E144" s="260"/>
      <c r="F144" s="260"/>
      <c r="G144" s="259"/>
      <c r="H144" s="606"/>
      <c r="I144" s="606"/>
      <c r="J144" s="606"/>
    </row>
    <row r="145" spans="2:10" ht="13.15" thickBot="1">
      <c r="B145" s="217">
        <f t="shared" si="2"/>
        <v>44418</v>
      </c>
      <c r="C145" s="229">
        <f>'9.7_DF_Overview'!I143</f>
        <v>0</v>
      </c>
      <c r="D145" s="260"/>
      <c r="E145" s="260"/>
      <c r="F145" s="260"/>
      <c r="G145" s="259"/>
      <c r="H145" s="606"/>
      <c r="I145" s="606"/>
      <c r="J145" s="606"/>
    </row>
    <row r="146" spans="2:10" ht="13.15" thickBot="1">
      <c r="B146" s="217">
        <f t="shared" si="2"/>
        <v>44419</v>
      </c>
      <c r="C146" s="229">
        <f>'9.7_DF_Overview'!I144</f>
        <v>0</v>
      </c>
      <c r="D146" s="260"/>
      <c r="E146" s="260"/>
      <c r="F146" s="260"/>
      <c r="G146" s="259"/>
      <c r="H146" s="606"/>
      <c r="I146" s="606"/>
      <c r="J146" s="606"/>
    </row>
    <row r="147" spans="2:10" ht="13.15" thickBot="1">
      <c r="B147" s="217">
        <f t="shared" si="2"/>
        <v>44420</v>
      </c>
      <c r="C147" s="229">
        <f>'9.7_DF_Overview'!I145</f>
        <v>0</v>
      </c>
      <c r="D147" s="260"/>
      <c r="E147" s="260"/>
      <c r="F147" s="260"/>
      <c r="G147" s="259"/>
      <c r="H147" s="606"/>
      <c r="I147" s="606"/>
      <c r="J147" s="606"/>
    </row>
    <row r="148" spans="2:10" ht="13.15" thickBot="1">
      <c r="B148" s="217">
        <f t="shared" si="2"/>
        <v>44421</v>
      </c>
      <c r="C148" s="229">
        <f>'9.7_DF_Overview'!I146</f>
        <v>0</v>
      </c>
      <c r="D148" s="260"/>
      <c r="E148" s="260"/>
      <c r="F148" s="260"/>
      <c r="G148" s="259"/>
      <c r="H148" s="606"/>
      <c r="I148" s="606"/>
      <c r="J148" s="606"/>
    </row>
    <row r="149" spans="2:10" ht="13.15" thickBot="1">
      <c r="B149" s="217">
        <f t="shared" si="2"/>
        <v>44422</v>
      </c>
      <c r="C149" s="229">
        <f>'9.7_DF_Overview'!I147</f>
        <v>0</v>
      </c>
      <c r="D149" s="260"/>
      <c r="E149" s="260"/>
      <c r="F149" s="260"/>
      <c r="G149" s="259"/>
      <c r="H149" s="606"/>
      <c r="I149" s="606"/>
      <c r="J149" s="606"/>
    </row>
    <row r="150" spans="2:10" ht="13.15" thickBot="1">
      <c r="B150" s="217">
        <f t="shared" si="2"/>
        <v>44423</v>
      </c>
      <c r="C150" s="229">
        <f>'9.7_DF_Overview'!I148</f>
        <v>0</v>
      </c>
      <c r="D150" s="260"/>
      <c r="E150" s="260"/>
      <c r="F150" s="260"/>
      <c r="G150" s="259"/>
      <c r="H150" s="606"/>
      <c r="I150" s="606"/>
      <c r="J150" s="606"/>
    </row>
    <row r="151" spans="2:10" ht="13.15" thickBot="1">
      <c r="B151" s="217">
        <f t="shared" si="2"/>
        <v>44424</v>
      </c>
      <c r="C151" s="229">
        <f>'9.7_DF_Overview'!I149</f>
        <v>0</v>
      </c>
      <c r="D151" s="260"/>
      <c r="E151" s="260"/>
      <c r="F151" s="260"/>
      <c r="G151" s="259"/>
      <c r="H151" s="606"/>
      <c r="I151" s="606"/>
      <c r="J151" s="606"/>
    </row>
    <row r="152" spans="2:10" ht="13.15" thickBot="1">
      <c r="B152" s="217">
        <f t="shared" si="2"/>
        <v>44425</v>
      </c>
      <c r="C152" s="229">
        <f>'9.7_DF_Overview'!I150</f>
        <v>0</v>
      </c>
      <c r="D152" s="260"/>
      <c r="E152" s="260"/>
      <c r="F152" s="260"/>
      <c r="G152" s="259"/>
      <c r="H152" s="606"/>
      <c r="I152" s="606"/>
      <c r="J152" s="606"/>
    </row>
    <row r="153" spans="2:10" ht="13.15" thickBot="1">
      <c r="B153" s="217">
        <f t="shared" si="2"/>
        <v>44426</v>
      </c>
      <c r="C153" s="229">
        <f>'9.7_DF_Overview'!I151</f>
        <v>0</v>
      </c>
      <c r="D153" s="260"/>
      <c r="E153" s="260"/>
      <c r="F153" s="260"/>
      <c r="G153" s="259"/>
      <c r="H153" s="606"/>
      <c r="I153" s="606"/>
      <c r="J153" s="606"/>
    </row>
    <row r="154" spans="2:10" ht="13.15" thickBot="1">
      <c r="B154" s="217">
        <f t="shared" si="2"/>
        <v>44427</v>
      </c>
      <c r="C154" s="229">
        <f>'9.7_DF_Overview'!I152</f>
        <v>0</v>
      </c>
      <c r="D154" s="260"/>
      <c r="E154" s="260"/>
      <c r="F154" s="260"/>
      <c r="G154" s="259"/>
      <c r="H154" s="606"/>
      <c r="I154" s="606"/>
      <c r="J154" s="606"/>
    </row>
    <row r="155" spans="2:10" ht="13.15" thickBot="1">
      <c r="B155" s="217">
        <f t="shared" si="2"/>
        <v>44428</v>
      </c>
      <c r="C155" s="229">
        <f>'9.7_DF_Overview'!I153</f>
        <v>0</v>
      </c>
      <c r="D155" s="260"/>
      <c r="E155" s="260"/>
      <c r="F155" s="260"/>
      <c r="G155" s="259"/>
      <c r="H155" s="606"/>
      <c r="I155" s="606"/>
      <c r="J155" s="606"/>
    </row>
    <row r="156" spans="2:10" ht="13.15" thickBot="1">
      <c r="B156" s="217">
        <f t="shared" si="2"/>
        <v>44429</v>
      </c>
      <c r="C156" s="229">
        <f>'9.7_DF_Overview'!I154</f>
        <v>0</v>
      </c>
      <c r="D156" s="260"/>
      <c r="E156" s="260"/>
      <c r="F156" s="260"/>
      <c r="G156" s="259"/>
      <c r="H156" s="606"/>
      <c r="I156" s="606"/>
      <c r="J156" s="606"/>
    </row>
    <row r="157" spans="2:10" ht="13.15" thickBot="1">
      <c r="B157" s="217">
        <f t="shared" si="2"/>
        <v>44430</v>
      </c>
      <c r="C157" s="229">
        <f>'9.7_DF_Overview'!I155</f>
        <v>0</v>
      </c>
      <c r="D157" s="260"/>
      <c r="E157" s="260"/>
      <c r="F157" s="260"/>
      <c r="G157" s="259"/>
      <c r="H157" s="606"/>
      <c r="I157" s="606"/>
      <c r="J157" s="606"/>
    </row>
    <row r="158" spans="2:10" ht="13.15" thickBot="1">
      <c r="B158" s="217">
        <f t="shared" si="2"/>
        <v>44431</v>
      </c>
      <c r="C158" s="229">
        <f>'9.7_DF_Overview'!I156</f>
        <v>0</v>
      </c>
      <c r="D158" s="260"/>
      <c r="E158" s="260"/>
      <c r="F158" s="260"/>
      <c r="G158" s="259"/>
      <c r="H158" s="606"/>
      <c r="I158" s="606"/>
      <c r="J158" s="606"/>
    </row>
    <row r="159" spans="2:10" ht="13.15" thickBot="1">
      <c r="B159" s="217">
        <f t="shared" si="2"/>
        <v>44432</v>
      </c>
      <c r="C159" s="229">
        <f>'9.7_DF_Overview'!I157</f>
        <v>0</v>
      </c>
      <c r="D159" s="260"/>
      <c r="E159" s="260"/>
      <c r="F159" s="260"/>
      <c r="G159" s="259"/>
      <c r="H159" s="606"/>
      <c r="I159" s="606"/>
      <c r="J159" s="606"/>
    </row>
    <row r="160" spans="2:10" ht="13.15" thickBot="1">
      <c r="B160" s="217">
        <f t="shared" si="2"/>
        <v>44433</v>
      </c>
      <c r="C160" s="229">
        <f>'9.7_DF_Overview'!I158</f>
        <v>0</v>
      </c>
      <c r="D160" s="260"/>
      <c r="E160" s="260"/>
      <c r="F160" s="260"/>
      <c r="G160" s="259"/>
      <c r="H160" s="606"/>
      <c r="I160" s="606"/>
      <c r="J160" s="606"/>
    </row>
    <row r="161" spans="2:10" ht="13.15" thickBot="1">
      <c r="B161" s="217">
        <f t="shared" si="2"/>
        <v>44434</v>
      </c>
      <c r="C161" s="229">
        <f>'9.7_DF_Overview'!I159</f>
        <v>0</v>
      </c>
      <c r="D161" s="260"/>
      <c r="E161" s="260"/>
      <c r="F161" s="260"/>
      <c r="G161" s="259"/>
      <c r="H161" s="606"/>
      <c r="I161" s="606"/>
      <c r="J161" s="606"/>
    </row>
    <row r="162" spans="2:10" ht="13.15" thickBot="1">
      <c r="B162" s="217">
        <f t="shared" si="2"/>
        <v>44435</v>
      </c>
      <c r="C162" s="229">
        <f>'9.7_DF_Overview'!I160</f>
        <v>0</v>
      </c>
      <c r="D162" s="260"/>
      <c r="E162" s="260"/>
      <c r="F162" s="260"/>
      <c r="G162" s="259"/>
      <c r="H162" s="606"/>
      <c r="I162" s="606"/>
      <c r="J162" s="606"/>
    </row>
    <row r="163" spans="2:10" ht="13.15" thickBot="1">
      <c r="B163" s="217">
        <f t="shared" si="2"/>
        <v>44436</v>
      </c>
      <c r="C163" s="229">
        <f>'9.7_DF_Overview'!I161</f>
        <v>0</v>
      </c>
      <c r="D163" s="260"/>
      <c r="E163" s="260"/>
      <c r="F163" s="260"/>
      <c r="G163" s="259"/>
      <c r="H163" s="606"/>
      <c r="I163" s="606"/>
      <c r="J163" s="606"/>
    </row>
    <row r="164" spans="2:10" ht="13.15" thickBot="1">
      <c r="B164" s="217">
        <f t="shared" si="2"/>
        <v>44437</v>
      </c>
      <c r="C164" s="229">
        <f>'9.7_DF_Overview'!I162</f>
        <v>0</v>
      </c>
      <c r="D164" s="260"/>
      <c r="E164" s="260"/>
      <c r="F164" s="260"/>
      <c r="G164" s="259"/>
      <c r="H164" s="606"/>
      <c r="I164" s="606"/>
      <c r="J164" s="606"/>
    </row>
    <row r="165" spans="2:10" ht="13.15" thickBot="1">
      <c r="B165" s="217">
        <f t="shared" si="2"/>
        <v>44438</v>
      </c>
      <c r="C165" s="229">
        <f>'9.7_DF_Overview'!I163</f>
        <v>0</v>
      </c>
      <c r="D165" s="260"/>
      <c r="E165" s="260"/>
      <c r="F165" s="260"/>
      <c r="G165" s="259"/>
      <c r="H165" s="606"/>
      <c r="I165" s="606"/>
      <c r="J165" s="606"/>
    </row>
    <row r="166" spans="2:10" ht="13.15" thickBot="1">
      <c r="B166" s="217">
        <f t="shared" si="2"/>
        <v>44439</v>
      </c>
      <c r="C166" s="229">
        <f>'9.7_DF_Overview'!I164</f>
        <v>0</v>
      </c>
      <c r="D166" s="260"/>
      <c r="E166" s="260"/>
      <c r="F166" s="260"/>
      <c r="G166" s="259"/>
      <c r="H166" s="606"/>
      <c r="I166" s="606"/>
      <c r="J166" s="606"/>
    </row>
    <row r="167" spans="2:10" ht="13.15" thickBot="1">
      <c r="B167" s="217">
        <f t="shared" si="2"/>
        <v>44440</v>
      </c>
      <c r="C167" s="229">
        <f>'9.7_DF_Overview'!I165</f>
        <v>0</v>
      </c>
      <c r="D167" s="260"/>
      <c r="E167" s="260"/>
      <c r="F167" s="260"/>
      <c r="G167" s="259"/>
      <c r="H167" s="606"/>
      <c r="I167" s="606"/>
      <c r="J167" s="606"/>
    </row>
    <row r="168" spans="2:10" ht="13.15" thickBot="1">
      <c r="B168" s="217">
        <f t="shared" si="2"/>
        <v>44441</v>
      </c>
      <c r="C168" s="229">
        <f>'9.7_DF_Overview'!I166</f>
        <v>0</v>
      </c>
      <c r="D168" s="260"/>
      <c r="E168" s="260"/>
      <c r="F168" s="260"/>
      <c r="G168" s="259"/>
      <c r="H168" s="606"/>
      <c r="I168" s="606"/>
      <c r="J168" s="606"/>
    </row>
    <row r="169" spans="2:10" ht="13.15" thickBot="1">
      <c r="B169" s="217">
        <f t="shared" si="2"/>
        <v>44442</v>
      </c>
      <c r="C169" s="229">
        <f>'9.7_DF_Overview'!I167</f>
        <v>0</v>
      </c>
      <c r="D169" s="260"/>
      <c r="E169" s="260"/>
      <c r="F169" s="260"/>
      <c r="G169" s="259"/>
      <c r="H169" s="606"/>
      <c r="I169" s="606"/>
      <c r="J169" s="606"/>
    </row>
    <row r="170" spans="2:10" ht="13.15" thickBot="1">
      <c r="B170" s="217">
        <f t="shared" si="2"/>
        <v>44443</v>
      </c>
      <c r="C170" s="229">
        <f>'9.7_DF_Overview'!I168</f>
        <v>0</v>
      </c>
      <c r="D170" s="260"/>
      <c r="E170" s="260"/>
      <c r="F170" s="260"/>
      <c r="G170" s="259"/>
      <c r="H170" s="606"/>
      <c r="I170" s="606"/>
      <c r="J170" s="606"/>
    </row>
    <row r="171" spans="2:10" ht="13.15" thickBot="1">
      <c r="B171" s="217">
        <f t="shared" si="2"/>
        <v>44444</v>
      </c>
      <c r="C171" s="229">
        <f>'9.7_DF_Overview'!I169</f>
        <v>0</v>
      </c>
      <c r="D171" s="260"/>
      <c r="E171" s="260"/>
      <c r="F171" s="260"/>
      <c r="G171" s="259"/>
      <c r="H171" s="606"/>
      <c r="I171" s="606"/>
      <c r="J171" s="606"/>
    </row>
    <row r="172" spans="2:10" ht="13.15" thickBot="1">
      <c r="B172" s="217">
        <f t="shared" si="2"/>
        <v>44445</v>
      </c>
      <c r="C172" s="229">
        <f>'9.7_DF_Overview'!I170</f>
        <v>0</v>
      </c>
      <c r="D172" s="260"/>
      <c r="E172" s="260"/>
      <c r="F172" s="260"/>
      <c r="G172" s="259"/>
      <c r="H172" s="606"/>
      <c r="I172" s="606"/>
      <c r="J172" s="606"/>
    </row>
    <row r="173" spans="2:10" ht="13.15" thickBot="1">
      <c r="B173" s="217">
        <f t="shared" si="2"/>
        <v>44446</v>
      </c>
      <c r="C173" s="229">
        <f>'9.7_DF_Overview'!I171</f>
        <v>0</v>
      </c>
      <c r="D173" s="260"/>
      <c r="E173" s="260"/>
      <c r="F173" s="260"/>
      <c r="G173" s="259"/>
      <c r="H173" s="606"/>
      <c r="I173" s="606"/>
      <c r="J173" s="606"/>
    </row>
    <row r="174" spans="2:10" ht="13.15" thickBot="1">
      <c r="B174" s="217">
        <f t="shared" si="2"/>
        <v>44447</v>
      </c>
      <c r="C174" s="229">
        <f>'9.7_DF_Overview'!I172</f>
        <v>0</v>
      </c>
      <c r="D174" s="260"/>
      <c r="E174" s="260"/>
      <c r="F174" s="260"/>
      <c r="G174" s="259"/>
      <c r="H174" s="606"/>
      <c r="I174" s="606"/>
      <c r="J174" s="606"/>
    </row>
    <row r="175" spans="2:10" ht="13.15" thickBot="1">
      <c r="B175" s="217">
        <f t="shared" si="2"/>
        <v>44448</v>
      </c>
      <c r="C175" s="229">
        <f>'9.7_DF_Overview'!I173</f>
        <v>0</v>
      </c>
      <c r="D175" s="260"/>
      <c r="E175" s="260"/>
      <c r="F175" s="260"/>
      <c r="G175" s="259"/>
      <c r="H175" s="606"/>
      <c r="I175" s="606"/>
      <c r="J175" s="606"/>
    </row>
    <row r="176" spans="2:10" ht="13.15" thickBot="1">
      <c r="B176" s="217">
        <f t="shared" si="2"/>
        <v>44449</v>
      </c>
      <c r="C176" s="229">
        <f>'9.7_DF_Overview'!I174</f>
        <v>0</v>
      </c>
      <c r="D176" s="260"/>
      <c r="E176" s="260"/>
      <c r="F176" s="260"/>
      <c r="G176" s="259"/>
      <c r="H176" s="606"/>
      <c r="I176" s="606"/>
      <c r="J176" s="606"/>
    </row>
    <row r="177" spans="2:10" ht="13.15" thickBot="1">
      <c r="B177" s="217">
        <f t="shared" si="2"/>
        <v>44450</v>
      </c>
      <c r="C177" s="229">
        <f>'9.7_DF_Overview'!I175</f>
        <v>0</v>
      </c>
      <c r="D177" s="260"/>
      <c r="E177" s="260"/>
      <c r="F177" s="260"/>
      <c r="G177" s="259"/>
      <c r="H177" s="606"/>
      <c r="I177" s="606"/>
      <c r="J177" s="606"/>
    </row>
    <row r="178" spans="2:10" ht="13.15" thickBot="1">
      <c r="B178" s="217">
        <f t="shared" si="2"/>
        <v>44451</v>
      </c>
      <c r="C178" s="229">
        <f>'9.7_DF_Overview'!I176</f>
        <v>0</v>
      </c>
      <c r="D178" s="260"/>
      <c r="E178" s="260"/>
      <c r="F178" s="260"/>
      <c r="G178" s="259"/>
      <c r="H178" s="606"/>
      <c r="I178" s="606"/>
      <c r="J178" s="606"/>
    </row>
    <row r="179" spans="2:10" ht="13.15" thickBot="1">
      <c r="B179" s="217">
        <f t="shared" si="2"/>
        <v>44452</v>
      </c>
      <c r="C179" s="229">
        <f>'9.7_DF_Overview'!I177</f>
        <v>0</v>
      </c>
      <c r="D179" s="260"/>
      <c r="E179" s="260"/>
      <c r="F179" s="260"/>
      <c r="G179" s="259"/>
      <c r="H179" s="606"/>
      <c r="I179" s="606"/>
      <c r="J179" s="606"/>
    </row>
    <row r="180" spans="2:10" ht="13.15" thickBot="1">
      <c r="B180" s="217">
        <f t="shared" si="2"/>
        <v>44453</v>
      </c>
      <c r="C180" s="229">
        <f>'9.7_DF_Overview'!I178</f>
        <v>0</v>
      </c>
      <c r="D180" s="260"/>
      <c r="E180" s="260"/>
      <c r="F180" s="260"/>
      <c r="G180" s="259"/>
      <c r="H180" s="606"/>
      <c r="I180" s="606"/>
      <c r="J180" s="606"/>
    </row>
    <row r="181" spans="2:10" ht="13.15" thickBot="1">
      <c r="B181" s="217">
        <f t="shared" si="2"/>
        <v>44454</v>
      </c>
      <c r="C181" s="229">
        <f>'9.7_DF_Overview'!I179</f>
        <v>0</v>
      </c>
      <c r="D181" s="260"/>
      <c r="E181" s="260"/>
      <c r="F181" s="260"/>
      <c r="G181" s="259"/>
      <c r="H181" s="606"/>
      <c r="I181" s="606"/>
      <c r="J181" s="606"/>
    </row>
    <row r="182" spans="2:10" ht="13.15" thickBot="1">
      <c r="B182" s="217">
        <f t="shared" si="2"/>
        <v>44455</v>
      </c>
      <c r="C182" s="229">
        <f>'9.7_DF_Overview'!I180</f>
        <v>0</v>
      </c>
      <c r="D182" s="260"/>
      <c r="E182" s="260"/>
      <c r="F182" s="260"/>
      <c r="G182" s="259"/>
      <c r="H182" s="606"/>
      <c r="I182" s="606"/>
      <c r="J182" s="606"/>
    </row>
    <row r="183" spans="2:10" ht="13.15" thickBot="1">
      <c r="B183" s="217">
        <f t="shared" si="2"/>
        <v>44456</v>
      </c>
      <c r="C183" s="229">
        <f>'9.7_DF_Overview'!I181</f>
        <v>0</v>
      </c>
      <c r="D183" s="260"/>
      <c r="E183" s="260"/>
      <c r="F183" s="260"/>
      <c r="G183" s="259"/>
      <c r="H183" s="606"/>
      <c r="I183" s="606"/>
      <c r="J183" s="606"/>
    </row>
    <row r="184" spans="2:10" ht="13.15" thickBot="1">
      <c r="B184" s="217">
        <f t="shared" si="2"/>
        <v>44457</v>
      </c>
      <c r="C184" s="229">
        <f>'9.7_DF_Overview'!I182</f>
        <v>0</v>
      </c>
      <c r="D184" s="260"/>
      <c r="E184" s="260"/>
      <c r="F184" s="260"/>
      <c r="G184" s="259"/>
      <c r="H184" s="606"/>
      <c r="I184" s="606"/>
      <c r="J184" s="606"/>
    </row>
    <row r="185" spans="2:10" ht="13.15" thickBot="1">
      <c r="B185" s="217">
        <f t="shared" si="2"/>
        <v>44458</v>
      </c>
      <c r="C185" s="229">
        <f>'9.7_DF_Overview'!I183</f>
        <v>0</v>
      </c>
      <c r="D185" s="260"/>
      <c r="E185" s="260"/>
      <c r="F185" s="260"/>
      <c r="G185" s="259"/>
      <c r="H185" s="606"/>
      <c r="I185" s="606"/>
      <c r="J185" s="606"/>
    </row>
    <row r="186" spans="2:10" ht="13.15" thickBot="1">
      <c r="B186" s="217">
        <f t="shared" si="2"/>
        <v>44459</v>
      </c>
      <c r="C186" s="229">
        <f>'9.7_DF_Overview'!I184</f>
        <v>0</v>
      </c>
      <c r="D186" s="260"/>
      <c r="E186" s="260"/>
      <c r="F186" s="260"/>
      <c r="G186" s="259"/>
      <c r="H186" s="606"/>
      <c r="I186" s="606"/>
      <c r="J186" s="606"/>
    </row>
    <row r="187" spans="2:10" ht="13.15" thickBot="1">
      <c r="B187" s="217">
        <f t="shared" si="2"/>
        <v>44460</v>
      </c>
      <c r="C187" s="229">
        <f>'9.7_DF_Overview'!I185</f>
        <v>0</v>
      </c>
      <c r="D187" s="260"/>
      <c r="E187" s="260"/>
      <c r="F187" s="260"/>
      <c r="G187" s="259"/>
      <c r="H187" s="606"/>
      <c r="I187" s="606"/>
      <c r="J187" s="606"/>
    </row>
    <row r="188" spans="2:10" ht="13.15" thickBot="1">
      <c r="B188" s="217">
        <f t="shared" si="2"/>
        <v>44461</v>
      </c>
      <c r="C188" s="229">
        <f>'9.7_DF_Overview'!I186</f>
        <v>0</v>
      </c>
      <c r="D188" s="260"/>
      <c r="E188" s="260"/>
      <c r="F188" s="260"/>
      <c r="G188" s="259"/>
      <c r="H188" s="606"/>
      <c r="I188" s="606"/>
      <c r="J188" s="606"/>
    </row>
    <row r="189" spans="2:10" ht="13.15" thickBot="1">
      <c r="B189" s="217">
        <f t="shared" si="2"/>
        <v>44462</v>
      </c>
      <c r="C189" s="229">
        <f>'9.7_DF_Overview'!I187</f>
        <v>0</v>
      </c>
      <c r="D189" s="260"/>
      <c r="E189" s="260"/>
      <c r="F189" s="260"/>
      <c r="G189" s="259"/>
      <c r="H189" s="606"/>
      <c r="I189" s="606"/>
      <c r="J189" s="606"/>
    </row>
    <row r="190" spans="2:10" ht="13.15" thickBot="1">
      <c r="B190" s="217">
        <f t="shared" si="2"/>
        <v>44463</v>
      </c>
      <c r="C190" s="229">
        <f>'9.7_DF_Overview'!I188</f>
        <v>0</v>
      </c>
      <c r="D190" s="260"/>
      <c r="E190" s="260"/>
      <c r="F190" s="260"/>
      <c r="G190" s="259"/>
      <c r="H190" s="606"/>
      <c r="I190" s="606"/>
      <c r="J190" s="606"/>
    </row>
    <row r="191" spans="2:10" ht="13.15" thickBot="1">
      <c r="B191" s="217">
        <f t="shared" si="2"/>
        <v>44464</v>
      </c>
      <c r="C191" s="229">
        <f>'9.7_DF_Overview'!I189</f>
        <v>0</v>
      </c>
      <c r="D191" s="260"/>
      <c r="E191" s="260"/>
      <c r="F191" s="260"/>
      <c r="G191" s="259"/>
      <c r="H191" s="606"/>
      <c r="I191" s="606"/>
      <c r="J191" s="606"/>
    </row>
    <row r="192" spans="2:10" ht="13.15" thickBot="1">
      <c r="B192" s="217">
        <f t="shared" si="2"/>
        <v>44465</v>
      </c>
      <c r="C192" s="229">
        <f>'9.7_DF_Overview'!I190</f>
        <v>0</v>
      </c>
      <c r="D192" s="260"/>
      <c r="E192" s="260"/>
      <c r="F192" s="260"/>
      <c r="G192" s="259"/>
      <c r="H192" s="606"/>
      <c r="I192" s="606"/>
      <c r="J192" s="606"/>
    </row>
    <row r="193" spans="2:10" ht="13.15" thickBot="1">
      <c r="B193" s="217">
        <f t="shared" si="2"/>
        <v>44466</v>
      </c>
      <c r="C193" s="229">
        <f>'9.7_DF_Overview'!I191</f>
        <v>0</v>
      </c>
      <c r="D193" s="260"/>
      <c r="E193" s="260"/>
      <c r="F193" s="260"/>
      <c r="G193" s="259"/>
      <c r="H193" s="606"/>
      <c r="I193" s="606"/>
      <c r="J193" s="606"/>
    </row>
    <row r="194" spans="2:10" ht="13.15" thickBot="1">
      <c r="B194" s="217">
        <f t="shared" si="2"/>
        <v>44467</v>
      </c>
      <c r="C194" s="229">
        <f>'9.7_DF_Overview'!I192</f>
        <v>0</v>
      </c>
      <c r="D194" s="260"/>
      <c r="E194" s="260"/>
      <c r="F194" s="260"/>
      <c r="G194" s="259"/>
      <c r="H194" s="606"/>
      <c r="I194" s="606"/>
      <c r="J194" s="606"/>
    </row>
    <row r="195" spans="2:10" ht="13.15" thickBot="1">
      <c r="B195" s="217">
        <f t="shared" si="2"/>
        <v>44468</v>
      </c>
      <c r="C195" s="229">
        <f>'9.7_DF_Overview'!I193</f>
        <v>0</v>
      </c>
      <c r="D195" s="260"/>
      <c r="E195" s="260"/>
      <c r="F195" s="260"/>
      <c r="G195" s="259"/>
      <c r="H195" s="606"/>
      <c r="I195" s="606"/>
      <c r="J195" s="606"/>
    </row>
    <row r="196" spans="2:10" ht="13.15" thickBot="1">
      <c r="B196" s="217">
        <f t="shared" si="2"/>
        <v>44469</v>
      </c>
      <c r="C196" s="229">
        <f>'9.7_DF_Overview'!I194</f>
        <v>0</v>
      </c>
      <c r="D196" s="260"/>
      <c r="E196" s="260"/>
      <c r="F196" s="260"/>
      <c r="G196" s="259"/>
      <c r="H196" s="606"/>
      <c r="I196" s="606"/>
      <c r="J196" s="606"/>
    </row>
    <row r="197" spans="2:10" ht="13.15" thickBot="1">
      <c r="B197" s="217">
        <f t="shared" si="2"/>
        <v>44470</v>
      </c>
      <c r="C197" s="229">
        <f>'9.7_DF_Overview'!I195</f>
        <v>0</v>
      </c>
      <c r="D197" s="260"/>
      <c r="E197" s="260"/>
      <c r="F197" s="260"/>
      <c r="G197" s="259"/>
      <c r="H197" s="606"/>
      <c r="I197" s="606"/>
      <c r="J197" s="606"/>
    </row>
    <row r="198" spans="2:10" ht="13.15" thickBot="1">
      <c r="B198" s="217">
        <f t="shared" si="2"/>
        <v>44471</v>
      </c>
      <c r="C198" s="229">
        <f>'9.7_DF_Overview'!I196</f>
        <v>0</v>
      </c>
      <c r="D198" s="260"/>
      <c r="E198" s="260"/>
      <c r="F198" s="260"/>
      <c r="G198" s="259"/>
      <c r="H198" s="606"/>
      <c r="I198" s="606"/>
      <c r="J198" s="606"/>
    </row>
    <row r="199" spans="2:10" ht="13.15" thickBot="1">
      <c r="B199" s="217">
        <f t="shared" si="2"/>
        <v>44472</v>
      </c>
      <c r="C199" s="229">
        <f>'9.7_DF_Overview'!I197</f>
        <v>0</v>
      </c>
      <c r="D199" s="260"/>
      <c r="E199" s="260"/>
      <c r="F199" s="260"/>
      <c r="G199" s="259"/>
      <c r="H199" s="606"/>
      <c r="I199" s="606"/>
      <c r="J199" s="606"/>
    </row>
    <row r="200" spans="2:10" ht="13.15" thickBot="1">
      <c r="B200" s="217">
        <f t="shared" si="2"/>
        <v>44473</v>
      </c>
      <c r="C200" s="229">
        <f>'9.7_DF_Overview'!I198</f>
        <v>0</v>
      </c>
      <c r="D200" s="260"/>
      <c r="E200" s="260"/>
      <c r="F200" s="260"/>
      <c r="G200" s="259"/>
      <c r="H200" s="606"/>
      <c r="I200" s="606"/>
      <c r="J200" s="606"/>
    </row>
    <row r="201" spans="2:10" ht="13.15" thickBot="1">
      <c r="B201" s="217">
        <f t="shared" si="2"/>
        <v>44474</v>
      </c>
      <c r="C201" s="229">
        <f>'9.7_DF_Overview'!I199</f>
        <v>0</v>
      </c>
      <c r="D201" s="260"/>
      <c r="E201" s="260"/>
      <c r="F201" s="260"/>
      <c r="G201" s="259"/>
      <c r="H201" s="606"/>
      <c r="I201" s="606"/>
      <c r="J201" s="606"/>
    </row>
    <row r="202" spans="2:10" ht="13.15" thickBot="1">
      <c r="B202" s="217">
        <f t="shared" si="2"/>
        <v>44475</v>
      </c>
      <c r="C202" s="229">
        <f>'9.7_DF_Overview'!I200</f>
        <v>0</v>
      </c>
      <c r="D202" s="260"/>
      <c r="E202" s="260"/>
      <c r="F202" s="260"/>
      <c r="G202" s="259"/>
      <c r="H202" s="606"/>
      <c r="I202" s="606"/>
      <c r="J202" s="606"/>
    </row>
    <row r="203" spans="2:10" ht="13.15" thickBot="1">
      <c r="B203" s="217">
        <f t="shared" si="2"/>
        <v>44476</v>
      </c>
      <c r="C203" s="229">
        <f>'9.7_DF_Overview'!I201</f>
        <v>0</v>
      </c>
      <c r="D203" s="260"/>
      <c r="E203" s="260"/>
      <c r="F203" s="260"/>
      <c r="G203" s="259"/>
      <c r="H203" s="606"/>
      <c r="I203" s="606"/>
      <c r="J203" s="606"/>
    </row>
    <row r="204" spans="2:10" ht="13.15" thickBot="1">
      <c r="B204" s="217">
        <f t="shared" si="2"/>
        <v>44477</v>
      </c>
      <c r="C204" s="229">
        <f>'9.7_DF_Overview'!I202</f>
        <v>0</v>
      </c>
      <c r="D204" s="260"/>
      <c r="E204" s="260"/>
      <c r="F204" s="260"/>
      <c r="G204" s="259"/>
      <c r="H204" s="606"/>
      <c r="I204" s="606"/>
      <c r="J204" s="606"/>
    </row>
    <row r="205" spans="2:10" ht="13.15" thickBot="1">
      <c r="B205" s="217">
        <f t="shared" si="2"/>
        <v>44478</v>
      </c>
      <c r="C205" s="229">
        <f>'9.7_DF_Overview'!I203</f>
        <v>0</v>
      </c>
      <c r="D205" s="260"/>
      <c r="E205" s="260"/>
      <c r="F205" s="260"/>
      <c r="G205" s="259"/>
      <c r="H205" s="606"/>
      <c r="I205" s="606"/>
      <c r="J205" s="606"/>
    </row>
    <row r="206" spans="2:10" ht="13.15" thickBot="1">
      <c r="B206" s="217">
        <f t="shared" si="2"/>
        <v>44479</v>
      </c>
      <c r="C206" s="229">
        <f>'9.7_DF_Overview'!I204</f>
        <v>0</v>
      </c>
      <c r="D206" s="260"/>
      <c r="E206" s="260"/>
      <c r="F206" s="260"/>
      <c r="G206" s="259"/>
      <c r="H206" s="606"/>
      <c r="I206" s="606"/>
      <c r="J206" s="606"/>
    </row>
    <row r="207" spans="2:10" ht="13.15" thickBot="1">
      <c r="B207" s="217">
        <f t="shared" ref="B207:B270" si="3">B206+1</f>
        <v>44480</v>
      </c>
      <c r="C207" s="229">
        <f>'9.7_DF_Overview'!I205</f>
        <v>0</v>
      </c>
      <c r="D207" s="260"/>
      <c r="E207" s="260"/>
      <c r="F207" s="260"/>
      <c r="G207" s="259"/>
      <c r="H207" s="606"/>
      <c r="I207" s="606"/>
      <c r="J207" s="606"/>
    </row>
    <row r="208" spans="2:10" ht="13.15" thickBot="1">
      <c r="B208" s="217">
        <f t="shared" si="3"/>
        <v>44481</v>
      </c>
      <c r="C208" s="229">
        <f>'9.7_DF_Overview'!I206</f>
        <v>0</v>
      </c>
      <c r="D208" s="260"/>
      <c r="E208" s="260"/>
      <c r="F208" s="260"/>
      <c r="G208" s="259"/>
      <c r="H208" s="606"/>
      <c r="I208" s="606"/>
      <c r="J208" s="606"/>
    </row>
    <row r="209" spans="2:10" ht="13.15" thickBot="1">
      <c r="B209" s="217">
        <f t="shared" si="3"/>
        <v>44482</v>
      </c>
      <c r="C209" s="229">
        <f>'9.7_DF_Overview'!I207</f>
        <v>0</v>
      </c>
      <c r="D209" s="260"/>
      <c r="E209" s="260"/>
      <c r="F209" s="260"/>
      <c r="G209" s="259"/>
      <c r="H209" s="606"/>
      <c r="I209" s="606"/>
      <c r="J209" s="606"/>
    </row>
    <row r="210" spans="2:10" ht="13.15" thickBot="1">
      <c r="B210" s="217">
        <f t="shared" si="3"/>
        <v>44483</v>
      </c>
      <c r="C210" s="229">
        <f>'9.7_DF_Overview'!I208</f>
        <v>0</v>
      </c>
      <c r="D210" s="260"/>
      <c r="E210" s="260"/>
      <c r="F210" s="260"/>
      <c r="G210" s="259"/>
      <c r="H210" s="606"/>
      <c r="I210" s="606"/>
      <c r="J210" s="606"/>
    </row>
    <row r="211" spans="2:10" ht="13.15" thickBot="1">
      <c r="B211" s="217">
        <f t="shared" si="3"/>
        <v>44484</v>
      </c>
      <c r="C211" s="229">
        <f>'9.7_DF_Overview'!I209</f>
        <v>0</v>
      </c>
      <c r="D211" s="260"/>
      <c r="E211" s="260"/>
      <c r="F211" s="260"/>
      <c r="G211" s="259"/>
      <c r="H211" s="606"/>
      <c r="I211" s="606"/>
      <c r="J211" s="606"/>
    </row>
    <row r="212" spans="2:10" ht="13.15" thickBot="1">
      <c r="B212" s="217">
        <f t="shared" si="3"/>
        <v>44485</v>
      </c>
      <c r="C212" s="229">
        <f>'9.7_DF_Overview'!I210</f>
        <v>0</v>
      </c>
      <c r="D212" s="260"/>
      <c r="E212" s="260"/>
      <c r="F212" s="260"/>
      <c r="G212" s="259"/>
      <c r="H212" s="606"/>
      <c r="I212" s="606"/>
      <c r="J212" s="606"/>
    </row>
    <row r="213" spans="2:10" ht="13.15" thickBot="1">
      <c r="B213" s="217">
        <f t="shared" si="3"/>
        <v>44486</v>
      </c>
      <c r="C213" s="229">
        <f>'9.7_DF_Overview'!I211</f>
        <v>0</v>
      </c>
      <c r="D213" s="260"/>
      <c r="E213" s="260"/>
      <c r="F213" s="260"/>
      <c r="G213" s="259"/>
      <c r="H213" s="606"/>
      <c r="I213" s="606"/>
      <c r="J213" s="606"/>
    </row>
    <row r="214" spans="2:10" ht="13.15" thickBot="1">
      <c r="B214" s="217">
        <f t="shared" si="3"/>
        <v>44487</v>
      </c>
      <c r="C214" s="229">
        <f>'9.7_DF_Overview'!I212</f>
        <v>0</v>
      </c>
      <c r="D214" s="260"/>
      <c r="E214" s="260"/>
      <c r="F214" s="260"/>
      <c r="G214" s="259"/>
      <c r="H214" s="606"/>
      <c r="I214" s="606"/>
      <c r="J214" s="606"/>
    </row>
    <row r="215" spans="2:10" ht="13.15" thickBot="1">
      <c r="B215" s="217">
        <f t="shared" si="3"/>
        <v>44488</v>
      </c>
      <c r="C215" s="229">
        <f>'9.7_DF_Overview'!I213</f>
        <v>0</v>
      </c>
      <c r="D215" s="260"/>
      <c r="E215" s="260"/>
      <c r="F215" s="260"/>
      <c r="G215" s="259"/>
      <c r="H215" s="606"/>
      <c r="I215" s="606"/>
      <c r="J215" s="606"/>
    </row>
    <row r="216" spans="2:10" ht="13.15" thickBot="1">
      <c r="B216" s="217">
        <f t="shared" si="3"/>
        <v>44489</v>
      </c>
      <c r="C216" s="229">
        <f>'9.7_DF_Overview'!I214</f>
        <v>0</v>
      </c>
      <c r="D216" s="260"/>
      <c r="E216" s="260"/>
      <c r="F216" s="260"/>
      <c r="G216" s="259"/>
      <c r="H216" s="606"/>
      <c r="I216" s="606"/>
      <c r="J216" s="606"/>
    </row>
    <row r="217" spans="2:10" ht="13.15" thickBot="1">
      <c r="B217" s="217">
        <f t="shared" si="3"/>
        <v>44490</v>
      </c>
      <c r="C217" s="229">
        <f>'9.7_DF_Overview'!I215</f>
        <v>0</v>
      </c>
      <c r="D217" s="260"/>
      <c r="E217" s="260"/>
      <c r="F217" s="260"/>
      <c r="G217" s="259"/>
      <c r="H217" s="606"/>
      <c r="I217" s="606"/>
      <c r="J217" s="606"/>
    </row>
    <row r="218" spans="2:10" ht="13.15" thickBot="1">
      <c r="B218" s="217">
        <f t="shared" si="3"/>
        <v>44491</v>
      </c>
      <c r="C218" s="229">
        <f>'9.7_DF_Overview'!I216</f>
        <v>0</v>
      </c>
      <c r="D218" s="260"/>
      <c r="E218" s="260"/>
      <c r="F218" s="260"/>
      <c r="G218" s="259"/>
      <c r="H218" s="606"/>
      <c r="I218" s="606"/>
      <c r="J218" s="606"/>
    </row>
    <row r="219" spans="2:10" ht="13.15" thickBot="1">
      <c r="B219" s="217">
        <f t="shared" si="3"/>
        <v>44492</v>
      </c>
      <c r="C219" s="229">
        <f>'9.7_DF_Overview'!I217</f>
        <v>0</v>
      </c>
      <c r="D219" s="260"/>
      <c r="E219" s="260"/>
      <c r="F219" s="260"/>
      <c r="G219" s="259"/>
      <c r="H219" s="606"/>
      <c r="I219" s="606"/>
      <c r="J219" s="606"/>
    </row>
    <row r="220" spans="2:10" ht="13.15" thickBot="1">
      <c r="B220" s="217">
        <f t="shared" si="3"/>
        <v>44493</v>
      </c>
      <c r="C220" s="229">
        <f>'9.7_DF_Overview'!I218</f>
        <v>0</v>
      </c>
      <c r="D220" s="260"/>
      <c r="E220" s="260"/>
      <c r="F220" s="260"/>
      <c r="G220" s="259"/>
      <c r="H220" s="606"/>
      <c r="I220" s="606"/>
      <c r="J220" s="606"/>
    </row>
    <row r="221" spans="2:10" ht="13.15" thickBot="1">
      <c r="B221" s="217">
        <f t="shared" si="3"/>
        <v>44494</v>
      </c>
      <c r="C221" s="229">
        <f>'9.7_DF_Overview'!I219</f>
        <v>0</v>
      </c>
      <c r="D221" s="260"/>
      <c r="E221" s="260"/>
      <c r="F221" s="260"/>
      <c r="G221" s="259"/>
      <c r="H221" s="606"/>
      <c r="I221" s="606"/>
      <c r="J221" s="606"/>
    </row>
    <row r="222" spans="2:10" ht="13.15" thickBot="1">
      <c r="B222" s="217">
        <f t="shared" si="3"/>
        <v>44495</v>
      </c>
      <c r="C222" s="229">
        <f>'9.7_DF_Overview'!I220</f>
        <v>0</v>
      </c>
      <c r="D222" s="260"/>
      <c r="E222" s="260"/>
      <c r="F222" s="260"/>
      <c r="G222" s="259"/>
      <c r="H222" s="606"/>
      <c r="I222" s="606"/>
      <c r="J222" s="606"/>
    </row>
    <row r="223" spans="2:10" ht="13.15" thickBot="1">
      <c r="B223" s="217">
        <f t="shared" si="3"/>
        <v>44496</v>
      </c>
      <c r="C223" s="229">
        <f>'9.7_DF_Overview'!I221</f>
        <v>0</v>
      </c>
      <c r="D223" s="260"/>
      <c r="E223" s="260"/>
      <c r="F223" s="260"/>
      <c r="G223" s="259"/>
      <c r="H223" s="606"/>
      <c r="I223" s="606"/>
      <c r="J223" s="606"/>
    </row>
    <row r="224" spans="2:10" ht="13.15" thickBot="1">
      <c r="B224" s="217">
        <f t="shared" si="3"/>
        <v>44497</v>
      </c>
      <c r="C224" s="229">
        <f>'9.7_DF_Overview'!I222</f>
        <v>0</v>
      </c>
      <c r="D224" s="260"/>
      <c r="E224" s="260"/>
      <c r="F224" s="260"/>
      <c r="G224" s="259"/>
      <c r="H224" s="606"/>
      <c r="I224" s="606"/>
      <c r="J224" s="606"/>
    </row>
    <row r="225" spans="2:10" ht="13.15" thickBot="1">
      <c r="B225" s="217">
        <f t="shared" si="3"/>
        <v>44498</v>
      </c>
      <c r="C225" s="229">
        <f>'9.7_DF_Overview'!I223</f>
        <v>0</v>
      </c>
      <c r="D225" s="260"/>
      <c r="E225" s="260"/>
      <c r="F225" s="260"/>
      <c r="G225" s="259"/>
      <c r="H225" s="606"/>
      <c r="I225" s="606"/>
      <c r="J225" s="606"/>
    </row>
    <row r="226" spans="2:10" ht="13.15" thickBot="1">
      <c r="B226" s="217">
        <f t="shared" si="3"/>
        <v>44499</v>
      </c>
      <c r="C226" s="229">
        <f>'9.7_DF_Overview'!I224</f>
        <v>0</v>
      </c>
      <c r="D226" s="260"/>
      <c r="E226" s="260"/>
      <c r="F226" s="260"/>
      <c r="G226" s="259"/>
      <c r="H226" s="606"/>
      <c r="I226" s="606"/>
      <c r="J226" s="606"/>
    </row>
    <row r="227" spans="2:10" ht="13.15" thickBot="1">
      <c r="B227" s="217">
        <f t="shared" si="3"/>
        <v>44500</v>
      </c>
      <c r="C227" s="229">
        <f>'9.7_DF_Overview'!I225</f>
        <v>0</v>
      </c>
      <c r="D227" s="260"/>
      <c r="E227" s="260"/>
      <c r="F227" s="260"/>
      <c r="G227" s="259"/>
      <c r="H227" s="606"/>
      <c r="I227" s="606"/>
      <c r="J227" s="606"/>
    </row>
    <row r="228" spans="2:10" ht="13.15" thickBot="1">
      <c r="B228" s="217">
        <f t="shared" si="3"/>
        <v>44501</v>
      </c>
      <c r="C228" s="229">
        <f>'9.7_DF_Overview'!I226</f>
        <v>0</v>
      </c>
      <c r="D228" s="260"/>
      <c r="E228" s="260"/>
      <c r="F228" s="260"/>
      <c r="G228" s="259"/>
      <c r="H228" s="606"/>
      <c r="I228" s="606"/>
      <c r="J228" s="606"/>
    </row>
    <row r="229" spans="2:10" ht="13.15" thickBot="1">
      <c r="B229" s="217">
        <f t="shared" si="3"/>
        <v>44502</v>
      </c>
      <c r="C229" s="229">
        <f>'9.7_DF_Overview'!I227</f>
        <v>0</v>
      </c>
      <c r="D229" s="260"/>
      <c r="E229" s="260"/>
      <c r="F229" s="260"/>
      <c r="G229" s="259"/>
      <c r="H229" s="606"/>
      <c r="I229" s="606"/>
      <c r="J229" s="606"/>
    </row>
    <row r="230" spans="2:10" ht="13.15" thickBot="1">
      <c r="B230" s="217">
        <f t="shared" si="3"/>
        <v>44503</v>
      </c>
      <c r="C230" s="229">
        <f>'9.7_DF_Overview'!I228</f>
        <v>0</v>
      </c>
      <c r="D230" s="260"/>
      <c r="E230" s="260"/>
      <c r="F230" s="260"/>
      <c r="G230" s="259"/>
      <c r="H230" s="606"/>
      <c r="I230" s="606"/>
      <c r="J230" s="606"/>
    </row>
    <row r="231" spans="2:10" ht="13.15" thickBot="1">
      <c r="B231" s="217">
        <f t="shared" si="3"/>
        <v>44504</v>
      </c>
      <c r="C231" s="229">
        <f>'9.7_DF_Overview'!I229</f>
        <v>0</v>
      </c>
      <c r="D231" s="260"/>
      <c r="E231" s="260"/>
      <c r="F231" s="260"/>
      <c r="G231" s="259"/>
      <c r="H231" s="606"/>
      <c r="I231" s="606"/>
      <c r="J231" s="606"/>
    </row>
    <row r="232" spans="2:10" ht="13.15" thickBot="1">
      <c r="B232" s="217">
        <f t="shared" si="3"/>
        <v>44505</v>
      </c>
      <c r="C232" s="229">
        <f>'9.7_DF_Overview'!I230</f>
        <v>0</v>
      </c>
      <c r="D232" s="260"/>
      <c r="E232" s="260"/>
      <c r="F232" s="260"/>
      <c r="G232" s="259"/>
      <c r="H232" s="606"/>
      <c r="I232" s="606"/>
      <c r="J232" s="606"/>
    </row>
    <row r="233" spans="2:10" ht="13.15" thickBot="1">
      <c r="B233" s="217">
        <f t="shared" si="3"/>
        <v>44506</v>
      </c>
      <c r="C233" s="229">
        <f>'9.7_DF_Overview'!I231</f>
        <v>0</v>
      </c>
      <c r="D233" s="260"/>
      <c r="E233" s="260"/>
      <c r="F233" s="260"/>
      <c r="G233" s="259"/>
      <c r="H233" s="606"/>
      <c r="I233" s="606"/>
      <c r="J233" s="606"/>
    </row>
    <row r="234" spans="2:10" ht="13.15" thickBot="1">
      <c r="B234" s="217">
        <f t="shared" si="3"/>
        <v>44507</v>
      </c>
      <c r="C234" s="229">
        <f>'9.7_DF_Overview'!I232</f>
        <v>0</v>
      </c>
      <c r="D234" s="260"/>
      <c r="E234" s="260"/>
      <c r="F234" s="260"/>
      <c r="G234" s="259"/>
      <c r="H234" s="606"/>
      <c r="I234" s="606"/>
      <c r="J234" s="606"/>
    </row>
    <row r="235" spans="2:10" ht="13.15" thickBot="1">
      <c r="B235" s="217">
        <f t="shared" si="3"/>
        <v>44508</v>
      </c>
      <c r="C235" s="229">
        <f>'9.7_DF_Overview'!I233</f>
        <v>0</v>
      </c>
      <c r="D235" s="260"/>
      <c r="E235" s="260"/>
      <c r="F235" s="260"/>
      <c r="G235" s="259"/>
      <c r="H235" s="606"/>
      <c r="I235" s="606"/>
      <c r="J235" s="606"/>
    </row>
    <row r="236" spans="2:10" ht="13.15" thickBot="1">
      <c r="B236" s="217">
        <f t="shared" si="3"/>
        <v>44509</v>
      </c>
      <c r="C236" s="229">
        <f>'9.7_DF_Overview'!I234</f>
        <v>0</v>
      </c>
      <c r="D236" s="260"/>
      <c r="E236" s="260"/>
      <c r="F236" s="260"/>
      <c r="G236" s="259"/>
      <c r="H236" s="606"/>
      <c r="I236" s="606"/>
      <c r="J236" s="606"/>
    </row>
    <row r="237" spans="2:10" ht="13.15" thickBot="1">
      <c r="B237" s="217">
        <f t="shared" si="3"/>
        <v>44510</v>
      </c>
      <c r="C237" s="229">
        <f>'9.7_DF_Overview'!I235</f>
        <v>0</v>
      </c>
      <c r="D237" s="260"/>
      <c r="E237" s="260"/>
      <c r="F237" s="260"/>
      <c r="G237" s="259"/>
      <c r="H237" s="606"/>
      <c r="I237" s="606"/>
      <c r="J237" s="606"/>
    </row>
    <row r="238" spans="2:10" ht="13.15" thickBot="1">
      <c r="B238" s="217">
        <f t="shared" si="3"/>
        <v>44511</v>
      </c>
      <c r="C238" s="229">
        <f>'9.7_DF_Overview'!I236</f>
        <v>0</v>
      </c>
      <c r="D238" s="260"/>
      <c r="E238" s="260"/>
      <c r="F238" s="260"/>
      <c r="G238" s="259"/>
      <c r="H238" s="606"/>
      <c r="I238" s="606"/>
      <c r="J238" s="606"/>
    </row>
    <row r="239" spans="2:10" ht="13.15" thickBot="1">
      <c r="B239" s="217">
        <f t="shared" si="3"/>
        <v>44512</v>
      </c>
      <c r="C239" s="229">
        <f>'9.7_DF_Overview'!I237</f>
        <v>0</v>
      </c>
      <c r="D239" s="260"/>
      <c r="E239" s="260"/>
      <c r="F239" s="260"/>
      <c r="G239" s="259"/>
      <c r="H239" s="606"/>
      <c r="I239" s="606"/>
      <c r="J239" s="606"/>
    </row>
    <row r="240" spans="2:10" ht="13.15" thickBot="1">
      <c r="B240" s="217">
        <f t="shared" si="3"/>
        <v>44513</v>
      </c>
      <c r="C240" s="229">
        <f>'9.7_DF_Overview'!I238</f>
        <v>0</v>
      </c>
      <c r="D240" s="260"/>
      <c r="E240" s="260"/>
      <c r="F240" s="260"/>
      <c r="G240" s="259"/>
      <c r="H240" s="606"/>
      <c r="I240" s="606"/>
      <c r="J240" s="606"/>
    </row>
    <row r="241" spans="2:10" ht="13.15" thickBot="1">
      <c r="B241" s="217">
        <f t="shared" si="3"/>
        <v>44514</v>
      </c>
      <c r="C241" s="229">
        <f>'9.7_DF_Overview'!I239</f>
        <v>0</v>
      </c>
      <c r="D241" s="260"/>
      <c r="E241" s="260"/>
      <c r="F241" s="260"/>
      <c r="G241" s="259"/>
      <c r="H241" s="606"/>
      <c r="I241" s="606"/>
      <c r="J241" s="606"/>
    </row>
    <row r="242" spans="2:10" ht="13.15" thickBot="1">
      <c r="B242" s="217">
        <f t="shared" si="3"/>
        <v>44515</v>
      </c>
      <c r="C242" s="229">
        <f>'9.7_DF_Overview'!I240</f>
        <v>0</v>
      </c>
      <c r="D242" s="260"/>
      <c r="E242" s="260"/>
      <c r="F242" s="260"/>
      <c r="G242" s="259"/>
      <c r="H242" s="606"/>
      <c r="I242" s="606"/>
      <c r="J242" s="606"/>
    </row>
    <row r="243" spans="2:10" ht="13.15" thickBot="1">
      <c r="B243" s="217">
        <f t="shared" si="3"/>
        <v>44516</v>
      </c>
      <c r="C243" s="229">
        <f>'9.7_DF_Overview'!I241</f>
        <v>0</v>
      </c>
      <c r="D243" s="260"/>
      <c r="E243" s="260"/>
      <c r="F243" s="260"/>
      <c r="G243" s="259"/>
      <c r="H243" s="606"/>
      <c r="I243" s="606"/>
      <c r="J243" s="606"/>
    </row>
    <row r="244" spans="2:10" ht="13.15" thickBot="1">
      <c r="B244" s="217">
        <f t="shared" si="3"/>
        <v>44517</v>
      </c>
      <c r="C244" s="229">
        <f>'9.7_DF_Overview'!I242</f>
        <v>0</v>
      </c>
      <c r="D244" s="260"/>
      <c r="E244" s="260"/>
      <c r="F244" s="260"/>
      <c r="G244" s="259"/>
      <c r="H244" s="606"/>
      <c r="I244" s="606"/>
      <c r="J244" s="606"/>
    </row>
    <row r="245" spans="2:10" ht="13.15" thickBot="1">
      <c r="B245" s="217">
        <f t="shared" si="3"/>
        <v>44518</v>
      </c>
      <c r="C245" s="229">
        <f>'9.7_DF_Overview'!I243</f>
        <v>0</v>
      </c>
      <c r="D245" s="260"/>
      <c r="E245" s="260"/>
      <c r="F245" s="260"/>
      <c r="G245" s="259"/>
      <c r="H245" s="606"/>
      <c r="I245" s="606"/>
      <c r="J245" s="606"/>
    </row>
    <row r="246" spans="2:10" ht="13.15" thickBot="1">
      <c r="B246" s="217">
        <f t="shared" si="3"/>
        <v>44519</v>
      </c>
      <c r="C246" s="229">
        <f>'9.7_DF_Overview'!I244</f>
        <v>0</v>
      </c>
      <c r="D246" s="260"/>
      <c r="E246" s="260"/>
      <c r="F246" s="260"/>
      <c r="G246" s="259"/>
      <c r="H246" s="606"/>
      <c r="I246" s="606"/>
      <c r="J246" s="606"/>
    </row>
    <row r="247" spans="2:10" ht="13.15" thickBot="1">
      <c r="B247" s="217">
        <f t="shared" si="3"/>
        <v>44520</v>
      </c>
      <c r="C247" s="229">
        <f>'9.7_DF_Overview'!I245</f>
        <v>0</v>
      </c>
      <c r="D247" s="260"/>
      <c r="E247" s="260"/>
      <c r="F247" s="260"/>
      <c r="G247" s="259"/>
      <c r="H247" s="606"/>
      <c r="I247" s="606"/>
      <c r="J247" s="606"/>
    </row>
    <row r="248" spans="2:10" ht="13.15" thickBot="1">
      <c r="B248" s="217">
        <f t="shared" si="3"/>
        <v>44521</v>
      </c>
      <c r="C248" s="229">
        <f>'9.7_DF_Overview'!I246</f>
        <v>0</v>
      </c>
      <c r="D248" s="260"/>
      <c r="E248" s="260"/>
      <c r="F248" s="260"/>
      <c r="G248" s="259"/>
      <c r="H248" s="606"/>
      <c r="I248" s="606"/>
      <c r="J248" s="606"/>
    </row>
    <row r="249" spans="2:10" ht="13.15" thickBot="1">
      <c r="B249" s="217">
        <f t="shared" si="3"/>
        <v>44522</v>
      </c>
      <c r="C249" s="229">
        <f>'9.7_DF_Overview'!I247</f>
        <v>0</v>
      </c>
      <c r="D249" s="260"/>
      <c r="E249" s="260"/>
      <c r="F249" s="260"/>
      <c r="G249" s="259"/>
      <c r="H249" s="606"/>
      <c r="I249" s="606"/>
      <c r="J249" s="606"/>
    </row>
    <row r="250" spans="2:10" ht="13.15" thickBot="1">
      <c r="B250" s="217">
        <f t="shared" si="3"/>
        <v>44523</v>
      </c>
      <c r="C250" s="229">
        <f>'9.7_DF_Overview'!I248</f>
        <v>0</v>
      </c>
      <c r="D250" s="260"/>
      <c r="E250" s="260"/>
      <c r="F250" s="260"/>
      <c r="G250" s="259"/>
      <c r="H250" s="606"/>
      <c r="I250" s="606"/>
      <c r="J250" s="606"/>
    </row>
    <row r="251" spans="2:10" ht="13.15" thickBot="1">
      <c r="B251" s="217">
        <f t="shared" si="3"/>
        <v>44524</v>
      </c>
      <c r="C251" s="229">
        <f>'9.7_DF_Overview'!I249</f>
        <v>0</v>
      </c>
      <c r="D251" s="260"/>
      <c r="E251" s="260"/>
      <c r="F251" s="260"/>
      <c r="G251" s="259"/>
      <c r="H251" s="606"/>
      <c r="I251" s="606"/>
      <c r="J251" s="606"/>
    </row>
    <row r="252" spans="2:10" ht="13.15" thickBot="1">
      <c r="B252" s="217">
        <f t="shared" si="3"/>
        <v>44525</v>
      </c>
      <c r="C252" s="229">
        <f>'9.7_DF_Overview'!I250</f>
        <v>0</v>
      </c>
      <c r="D252" s="260"/>
      <c r="E252" s="260"/>
      <c r="F252" s="260"/>
      <c r="G252" s="259"/>
      <c r="H252" s="606"/>
      <c r="I252" s="606"/>
      <c r="J252" s="606"/>
    </row>
    <row r="253" spans="2:10" ht="13.15" thickBot="1">
      <c r="B253" s="217">
        <f t="shared" si="3"/>
        <v>44526</v>
      </c>
      <c r="C253" s="229">
        <f>'9.7_DF_Overview'!I251</f>
        <v>0</v>
      </c>
      <c r="D253" s="260"/>
      <c r="E253" s="260"/>
      <c r="F253" s="260"/>
      <c r="G253" s="259"/>
      <c r="H253" s="606"/>
      <c r="I253" s="606"/>
      <c r="J253" s="606"/>
    </row>
    <row r="254" spans="2:10" ht="13.15" thickBot="1">
      <c r="B254" s="217">
        <f t="shared" si="3"/>
        <v>44527</v>
      </c>
      <c r="C254" s="229">
        <f>'9.7_DF_Overview'!I252</f>
        <v>0</v>
      </c>
      <c r="D254" s="260"/>
      <c r="E254" s="260"/>
      <c r="F254" s="260"/>
      <c r="G254" s="259"/>
      <c r="H254" s="606"/>
      <c r="I254" s="606"/>
      <c r="J254" s="606"/>
    </row>
    <row r="255" spans="2:10" ht="13.15" thickBot="1">
      <c r="B255" s="217">
        <f t="shared" si="3"/>
        <v>44528</v>
      </c>
      <c r="C255" s="229">
        <f>'9.7_DF_Overview'!I253</f>
        <v>0</v>
      </c>
      <c r="D255" s="260"/>
      <c r="E255" s="260"/>
      <c r="F255" s="260"/>
      <c r="G255" s="259"/>
      <c r="H255" s="606"/>
      <c r="I255" s="606"/>
      <c r="J255" s="606"/>
    </row>
    <row r="256" spans="2:10" ht="13.15" thickBot="1">
      <c r="B256" s="217">
        <f t="shared" si="3"/>
        <v>44529</v>
      </c>
      <c r="C256" s="229">
        <f>'9.7_DF_Overview'!I254</f>
        <v>0</v>
      </c>
      <c r="D256" s="260"/>
      <c r="E256" s="260"/>
      <c r="F256" s="260"/>
      <c r="G256" s="259"/>
      <c r="H256" s="606"/>
      <c r="I256" s="606"/>
      <c r="J256" s="606"/>
    </row>
    <row r="257" spans="2:10" ht="13.15" thickBot="1">
      <c r="B257" s="217">
        <f t="shared" si="3"/>
        <v>44530</v>
      </c>
      <c r="C257" s="229">
        <f>'9.7_DF_Overview'!I255</f>
        <v>0</v>
      </c>
      <c r="D257" s="260"/>
      <c r="E257" s="260"/>
      <c r="F257" s="260"/>
      <c r="G257" s="259"/>
      <c r="H257" s="606"/>
      <c r="I257" s="606"/>
      <c r="J257" s="606"/>
    </row>
    <row r="258" spans="2:10" ht="13.15" thickBot="1">
      <c r="B258" s="217">
        <f t="shared" si="3"/>
        <v>44531</v>
      </c>
      <c r="C258" s="229">
        <f>'9.7_DF_Overview'!I256</f>
        <v>0</v>
      </c>
      <c r="D258" s="260"/>
      <c r="E258" s="260"/>
      <c r="F258" s="260"/>
      <c r="G258" s="259"/>
      <c r="H258" s="606"/>
      <c r="I258" s="606"/>
      <c r="J258" s="606"/>
    </row>
    <row r="259" spans="2:10" ht="13.15" thickBot="1">
      <c r="B259" s="217">
        <f t="shared" si="3"/>
        <v>44532</v>
      </c>
      <c r="C259" s="229">
        <f>'9.7_DF_Overview'!I257</f>
        <v>0</v>
      </c>
      <c r="D259" s="260"/>
      <c r="E259" s="260"/>
      <c r="F259" s="260"/>
      <c r="G259" s="259"/>
      <c r="H259" s="606"/>
      <c r="I259" s="606"/>
      <c r="J259" s="606"/>
    </row>
    <row r="260" spans="2:10" ht="13.15" thickBot="1">
      <c r="B260" s="217">
        <f t="shared" si="3"/>
        <v>44533</v>
      </c>
      <c r="C260" s="229">
        <f>'9.7_DF_Overview'!I258</f>
        <v>0</v>
      </c>
      <c r="D260" s="260"/>
      <c r="E260" s="260"/>
      <c r="F260" s="260"/>
      <c r="G260" s="259"/>
      <c r="H260" s="606"/>
      <c r="I260" s="606"/>
      <c r="J260" s="606"/>
    </row>
    <row r="261" spans="2:10" ht="13.15" thickBot="1">
      <c r="B261" s="217">
        <f t="shared" si="3"/>
        <v>44534</v>
      </c>
      <c r="C261" s="229">
        <f>'9.7_DF_Overview'!I259</f>
        <v>0</v>
      </c>
      <c r="D261" s="260"/>
      <c r="E261" s="260"/>
      <c r="F261" s="260"/>
      <c r="G261" s="259"/>
      <c r="H261" s="606"/>
      <c r="I261" s="606"/>
      <c r="J261" s="606"/>
    </row>
    <row r="262" spans="2:10" ht="13.15" thickBot="1">
      <c r="B262" s="217">
        <f t="shared" si="3"/>
        <v>44535</v>
      </c>
      <c r="C262" s="229">
        <f>'9.7_DF_Overview'!I260</f>
        <v>0</v>
      </c>
      <c r="D262" s="260"/>
      <c r="E262" s="260"/>
      <c r="F262" s="260"/>
      <c r="G262" s="259"/>
      <c r="H262" s="606"/>
      <c r="I262" s="606"/>
      <c r="J262" s="606"/>
    </row>
    <row r="263" spans="2:10" ht="13.15" thickBot="1">
      <c r="B263" s="217">
        <f t="shared" si="3"/>
        <v>44536</v>
      </c>
      <c r="C263" s="229">
        <f>'9.7_DF_Overview'!I261</f>
        <v>0</v>
      </c>
      <c r="D263" s="260"/>
      <c r="E263" s="260"/>
      <c r="F263" s="260"/>
      <c r="G263" s="259"/>
      <c r="H263" s="606"/>
      <c r="I263" s="606"/>
      <c r="J263" s="606"/>
    </row>
    <row r="264" spans="2:10" ht="13.15" thickBot="1">
      <c r="B264" s="217">
        <f t="shared" si="3"/>
        <v>44537</v>
      </c>
      <c r="C264" s="229">
        <f>'9.7_DF_Overview'!I262</f>
        <v>0</v>
      </c>
      <c r="D264" s="260"/>
      <c r="E264" s="260"/>
      <c r="F264" s="260"/>
      <c r="G264" s="259"/>
      <c r="H264" s="606"/>
      <c r="I264" s="606"/>
      <c r="J264" s="606"/>
    </row>
    <row r="265" spans="2:10" ht="13.15" thickBot="1">
      <c r="B265" s="217">
        <f t="shared" si="3"/>
        <v>44538</v>
      </c>
      <c r="C265" s="229">
        <f>'9.7_DF_Overview'!I263</f>
        <v>0</v>
      </c>
      <c r="D265" s="260"/>
      <c r="E265" s="260"/>
      <c r="F265" s="260"/>
      <c r="G265" s="259"/>
      <c r="H265" s="606"/>
      <c r="I265" s="606"/>
      <c r="J265" s="606"/>
    </row>
    <row r="266" spans="2:10" ht="13.15" thickBot="1">
      <c r="B266" s="217">
        <f t="shared" si="3"/>
        <v>44539</v>
      </c>
      <c r="C266" s="229">
        <f>'9.7_DF_Overview'!I264</f>
        <v>0</v>
      </c>
      <c r="D266" s="260"/>
      <c r="E266" s="260"/>
      <c r="F266" s="260"/>
      <c r="G266" s="259"/>
      <c r="H266" s="606"/>
      <c r="I266" s="606"/>
      <c r="J266" s="606"/>
    </row>
    <row r="267" spans="2:10" ht="13.15" thickBot="1">
      <c r="B267" s="217">
        <f t="shared" si="3"/>
        <v>44540</v>
      </c>
      <c r="C267" s="229">
        <f>'9.7_DF_Overview'!I265</f>
        <v>0</v>
      </c>
      <c r="D267" s="260"/>
      <c r="E267" s="260"/>
      <c r="F267" s="260"/>
      <c r="G267" s="259"/>
      <c r="H267" s="606"/>
      <c r="I267" s="606"/>
      <c r="J267" s="606"/>
    </row>
    <row r="268" spans="2:10" ht="13.15" thickBot="1">
      <c r="B268" s="217">
        <f t="shared" si="3"/>
        <v>44541</v>
      </c>
      <c r="C268" s="229">
        <f>'9.7_DF_Overview'!I266</f>
        <v>0</v>
      </c>
      <c r="D268" s="260"/>
      <c r="E268" s="260"/>
      <c r="F268" s="260"/>
      <c r="G268" s="259"/>
      <c r="H268" s="606"/>
      <c r="I268" s="606"/>
      <c r="J268" s="606"/>
    </row>
    <row r="269" spans="2:10" ht="13.15" thickBot="1">
      <c r="B269" s="217">
        <f t="shared" si="3"/>
        <v>44542</v>
      </c>
      <c r="C269" s="229">
        <f>'9.7_DF_Overview'!I267</f>
        <v>0</v>
      </c>
      <c r="D269" s="260"/>
      <c r="E269" s="260"/>
      <c r="F269" s="260"/>
      <c r="G269" s="259"/>
      <c r="H269" s="606"/>
      <c r="I269" s="606"/>
      <c r="J269" s="606"/>
    </row>
    <row r="270" spans="2:10" ht="13.15" thickBot="1">
      <c r="B270" s="217">
        <f t="shared" si="3"/>
        <v>44543</v>
      </c>
      <c r="C270" s="229">
        <f>'9.7_DF_Overview'!I268</f>
        <v>0</v>
      </c>
      <c r="D270" s="260"/>
      <c r="E270" s="260"/>
      <c r="F270" s="260"/>
      <c r="G270" s="259"/>
      <c r="H270" s="606"/>
      <c r="I270" s="606"/>
      <c r="J270" s="606"/>
    </row>
    <row r="271" spans="2:10" ht="13.15" thickBot="1">
      <c r="B271" s="217">
        <f t="shared" ref="B271:B334" si="4">B270+1</f>
        <v>44544</v>
      </c>
      <c r="C271" s="229">
        <f>'9.7_DF_Overview'!I269</f>
        <v>0</v>
      </c>
      <c r="D271" s="260"/>
      <c r="E271" s="260"/>
      <c r="F271" s="260"/>
      <c r="G271" s="259"/>
      <c r="H271" s="606"/>
      <c r="I271" s="606"/>
      <c r="J271" s="606"/>
    </row>
    <row r="272" spans="2:10" ht="13.15" thickBot="1">
      <c r="B272" s="217">
        <f t="shared" si="4"/>
        <v>44545</v>
      </c>
      <c r="C272" s="229">
        <f>'9.7_DF_Overview'!I270</f>
        <v>0</v>
      </c>
      <c r="D272" s="260"/>
      <c r="E272" s="260"/>
      <c r="F272" s="260"/>
      <c r="G272" s="259"/>
      <c r="H272" s="606"/>
      <c r="I272" s="606"/>
      <c r="J272" s="606"/>
    </row>
    <row r="273" spans="2:10" ht="13.15" thickBot="1">
      <c r="B273" s="217">
        <f t="shared" si="4"/>
        <v>44546</v>
      </c>
      <c r="C273" s="229">
        <f>'9.7_DF_Overview'!I271</f>
        <v>0</v>
      </c>
      <c r="D273" s="260"/>
      <c r="E273" s="260"/>
      <c r="F273" s="260"/>
      <c r="G273" s="259"/>
      <c r="H273" s="606"/>
      <c r="I273" s="606"/>
      <c r="J273" s="606"/>
    </row>
    <row r="274" spans="2:10" ht="13.15" thickBot="1">
      <c r="B274" s="217">
        <f t="shared" si="4"/>
        <v>44547</v>
      </c>
      <c r="C274" s="229">
        <f>'9.7_DF_Overview'!I272</f>
        <v>0</v>
      </c>
      <c r="D274" s="260"/>
      <c r="E274" s="260"/>
      <c r="F274" s="260"/>
      <c r="G274" s="259"/>
      <c r="H274" s="606"/>
      <c r="I274" s="606"/>
      <c r="J274" s="606"/>
    </row>
    <row r="275" spans="2:10" ht="13.15" thickBot="1">
      <c r="B275" s="217">
        <f t="shared" si="4"/>
        <v>44548</v>
      </c>
      <c r="C275" s="229">
        <f>'9.7_DF_Overview'!I273</f>
        <v>0</v>
      </c>
      <c r="D275" s="260"/>
      <c r="E275" s="260"/>
      <c r="F275" s="260"/>
      <c r="G275" s="259"/>
      <c r="H275" s="606"/>
      <c r="I275" s="606"/>
      <c r="J275" s="606"/>
    </row>
    <row r="276" spans="2:10" ht="13.15" thickBot="1">
      <c r="B276" s="217">
        <f t="shared" si="4"/>
        <v>44549</v>
      </c>
      <c r="C276" s="229">
        <f>'9.7_DF_Overview'!I274</f>
        <v>0</v>
      </c>
      <c r="D276" s="260"/>
      <c r="E276" s="260"/>
      <c r="F276" s="260"/>
      <c r="G276" s="259"/>
      <c r="H276" s="606"/>
      <c r="I276" s="606"/>
      <c r="J276" s="606"/>
    </row>
    <row r="277" spans="2:10" ht="13.15" thickBot="1">
      <c r="B277" s="217">
        <f t="shared" si="4"/>
        <v>44550</v>
      </c>
      <c r="C277" s="229">
        <f>'9.7_DF_Overview'!I275</f>
        <v>0</v>
      </c>
      <c r="D277" s="260"/>
      <c r="E277" s="260"/>
      <c r="F277" s="260"/>
      <c r="G277" s="259"/>
      <c r="H277" s="606"/>
      <c r="I277" s="606"/>
      <c r="J277" s="606"/>
    </row>
    <row r="278" spans="2:10" ht="13.15" thickBot="1">
      <c r="B278" s="217">
        <f t="shared" si="4"/>
        <v>44551</v>
      </c>
      <c r="C278" s="229">
        <f>'9.7_DF_Overview'!I276</f>
        <v>0</v>
      </c>
      <c r="D278" s="260"/>
      <c r="E278" s="260"/>
      <c r="F278" s="260"/>
      <c r="G278" s="259"/>
      <c r="H278" s="606"/>
      <c r="I278" s="606"/>
      <c r="J278" s="606"/>
    </row>
    <row r="279" spans="2:10" ht="13.15" thickBot="1">
      <c r="B279" s="217">
        <f t="shared" si="4"/>
        <v>44552</v>
      </c>
      <c r="C279" s="229">
        <f>'9.7_DF_Overview'!I277</f>
        <v>0</v>
      </c>
      <c r="D279" s="260"/>
      <c r="E279" s="260"/>
      <c r="F279" s="260"/>
      <c r="G279" s="259"/>
      <c r="H279" s="606"/>
      <c r="I279" s="606"/>
      <c r="J279" s="606"/>
    </row>
    <row r="280" spans="2:10" ht="13.15" thickBot="1">
      <c r="B280" s="217">
        <f t="shared" si="4"/>
        <v>44553</v>
      </c>
      <c r="C280" s="229">
        <f>'9.7_DF_Overview'!I278</f>
        <v>0</v>
      </c>
      <c r="D280" s="260"/>
      <c r="E280" s="260"/>
      <c r="F280" s="260"/>
      <c r="G280" s="259"/>
      <c r="H280" s="606"/>
      <c r="I280" s="606"/>
      <c r="J280" s="606"/>
    </row>
    <row r="281" spans="2:10" ht="13.15" thickBot="1">
      <c r="B281" s="217">
        <f t="shared" si="4"/>
        <v>44554</v>
      </c>
      <c r="C281" s="229">
        <f>'9.7_DF_Overview'!I279</f>
        <v>0</v>
      </c>
      <c r="D281" s="260"/>
      <c r="E281" s="260"/>
      <c r="F281" s="260"/>
      <c r="G281" s="259"/>
      <c r="H281" s="606"/>
      <c r="I281" s="606"/>
      <c r="J281" s="606"/>
    </row>
    <row r="282" spans="2:10" ht="13.15" thickBot="1">
      <c r="B282" s="217">
        <f t="shared" si="4"/>
        <v>44555</v>
      </c>
      <c r="C282" s="229">
        <f>'9.7_DF_Overview'!I280</f>
        <v>0</v>
      </c>
      <c r="D282" s="260"/>
      <c r="E282" s="260"/>
      <c r="F282" s="260"/>
      <c r="G282" s="259"/>
      <c r="H282" s="606"/>
      <c r="I282" s="606"/>
      <c r="J282" s="606"/>
    </row>
    <row r="283" spans="2:10" ht="13.15" thickBot="1">
      <c r="B283" s="217">
        <f t="shared" si="4"/>
        <v>44556</v>
      </c>
      <c r="C283" s="229">
        <f>'9.7_DF_Overview'!I281</f>
        <v>0</v>
      </c>
      <c r="D283" s="260"/>
      <c r="E283" s="260"/>
      <c r="F283" s="260"/>
      <c r="G283" s="259"/>
      <c r="H283" s="606"/>
      <c r="I283" s="606"/>
      <c r="J283" s="606"/>
    </row>
    <row r="284" spans="2:10" ht="13.15" thickBot="1">
      <c r="B284" s="217">
        <f t="shared" si="4"/>
        <v>44557</v>
      </c>
      <c r="C284" s="229">
        <f>'9.7_DF_Overview'!I282</f>
        <v>0</v>
      </c>
      <c r="D284" s="260"/>
      <c r="E284" s="260"/>
      <c r="F284" s="260"/>
      <c r="G284" s="259"/>
      <c r="H284" s="606"/>
      <c r="I284" s="606"/>
      <c r="J284" s="606"/>
    </row>
    <row r="285" spans="2:10" ht="13.15" thickBot="1">
      <c r="B285" s="217">
        <f t="shared" si="4"/>
        <v>44558</v>
      </c>
      <c r="C285" s="229">
        <f>'9.7_DF_Overview'!I283</f>
        <v>0</v>
      </c>
      <c r="D285" s="260"/>
      <c r="E285" s="260"/>
      <c r="F285" s="260"/>
      <c r="G285" s="259"/>
      <c r="H285" s="606"/>
      <c r="I285" s="606"/>
      <c r="J285" s="606"/>
    </row>
    <row r="286" spans="2:10" ht="13.15" thickBot="1">
      <c r="B286" s="217">
        <f t="shared" si="4"/>
        <v>44559</v>
      </c>
      <c r="C286" s="229">
        <f>'9.7_DF_Overview'!I284</f>
        <v>0</v>
      </c>
      <c r="D286" s="260"/>
      <c r="E286" s="260"/>
      <c r="F286" s="260"/>
      <c r="G286" s="259"/>
      <c r="H286" s="606"/>
      <c r="I286" s="606"/>
      <c r="J286" s="606"/>
    </row>
    <row r="287" spans="2:10" ht="13.15" thickBot="1">
      <c r="B287" s="217">
        <f t="shared" si="4"/>
        <v>44560</v>
      </c>
      <c r="C287" s="229">
        <f>'9.7_DF_Overview'!I285</f>
        <v>0</v>
      </c>
      <c r="D287" s="260"/>
      <c r="E287" s="260"/>
      <c r="F287" s="260"/>
      <c r="G287" s="259"/>
      <c r="H287" s="606"/>
      <c r="I287" s="606"/>
      <c r="J287" s="606"/>
    </row>
    <row r="288" spans="2:10" ht="13.15" thickBot="1">
      <c r="B288" s="217">
        <f t="shared" si="4"/>
        <v>44561</v>
      </c>
      <c r="C288" s="229">
        <f>'9.7_DF_Overview'!I286</f>
        <v>0</v>
      </c>
      <c r="D288" s="260"/>
      <c r="E288" s="260"/>
      <c r="F288" s="260"/>
      <c r="G288" s="259"/>
      <c r="H288" s="606"/>
      <c r="I288" s="606"/>
      <c r="J288" s="606"/>
    </row>
    <row r="289" spans="2:10" ht="13.15" thickBot="1">
      <c r="B289" s="217">
        <f t="shared" si="4"/>
        <v>44562</v>
      </c>
      <c r="C289" s="229">
        <f>'9.7_DF_Overview'!I287</f>
        <v>0</v>
      </c>
      <c r="D289" s="260"/>
      <c r="E289" s="260"/>
      <c r="F289" s="260"/>
      <c r="G289" s="259"/>
      <c r="H289" s="606"/>
      <c r="I289" s="606"/>
      <c r="J289" s="606"/>
    </row>
    <row r="290" spans="2:10" ht="13.15" thickBot="1">
      <c r="B290" s="217">
        <f t="shared" si="4"/>
        <v>44563</v>
      </c>
      <c r="C290" s="229">
        <f>'9.7_DF_Overview'!I288</f>
        <v>0</v>
      </c>
      <c r="D290" s="260"/>
      <c r="E290" s="260"/>
      <c r="F290" s="260"/>
      <c r="G290" s="259"/>
      <c r="H290" s="606"/>
      <c r="I290" s="606"/>
      <c r="J290" s="606"/>
    </row>
    <row r="291" spans="2:10" ht="13.15" thickBot="1">
      <c r="B291" s="217">
        <f t="shared" si="4"/>
        <v>44564</v>
      </c>
      <c r="C291" s="229">
        <f>'9.7_DF_Overview'!I289</f>
        <v>0</v>
      </c>
      <c r="D291" s="260"/>
      <c r="E291" s="260"/>
      <c r="F291" s="260"/>
      <c r="G291" s="259"/>
      <c r="H291" s="606"/>
      <c r="I291" s="606"/>
      <c r="J291" s="606"/>
    </row>
    <row r="292" spans="2:10" ht="13.15" thickBot="1">
      <c r="B292" s="217">
        <f t="shared" si="4"/>
        <v>44565</v>
      </c>
      <c r="C292" s="229">
        <f>'9.7_DF_Overview'!I290</f>
        <v>0</v>
      </c>
      <c r="D292" s="260"/>
      <c r="E292" s="260"/>
      <c r="F292" s="260"/>
      <c r="G292" s="259"/>
      <c r="H292" s="606"/>
      <c r="I292" s="606"/>
      <c r="J292" s="606"/>
    </row>
    <row r="293" spans="2:10" ht="13.15" thickBot="1">
      <c r="B293" s="217">
        <f t="shared" si="4"/>
        <v>44566</v>
      </c>
      <c r="C293" s="229">
        <f>'9.7_DF_Overview'!I291</f>
        <v>0</v>
      </c>
      <c r="D293" s="260"/>
      <c r="E293" s="260"/>
      <c r="F293" s="260"/>
      <c r="G293" s="259"/>
      <c r="H293" s="606"/>
      <c r="I293" s="606"/>
      <c r="J293" s="606"/>
    </row>
    <row r="294" spans="2:10" ht="13.15" thickBot="1">
      <c r="B294" s="217">
        <f t="shared" si="4"/>
        <v>44567</v>
      </c>
      <c r="C294" s="229">
        <f>'9.7_DF_Overview'!I292</f>
        <v>0</v>
      </c>
      <c r="D294" s="260"/>
      <c r="E294" s="260"/>
      <c r="F294" s="260"/>
      <c r="G294" s="259"/>
      <c r="H294" s="606"/>
      <c r="I294" s="606"/>
      <c r="J294" s="606"/>
    </row>
    <row r="295" spans="2:10" ht="13.15" thickBot="1">
      <c r="B295" s="217">
        <f t="shared" si="4"/>
        <v>44568</v>
      </c>
      <c r="C295" s="229">
        <f>'9.7_DF_Overview'!I293</f>
        <v>0</v>
      </c>
      <c r="D295" s="260"/>
      <c r="E295" s="260"/>
      <c r="F295" s="260"/>
      <c r="G295" s="259"/>
      <c r="H295" s="606"/>
      <c r="I295" s="606"/>
      <c r="J295" s="606"/>
    </row>
    <row r="296" spans="2:10" ht="13.15" thickBot="1">
      <c r="B296" s="217">
        <f t="shared" si="4"/>
        <v>44569</v>
      </c>
      <c r="C296" s="229">
        <f>'9.7_DF_Overview'!I294</f>
        <v>0</v>
      </c>
      <c r="D296" s="260"/>
      <c r="E296" s="260"/>
      <c r="F296" s="260"/>
      <c r="G296" s="259"/>
      <c r="H296" s="606"/>
      <c r="I296" s="606"/>
      <c r="J296" s="606"/>
    </row>
    <row r="297" spans="2:10" ht="13.15" thickBot="1">
      <c r="B297" s="217">
        <f t="shared" si="4"/>
        <v>44570</v>
      </c>
      <c r="C297" s="229">
        <f>'9.7_DF_Overview'!I295</f>
        <v>0</v>
      </c>
      <c r="D297" s="260"/>
      <c r="E297" s="260"/>
      <c r="F297" s="260"/>
      <c r="G297" s="259"/>
      <c r="H297" s="606"/>
      <c r="I297" s="606"/>
      <c r="J297" s="606"/>
    </row>
    <row r="298" spans="2:10" ht="13.15" thickBot="1">
      <c r="B298" s="217">
        <f t="shared" si="4"/>
        <v>44571</v>
      </c>
      <c r="C298" s="229">
        <f>'9.7_DF_Overview'!I296</f>
        <v>0</v>
      </c>
      <c r="D298" s="260"/>
      <c r="E298" s="260"/>
      <c r="F298" s="260"/>
      <c r="G298" s="259"/>
      <c r="H298" s="606"/>
      <c r="I298" s="606"/>
      <c r="J298" s="606"/>
    </row>
    <row r="299" spans="2:10" ht="13.15" thickBot="1">
      <c r="B299" s="217">
        <f t="shared" si="4"/>
        <v>44572</v>
      </c>
      <c r="C299" s="229">
        <f>'9.7_DF_Overview'!I297</f>
        <v>0</v>
      </c>
      <c r="D299" s="260"/>
      <c r="E299" s="260"/>
      <c r="F299" s="260"/>
      <c r="G299" s="259"/>
      <c r="H299" s="606"/>
      <c r="I299" s="606"/>
      <c r="J299" s="606"/>
    </row>
    <row r="300" spans="2:10" ht="13.15" thickBot="1">
      <c r="B300" s="217">
        <f t="shared" si="4"/>
        <v>44573</v>
      </c>
      <c r="C300" s="229">
        <f>'9.7_DF_Overview'!I298</f>
        <v>0</v>
      </c>
      <c r="D300" s="260"/>
      <c r="E300" s="260"/>
      <c r="F300" s="260"/>
      <c r="G300" s="259"/>
      <c r="H300" s="606"/>
      <c r="I300" s="606"/>
      <c r="J300" s="606"/>
    </row>
    <row r="301" spans="2:10" ht="13.15" thickBot="1">
      <c r="B301" s="217">
        <f t="shared" si="4"/>
        <v>44574</v>
      </c>
      <c r="C301" s="229">
        <f>'9.7_DF_Overview'!I299</f>
        <v>0</v>
      </c>
      <c r="D301" s="260"/>
      <c r="E301" s="260"/>
      <c r="F301" s="260"/>
      <c r="G301" s="259"/>
      <c r="H301" s="606"/>
      <c r="I301" s="606"/>
      <c r="J301" s="606"/>
    </row>
    <row r="302" spans="2:10" ht="13.15" thickBot="1">
      <c r="B302" s="217">
        <f t="shared" si="4"/>
        <v>44575</v>
      </c>
      <c r="C302" s="229">
        <f>'9.7_DF_Overview'!I300</f>
        <v>0</v>
      </c>
      <c r="D302" s="260"/>
      <c r="E302" s="260"/>
      <c r="F302" s="260"/>
      <c r="G302" s="259"/>
      <c r="H302" s="606"/>
      <c r="I302" s="606"/>
      <c r="J302" s="606"/>
    </row>
    <row r="303" spans="2:10" ht="13.15" thickBot="1">
      <c r="B303" s="217">
        <f t="shared" si="4"/>
        <v>44576</v>
      </c>
      <c r="C303" s="229">
        <f>'9.7_DF_Overview'!I301</f>
        <v>0</v>
      </c>
      <c r="D303" s="260"/>
      <c r="E303" s="260"/>
      <c r="F303" s="260"/>
      <c r="G303" s="259"/>
      <c r="H303" s="606"/>
      <c r="I303" s="606"/>
      <c r="J303" s="606"/>
    </row>
    <row r="304" spans="2:10" ht="13.15" thickBot="1">
      <c r="B304" s="217">
        <f t="shared" si="4"/>
        <v>44577</v>
      </c>
      <c r="C304" s="229">
        <f>'9.7_DF_Overview'!I302</f>
        <v>0</v>
      </c>
      <c r="D304" s="260"/>
      <c r="E304" s="260"/>
      <c r="F304" s="260"/>
      <c r="G304" s="259"/>
      <c r="H304" s="606"/>
      <c r="I304" s="606"/>
      <c r="J304" s="606"/>
    </row>
    <row r="305" spans="2:10" ht="13.15" thickBot="1">
      <c r="B305" s="217">
        <f t="shared" si="4"/>
        <v>44578</v>
      </c>
      <c r="C305" s="229">
        <f>'9.7_DF_Overview'!I303</f>
        <v>0</v>
      </c>
      <c r="D305" s="260"/>
      <c r="E305" s="260"/>
      <c r="F305" s="260"/>
      <c r="G305" s="259"/>
      <c r="H305" s="606"/>
      <c r="I305" s="606"/>
      <c r="J305" s="606"/>
    </row>
    <row r="306" spans="2:10" ht="13.15" thickBot="1">
      <c r="B306" s="217">
        <f t="shared" si="4"/>
        <v>44579</v>
      </c>
      <c r="C306" s="229">
        <f>'9.7_DF_Overview'!I304</f>
        <v>0</v>
      </c>
      <c r="D306" s="260"/>
      <c r="E306" s="260"/>
      <c r="F306" s="260"/>
      <c r="G306" s="259"/>
      <c r="H306" s="606"/>
      <c r="I306" s="606"/>
      <c r="J306" s="606"/>
    </row>
    <row r="307" spans="2:10" ht="13.15" thickBot="1">
      <c r="B307" s="217">
        <f t="shared" si="4"/>
        <v>44580</v>
      </c>
      <c r="C307" s="229">
        <f>'9.7_DF_Overview'!I305</f>
        <v>0</v>
      </c>
      <c r="D307" s="260"/>
      <c r="E307" s="260"/>
      <c r="F307" s="260"/>
      <c r="G307" s="259"/>
      <c r="H307" s="606"/>
      <c r="I307" s="606"/>
      <c r="J307" s="606"/>
    </row>
    <row r="308" spans="2:10" ht="13.15" thickBot="1">
      <c r="B308" s="217">
        <f t="shared" si="4"/>
        <v>44581</v>
      </c>
      <c r="C308" s="229">
        <f>'9.7_DF_Overview'!I306</f>
        <v>0</v>
      </c>
      <c r="D308" s="260"/>
      <c r="E308" s="260"/>
      <c r="F308" s="260"/>
      <c r="G308" s="259"/>
      <c r="H308" s="606"/>
      <c r="I308" s="606"/>
      <c r="J308" s="606"/>
    </row>
    <row r="309" spans="2:10" ht="13.15" thickBot="1">
      <c r="B309" s="217">
        <f t="shared" si="4"/>
        <v>44582</v>
      </c>
      <c r="C309" s="229">
        <f>'9.7_DF_Overview'!I307</f>
        <v>0</v>
      </c>
      <c r="D309" s="260"/>
      <c r="E309" s="260"/>
      <c r="F309" s="260"/>
      <c r="G309" s="259"/>
      <c r="H309" s="606"/>
      <c r="I309" s="606"/>
      <c r="J309" s="606"/>
    </row>
    <row r="310" spans="2:10" ht="13.15" thickBot="1">
      <c r="B310" s="217">
        <f t="shared" si="4"/>
        <v>44583</v>
      </c>
      <c r="C310" s="229">
        <f>'9.7_DF_Overview'!I308</f>
        <v>0</v>
      </c>
      <c r="D310" s="260"/>
      <c r="E310" s="260"/>
      <c r="F310" s="260"/>
      <c r="G310" s="259"/>
      <c r="H310" s="606"/>
      <c r="I310" s="606"/>
      <c r="J310" s="606"/>
    </row>
    <row r="311" spans="2:10" ht="13.15" thickBot="1">
      <c r="B311" s="217">
        <f t="shared" si="4"/>
        <v>44584</v>
      </c>
      <c r="C311" s="229">
        <f>'9.7_DF_Overview'!I309</f>
        <v>0</v>
      </c>
      <c r="D311" s="260"/>
      <c r="E311" s="260"/>
      <c r="F311" s="260"/>
      <c r="G311" s="259"/>
      <c r="H311" s="606"/>
      <c r="I311" s="606"/>
      <c r="J311" s="606"/>
    </row>
    <row r="312" spans="2:10" ht="13.15" thickBot="1">
      <c r="B312" s="217">
        <f t="shared" si="4"/>
        <v>44585</v>
      </c>
      <c r="C312" s="229">
        <f>'9.7_DF_Overview'!I310</f>
        <v>0</v>
      </c>
      <c r="D312" s="260"/>
      <c r="E312" s="260"/>
      <c r="F312" s="260"/>
      <c r="G312" s="259"/>
      <c r="H312" s="606"/>
      <c r="I312" s="606"/>
      <c r="J312" s="606"/>
    </row>
    <row r="313" spans="2:10" ht="13.15" thickBot="1">
      <c r="B313" s="217">
        <f t="shared" si="4"/>
        <v>44586</v>
      </c>
      <c r="C313" s="229">
        <f>'9.7_DF_Overview'!I311</f>
        <v>0</v>
      </c>
      <c r="D313" s="260"/>
      <c r="E313" s="260"/>
      <c r="F313" s="260"/>
      <c r="G313" s="259"/>
      <c r="H313" s="606"/>
      <c r="I313" s="606"/>
      <c r="J313" s="606"/>
    </row>
    <row r="314" spans="2:10" ht="13.15" thickBot="1">
      <c r="B314" s="217">
        <f t="shared" si="4"/>
        <v>44587</v>
      </c>
      <c r="C314" s="229">
        <f>'9.7_DF_Overview'!I312</f>
        <v>0</v>
      </c>
      <c r="D314" s="260"/>
      <c r="E314" s="260"/>
      <c r="F314" s="260"/>
      <c r="G314" s="259"/>
      <c r="H314" s="606"/>
      <c r="I314" s="606"/>
      <c r="J314" s="606"/>
    </row>
    <row r="315" spans="2:10" ht="13.15" thickBot="1">
      <c r="B315" s="217">
        <f t="shared" si="4"/>
        <v>44588</v>
      </c>
      <c r="C315" s="229">
        <f>'9.7_DF_Overview'!I313</f>
        <v>0</v>
      </c>
      <c r="D315" s="260"/>
      <c r="E315" s="260"/>
      <c r="F315" s="260"/>
      <c r="G315" s="259"/>
      <c r="H315" s="606"/>
      <c r="I315" s="606"/>
      <c r="J315" s="606"/>
    </row>
    <row r="316" spans="2:10" ht="13.15" thickBot="1">
      <c r="B316" s="217">
        <f t="shared" si="4"/>
        <v>44589</v>
      </c>
      <c r="C316" s="229">
        <f>'9.7_DF_Overview'!I314</f>
        <v>0</v>
      </c>
      <c r="D316" s="260"/>
      <c r="E316" s="260"/>
      <c r="F316" s="260"/>
      <c r="G316" s="259"/>
      <c r="H316" s="606"/>
      <c r="I316" s="606"/>
      <c r="J316" s="606"/>
    </row>
    <row r="317" spans="2:10" ht="13.15" thickBot="1">
      <c r="B317" s="217">
        <f t="shared" si="4"/>
        <v>44590</v>
      </c>
      <c r="C317" s="229">
        <f>'9.7_DF_Overview'!I315</f>
        <v>0</v>
      </c>
      <c r="D317" s="260"/>
      <c r="E317" s="260"/>
      <c r="F317" s="260"/>
      <c r="G317" s="259"/>
      <c r="H317" s="606"/>
      <c r="I317" s="606"/>
      <c r="J317" s="606"/>
    </row>
    <row r="318" spans="2:10" ht="13.15" thickBot="1">
      <c r="B318" s="217">
        <f t="shared" si="4"/>
        <v>44591</v>
      </c>
      <c r="C318" s="229">
        <f>'9.7_DF_Overview'!I316</f>
        <v>0</v>
      </c>
      <c r="D318" s="260"/>
      <c r="E318" s="260"/>
      <c r="F318" s="260"/>
      <c r="G318" s="259"/>
      <c r="H318" s="606"/>
      <c r="I318" s="606"/>
      <c r="J318" s="606"/>
    </row>
    <row r="319" spans="2:10" ht="13.15" thickBot="1">
      <c r="B319" s="217">
        <f t="shared" si="4"/>
        <v>44592</v>
      </c>
      <c r="C319" s="229">
        <f>'9.7_DF_Overview'!I317</f>
        <v>0</v>
      </c>
      <c r="D319" s="260"/>
      <c r="E319" s="260"/>
      <c r="F319" s="260"/>
      <c r="G319" s="259"/>
      <c r="H319" s="606"/>
      <c r="I319" s="606"/>
      <c r="J319" s="606"/>
    </row>
    <row r="320" spans="2:10" ht="13.15" thickBot="1">
      <c r="B320" s="217">
        <f t="shared" si="4"/>
        <v>44593</v>
      </c>
      <c r="C320" s="229">
        <f>'9.7_DF_Overview'!I318</f>
        <v>0</v>
      </c>
      <c r="D320" s="260"/>
      <c r="E320" s="260"/>
      <c r="F320" s="260"/>
      <c r="G320" s="259"/>
      <c r="H320" s="606"/>
      <c r="I320" s="606"/>
      <c r="J320" s="606"/>
    </row>
    <row r="321" spans="2:10" ht="13.15" thickBot="1">
      <c r="B321" s="217">
        <f t="shared" si="4"/>
        <v>44594</v>
      </c>
      <c r="C321" s="229">
        <f>'9.7_DF_Overview'!I319</f>
        <v>0</v>
      </c>
      <c r="D321" s="260"/>
      <c r="E321" s="260"/>
      <c r="F321" s="260"/>
      <c r="G321" s="259"/>
      <c r="H321" s="606"/>
      <c r="I321" s="606"/>
      <c r="J321" s="606"/>
    </row>
    <row r="322" spans="2:10" ht="13.15" thickBot="1">
      <c r="B322" s="217">
        <f t="shared" si="4"/>
        <v>44595</v>
      </c>
      <c r="C322" s="229">
        <f>'9.7_DF_Overview'!I320</f>
        <v>0</v>
      </c>
      <c r="D322" s="260"/>
      <c r="E322" s="260"/>
      <c r="F322" s="260"/>
      <c r="G322" s="259"/>
      <c r="H322" s="606"/>
      <c r="I322" s="606"/>
      <c r="J322" s="606"/>
    </row>
    <row r="323" spans="2:10" ht="13.15" thickBot="1">
      <c r="B323" s="217">
        <f t="shared" si="4"/>
        <v>44596</v>
      </c>
      <c r="C323" s="229">
        <f>'9.7_DF_Overview'!I321</f>
        <v>0</v>
      </c>
      <c r="D323" s="260"/>
      <c r="E323" s="260"/>
      <c r="F323" s="260"/>
      <c r="G323" s="259"/>
      <c r="H323" s="606"/>
      <c r="I323" s="606"/>
      <c r="J323" s="606"/>
    </row>
    <row r="324" spans="2:10" ht="13.15" thickBot="1">
      <c r="B324" s="217">
        <f t="shared" si="4"/>
        <v>44597</v>
      </c>
      <c r="C324" s="229">
        <f>'9.7_DF_Overview'!I322</f>
        <v>0</v>
      </c>
      <c r="D324" s="260"/>
      <c r="E324" s="260"/>
      <c r="F324" s="260"/>
      <c r="G324" s="259"/>
      <c r="H324" s="606"/>
      <c r="I324" s="606"/>
      <c r="J324" s="606"/>
    </row>
    <row r="325" spans="2:10" ht="13.15" thickBot="1">
      <c r="B325" s="217">
        <f t="shared" si="4"/>
        <v>44598</v>
      </c>
      <c r="C325" s="229">
        <f>'9.7_DF_Overview'!I323</f>
        <v>0</v>
      </c>
      <c r="D325" s="260"/>
      <c r="E325" s="260"/>
      <c r="F325" s="260"/>
      <c r="G325" s="259"/>
      <c r="H325" s="606"/>
      <c r="I325" s="606"/>
      <c r="J325" s="606"/>
    </row>
    <row r="326" spans="2:10" ht="13.15" thickBot="1">
      <c r="B326" s="217">
        <f t="shared" si="4"/>
        <v>44599</v>
      </c>
      <c r="C326" s="229">
        <f>'9.7_DF_Overview'!I324</f>
        <v>0</v>
      </c>
      <c r="D326" s="260"/>
      <c r="E326" s="260"/>
      <c r="F326" s="260"/>
      <c r="G326" s="259"/>
      <c r="H326" s="606"/>
      <c r="I326" s="606"/>
      <c r="J326" s="606"/>
    </row>
    <row r="327" spans="2:10" ht="13.15" thickBot="1">
      <c r="B327" s="217">
        <f t="shared" si="4"/>
        <v>44600</v>
      </c>
      <c r="C327" s="229">
        <f>'9.7_DF_Overview'!I325</f>
        <v>0</v>
      </c>
      <c r="D327" s="260"/>
      <c r="E327" s="260"/>
      <c r="F327" s="260"/>
      <c r="G327" s="259"/>
      <c r="H327" s="606"/>
      <c r="I327" s="606"/>
      <c r="J327" s="606"/>
    </row>
    <row r="328" spans="2:10" ht="13.15" thickBot="1">
      <c r="B328" s="217">
        <f t="shared" si="4"/>
        <v>44601</v>
      </c>
      <c r="C328" s="229">
        <f>'9.7_DF_Overview'!I326</f>
        <v>0</v>
      </c>
      <c r="D328" s="260"/>
      <c r="E328" s="260"/>
      <c r="F328" s="260"/>
      <c r="G328" s="259"/>
      <c r="H328" s="606"/>
      <c r="I328" s="606"/>
      <c r="J328" s="606"/>
    </row>
    <row r="329" spans="2:10" ht="13.15" thickBot="1">
      <c r="B329" s="217">
        <f t="shared" si="4"/>
        <v>44602</v>
      </c>
      <c r="C329" s="229">
        <f>'9.7_DF_Overview'!I327</f>
        <v>0</v>
      </c>
      <c r="D329" s="260"/>
      <c r="E329" s="260"/>
      <c r="F329" s="260"/>
      <c r="G329" s="259"/>
      <c r="H329" s="606"/>
      <c r="I329" s="606"/>
      <c r="J329" s="606"/>
    </row>
    <row r="330" spans="2:10" ht="13.15" thickBot="1">
      <c r="B330" s="217">
        <f t="shared" si="4"/>
        <v>44603</v>
      </c>
      <c r="C330" s="229">
        <f>'9.7_DF_Overview'!I328</f>
        <v>0</v>
      </c>
      <c r="D330" s="260"/>
      <c r="E330" s="260"/>
      <c r="F330" s="260"/>
      <c r="G330" s="259"/>
      <c r="H330" s="606"/>
      <c r="I330" s="606"/>
      <c r="J330" s="606"/>
    </row>
    <row r="331" spans="2:10" ht="13.15" thickBot="1">
      <c r="B331" s="217">
        <f t="shared" si="4"/>
        <v>44604</v>
      </c>
      <c r="C331" s="229">
        <f>'9.7_DF_Overview'!I329</f>
        <v>0</v>
      </c>
      <c r="D331" s="260"/>
      <c r="E331" s="260"/>
      <c r="F331" s="260"/>
      <c r="G331" s="259"/>
      <c r="H331" s="606"/>
      <c r="I331" s="606"/>
      <c r="J331" s="606"/>
    </row>
    <row r="332" spans="2:10" ht="13.15" thickBot="1">
      <c r="B332" s="217">
        <f t="shared" si="4"/>
        <v>44605</v>
      </c>
      <c r="C332" s="229">
        <f>'9.7_DF_Overview'!I330</f>
        <v>0</v>
      </c>
      <c r="D332" s="260"/>
      <c r="E332" s="260"/>
      <c r="F332" s="260"/>
      <c r="G332" s="259"/>
      <c r="H332" s="606"/>
      <c r="I332" s="606"/>
      <c r="J332" s="606"/>
    </row>
    <row r="333" spans="2:10" ht="13.15" thickBot="1">
      <c r="B333" s="217">
        <f t="shared" si="4"/>
        <v>44606</v>
      </c>
      <c r="C333" s="229">
        <f>'9.7_DF_Overview'!I331</f>
        <v>0</v>
      </c>
      <c r="D333" s="260"/>
      <c r="E333" s="260"/>
      <c r="F333" s="260"/>
      <c r="G333" s="259"/>
      <c r="H333" s="606"/>
      <c r="I333" s="606"/>
      <c r="J333" s="606"/>
    </row>
    <row r="334" spans="2:10" ht="13.15" thickBot="1">
      <c r="B334" s="217">
        <f t="shared" si="4"/>
        <v>44607</v>
      </c>
      <c r="C334" s="229">
        <f>'9.7_DF_Overview'!I332</f>
        <v>0</v>
      </c>
      <c r="D334" s="260"/>
      <c r="E334" s="260"/>
      <c r="F334" s="260"/>
      <c r="G334" s="259"/>
      <c r="H334" s="606"/>
      <c r="I334" s="606"/>
      <c r="J334" s="606"/>
    </row>
    <row r="335" spans="2:10" ht="13.15" thickBot="1">
      <c r="B335" s="217">
        <f t="shared" ref="B335:B378" si="5">B334+1</f>
        <v>44608</v>
      </c>
      <c r="C335" s="229">
        <f>'9.7_DF_Overview'!I333</f>
        <v>0</v>
      </c>
      <c r="D335" s="260"/>
      <c r="E335" s="260"/>
      <c r="F335" s="260"/>
      <c r="G335" s="259"/>
      <c r="H335" s="606"/>
      <c r="I335" s="606"/>
      <c r="J335" s="606"/>
    </row>
    <row r="336" spans="2:10" ht="13.15" thickBot="1">
      <c r="B336" s="217">
        <f t="shared" si="5"/>
        <v>44609</v>
      </c>
      <c r="C336" s="229">
        <f>'9.7_DF_Overview'!I334</f>
        <v>0</v>
      </c>
      <c r="D336" s="260"/>
      <c r="E336" s="260"/>
      <c r="F336" s="260"/>
      <c r="G336" s="259"/>
      <c r="H336" s="606"/>
      <c r="I336" s="606"/>
      <c r="J336" s="606"/>
    </row>
    <row r="337" spans="2:10" ht="13.15" thickBot="1">
      <c r="B337" s="217">
        <f t="shared" si="5"/>
        <v>44610</v>
      </c>
      <c r="C337" s="229">
        <f>'9.7_DF_Overview'!I335</f>
        <v>0</v>
      </c>
      <c r="D337" s="260"/>
      <c r="E337" s="260"/>
      <c r="F337" s="260"/>
      <c r="G337" s="259"/>
      <c r="H337" s="606"/>
      <c r="I337" s="606"/>
      <c r="J337" s="606"/>
    </row>
    <row r="338" spans="2:10" ht="13.15" thickBot="1">
      <c r="B338" s="217">
        <f t="shared" si="5"/>
        <v>44611</v>
      </c>
      <c r="C338" s="229">
        <f>'9.7_DF_Overview'!I336</f>
        <v>0</v>
      </c>
      <c r="D338" s="260"/>
      <c r="E338" s="260"/>
      <c r="F338" s="260"/>
      <c r="G338" s="259"/>
      <c r="H338" s="606"/>
      <c r="I338" s="606"/>
      <c r="J338" s="606"/>
    </row>
    <row r="339" spans="2:10" ht="13.15" thickBot="1">
      <c r="B339" s="217">
        <f t="shared" si="5"/>
        <v>44612</v>
      </c>
      <c r="C339" s="229">
        <f>'9.7_DF_Overview'!I337</f>
        <v>0</v>
      </c>
      <c r="D339" s="260"/>
      <c r="E339" s="260"/>
      <c r="F339" s="260"/>
      <c r="G339" s="259"/>
      <c r="H339" s="606"/>
      <c r="I339" s="606"/>
      <c r="J339" s="606"/>
    </row>
    <row r="340" spans="2:10" ht="13.15" thickBot="1">
      <c r="B340" s="217">
        <f t="shared" si="5"/>
        <v>44613</v>
      </c>
      <c r="C340" s="229">
        <f>'9.7_DF_Overview'!I338</f>
        <v>0</v>
      </c>
      <c r="D340" s="260"/>
      <c r="E340" s="260"/>
      <c r="F340" s="260"/>
      <c r="G340" s="259"/>
      <c r="H340" s="606"/>
      <c r="I340" s="606"/>
      <c r="J340" s="606"/>
    </row>
    <row r="341" spans="2:10" ht="13.15" thickBot="1">
      <c r="B341" s="217">
        <f t="shared" si="5"/>
        <v>44614</v>
      </c>
      <c r="C341" s="229">
        <f>'9.7_DF_Overview'!I339</f>
        <v>0</v>
      </c>
      <c r="D341" s="260"/>
      <c r="E341" s="260"/>
      <c r="F341" s="260"/>
      <c r="G341" s="259"/>
      <c r="H341" s="606"/>
      <c r="I341" s="606"/>
      <c r="J341" s="606"/>
    </row>
    <row r="342" spans="2:10" ht="13.15" thickBot="1">
      <c r="B342" s="217">
        <f t="shared" si="5"/>
        <v>44615</v>
      </c>
      <c r="C342" s="229">
        <f>'9.7_DF_Overview'!I340</f>
        <v>0</v>
      </c>
      <c r="D342" s="260"/>
      <c r="E342" s="260"/>
      <c r="F342" s="260"/>
      <c r="G342" s="259"/>
      <c r="H342" s="606"/>
      <c r="I342" s="606"/>
      <c r="J342" s="606"/>
    </row>
    <row r="343" spans="2:10" ht="13.15" thickBot="1">
      <c r="B343" s="217">
        <f t="shared" si="5"/>
        <v>44616</v>
      </c>
      <c r="C343" s="229">
        <f>'9.7_DF_Overview'!I341</f>
        <v>0</v>
      </c>
      <c r="D343" s="260"/>
      <c r="E343" s="260"/>
      <c r="F343" s="260"/>
      <c r="G343" s="259"/>
      <c r="H343" s="606"/>
      <c r="I343" s="606"/>
      <c r="J343" s="606"/>
    </row>
    <row r="344" spans="2:10" ht="13.15" thickBot="1">
      <c r="B344" s="217">
        <f t="shared" si="5"/>
        <v>44617</v>
      </c>
      <c r="C344" s="229">
        <f>'9.7_DF_Overview'!I342</f>
        <v>0</v>
      </c>
      <c r="D344" s="260"/>
      <c r="E344" s="260"/>
      <c r="F344" s="260"/>
      <c r="G344" s="259"/>
      <c r="H344" s="606"/>
      <c r="I344" s="606"/>
      <c r="J344" s="606"/>
    </row>
    <row r="345" spans="2:10" ht="13.15" thickBot="1">
      <c r="B345" s="217">
        <f t="shared" si="5"/>
        <v>44618</v>
      </c>
      <c r="C345" s="229">
        <f>'9.7_DF_Overview'!I343</f>
        <v>0</v>
      </c>
      <c r="D345" s="260"/>
      <c r="E345" s="260"/>
      <c r="F345" s="260"/>
      <c r="G345" s="259"/>
      <c r="H345" s="606"/>
      <c r="I345" s="606"/>
      <c r="J345" s="606"/>
    </row>
    <row r="346" spans="2:10" ht="13.15" thickBot="1">
      <c r="B346" s="217">
        <f t="shared" si="5"/>
        <v>44619</v>
      </c>
      <c r="C346" s="229">
        <f>'9.7_DF_Overview'!I344</f>
        <v>0</v>
      </c>
      <c r="D346" s="260"/>
      <c r="E346" s="260"/>
      <c r="F346" s="260"/>
      <c r="G346" s="259"/>
      <c r="H346" s="606"/>
      <c r="I346" s="606"/>
      <c r="J346" s="606"/>
    </row>
    <row r="347" spans="2:10" ht="13.15" thickBot="1">
      <c r="B347" s="217">
        <f t="shared" si="5"/>
        <v>44620</v>
      </c>
      <c r="C347" s="229">
        <f>'9.7_DF_Overview'!I345</f>
        <v>0</v>
      </c>
      <c r="D347" s="260"/>
      <c r="E347" s="260"/>
      <c r="F347" s="260"/>
      <c r="G347" s="259"/>
      <c r="H347" s="606"/>
      <c r="I347" s="606"/>
      <c r="J347" s="606"/>
    </row>
    <row r="348" spans="2:10" ht="13.15" thickBot="1">
      <c r="B348" s="217">
        <f t="shared" si="5"/>
        <v>44621</v>
      </c>
      <c r="C348" s="229">
        <f>'9.7_DF_Overview'!I346</f>
        <v>0</v>
      </c>
      <c r="D348" s="260"/>
      <c r="E348" s="260"/>
      <c r="F348" s="260"/>
      <c r="G348" s="259"/>
      <c r="H348" s="606"/>
      <c r="I348" s="606"/>
      <c r="J348" s="606"/>
    </row>
    <row r="349" spans="2:10" ht="13.15" thickBot="1">
      <c r="B349" s="217">
        <f t="shared" si="5"/>
        <v>44622</v>
      </c>
      <c r="C349" s="229">
        <f>'9.7_DF_Overview'!I347</f>
        <v>0</v>
      </c>
      <c r="D349" s="260"/>
      <c r="E349" s="260"/>
      <c r="F349" s="260"/>
      <c r="G349" s="259"/>
      <c r="H349" s="606"/>
      <c r="I349" s="606"/>
      <c r="J349" s="606"/>
    </row>
    <row r="350" spans="2:10" ht="13.15" thickBot="1">
      <c r="B350" s="217">
        <f t="shared" si="5"/>
        <v>44623</v>
      </c>
      <c r="C350" s="229">
        <f>'9.7_DF_Overview'!I348</f>
        <v>0</v>
      </c>
      <c r="D350" s="260"/>
      <c r="E350" s="260"/>
      <c r="F350" s="260"/>
      <c r="G350" s="259"/>
      <c r="H350" s="606"/>
      <c r="I350" s="606"/>
      <c r="J350" s="606"/>
    </row>
    <row r="351" spans="2:10" ht="13.15" thickBot="1">
      <c r="B351" s="217">
        <f t="shared" si="5"/>
        <v>44624</v>
      </c>
      <c r="C351" s="229">
        <f>'9.7_DF_Overview'!I349</f>
        <v>0</v>
      </c>
      <c r="D351" s="260"/>
      <c r="E351" s="260"/>
      <c r="F351" s="260"/>
      <c r="G351" s="259"/>
      <c r="H351" s="606"/>
      <c r="I351" s="606"/>
      <c r="J351" s="606"/>
    </row>
    <row r="352" spans="2:10" ht="13.15" thickBot="1">
      <c r="B352" s="217">
        <f t="shared" si="5"/>
        <v>44625</v>
      </c>
      <c r="C352" s="229">
        <f>'9.7_DF_Overview'!I350</f>
        <v>0</v>
      </c>
      <c r="D352" s="260"/>
      <c r="E352" s="260"/>
      <c r="F352" s="260"/>
      <c r="G352" s="259"/>
      <c r="H352" s="606"/>
      <c r="I352" s="606"/>
      <c r="J352" s="606"/>
    </row>
    <row r="353" spans="2:10" ht="13.15" thickBot="1">
      <c r="B353" s="217">
        <f t="shared" si="5"/>
        <v>44626</v>
      </c>
      <c r="C353" s="229">
        <f>'9.7_DF_Overview'!I351</f>
        <v>0</v>
      </c>
      <c r="D353" s="260"/>
      <c r="E353" s="260"/>
      <c r="F353" s="260"/>
      <c r="G353" s="259"/>
      <c r="H353" s="606"/>
      <c r="I353" s="606"/>
      <c r="J353" s="606"/>
    </row>
    <row r="354" spans="2:10" ht="13.15" thickBot="1">
      <c r="B354" s="217">
        <f t="shared" si="5"/>
        <v>44627</v>
      </c>
      <c r="C354" s="229">
        <f>'9.7_DF_Overview'!I352</f>
        <v>0</v>
      </c>
      <c r="D354" s="260"/>
      <c r="E354" s="260"/>
      <c r="F354" s="260"/>
      <c r="G354" s="259"/>
      <c r="H354" s="606"/>
      <c r="I354" s="606"/>
      <c r="J354" s="606"/>
    </row>
    <row r="355" spans="2:10" ht="13.15" thickBot="1">
      <c r="B355" s="217">
        <f t="shared" si="5"/>
        <v>44628</v>
      </c>
      <c r="C355" s="229">
        <f>'9.7_DF_Overview'!I353</f>
        <v>0</v>
      </c>
      <c r="D355" s="260"/>
      <c r="E355" s="260"/>
      <c r="F355" s="260"/>
      <c r="G355" s="259"/>
      <c r="H355" s="606"/>
      <c r="I355" s="606"/>
      <c r="J355" s="606"/>
    </row>
    <row r="356" spans="2:10" ht="13.15" thickBot="1">
      <c r="B356" s="217">
        <f t="shared" si="5"/>
        <v>44629</v>
      </c>
      <c r="C356" s="229">
        <f>'9.7_DF_Overview'!I354</f>
        <v>0</v>
      </c>
      <c r="D356" s="260"/>
      <c r="E356" s="260"/>
      <c r="F356" s="260"/>
      <c r="G356" s="259"/>
      <c r="H356" s="606"/>
      <c r="I356" s="606"/>
      <c r="J356" s="606"/>
    </row>
    <row r="357" spans="2:10" ht="13.15" thickBot="1">
      <c r="B357" s="217">
        <f t="shared" si="5"/>
        <v>44630</v>
      </c>
      <c r="C357" s="229">
        <f>'9.7_DF_Overview'!I355</f>
        <v>0</v>
      </c>
      <c r="D357" s="260"/>
      <c r="E357" s="260"/>
      <c r="F357" s="260"/>
      <c r="G357" s="259"/>
      <c r="H357" s="606"/>
      <c r="I357" s="606"/>
      <c r="J357" s="606"/>
    </row>
    <row r="358" spans="2:10" ht="13.15" thickBot="1">
      <c r="B358" s="217">
        <f t="shared" si="5"/>
        <v>44631</v>
      </c>
      <c r="C358" s="229">
        <f>'9.7_DF_Overview'!I356</f>
        <v>0</v>
      </c>
      <c r="D358" s="260"/>
      <c r="E358" s="260"/>
      <c r="F358" s="260"/>
      <c r="G358" s="259"/>
      <c r="H358" s="606"/>
      <c r="I358" s="606"/>
      <c r="J358" s="606"/>
    </row>
    <row r="359" spans="2:10" ht="13.15" thickBot="1">
      <c r="B359" s="217">
        <f t="shared" si="5"/>
        <v>44632</v>
      </c>
      <c r="C359" s="229">
        <f>'9.7_DF_Overview'!I357</f>
        <v>0</v>
      </c>
      <c r="D359" s="260"/>
      <c r="E359" s="260"/>
      <c r="F359" s="260"/>
      <c r="G359" s="259"/>
      <c r="H359" s="606"/>
      <c r="I359" s="606"/>
      <c r="J359" s="606"/>
    </row>
    <row r="360" spans="2:10" ht="13.15" thickBot="1">
      <c r="B360" s="217">
        <f t="shared" si="5"/>
        <v>44633</v>
      </c>
      <c r="C360" s="229">
        <f>'9.7_DF_Overview'!I358</f>
        <v>0</v>
      </c>
      <c r="D360" s="260"/>
      <c r="E360" s="260"/>
      <c r="F360" s="260"/>
      <c r="G360" s="259"/>
      <c r="H360" s="606"/>
      <c r="I360" s="606"/>
      <c r="J360" s="606"/>
    </row>
    <row r="361" spans="2:10" ht="13.15" thickBot="1">
      <c r="B361" s="217">
        <f t="shared" si="5"/>
        <v>44634</v>
      </c>
      <c r="C361" s="229">
        <f>'9.7_DF_Overview'!I359</f>
        <v>0</v>
      </c>
      <c r="D361" s="260"/>
      <c r="E361" s="260"/>
      <c r="F361" s="260"/>
      <c r="G361" s="259"/>
      <c r="H361" s="606"/>
      <c r="I361" s="606"/>
      <c r="J361" s="606"/>
    </row>
    <row r="362" spans="2:10" ht="13.15" thickBot="1">
      <c r="B362" s="217">
        <f t="shared" si="5"/>
        <v>44635</v>
      </c>
      <c r="C362" s="229">
        <f>'9.7_DF_Overview'!I360</f>
        <v>0</v>
      </c>
      <c r="D362" s="260"/>
      <c r="E362" s="260"/>
      <c r="F362" s="260"/>
      <c r="G362" s="259"/>
      <c r="H362" s="606"/>
      <c r="I362" s="606"/>
      <c r="J362" s="606"/>
    </row>
    <row r="363" spans="2:10" ht="13.15" thickBot="1">
      <c r="B363" s="217">
        <f t="shared" si="5"/>
        <v>44636</v>
      </c>
      <c r="C363" s="229">
        <f>'9.7_DF_Overview'!I361</f>
        <v>0</v>
      </c>
      <c r="D363" s="260"/>
      <c r="E363" s="260"/>
      <c r="F363" s="260"/>
      <c r="G363" s="259"/>
      <c r="H363" s="606"/>
      <c r="I363" s="606"/>
      <c r="J363" s="606"/>
    </row>
    <row r="364" spans="2:10" ht="13.15" thickBot="1">
      <c r="B364" s="217">
        <f t="shared" si="5"/>
        <v>44637</v>
      </c>
      <c r="C364" s="229">
        <f>'9.7_DF_Overview'!I362</f>
        <v>0</v>
      </c>
      <c r="D364" s="260"/>
      <c r="E364" s="260"/>
      <c r="F364" s="260"/>
      <c r="G364" s="259"/>
      <c r="H364" s="606"/>
      <c r="I364" s="606"/>
      <c r="J364" s="606"/>
    </row>
    <row r="365" spans="2:10" ht="13.15" thickBot="1">
      <c r="B365" s="217">
        <f t="shared" si="5"/>
        <v>44638</v>
      </c>
      <c r="C365" s="229">
        <f>'9.7_DF_Overview'!I363</f>
        <v>0</v>
      </c>
      <c r="D365" s="260"/>
      <c r="E365" s="260"/>
      <c r="F365" s="260"/>
      <c r="G365" s="259"/>
      <c r="H365" s="606"/>
      <c r="I365" s="606"/>
      <c r="J365" s="606"/>
    </row>
    <row r="366" spans="2:10" ht="13.15" thickBot="1">
      <c r="B366" s="217">
        <f t="shared" si="5"/>
        <v>44639</v>
      </c>
      <c r="C366" s="229">
        <f>'9.7_DF_Overview'!I364</f>
        <v>0</v>
      </c>
      <c r="D366" s="260"/>
      <c r="E366" s="260"/>
      <c r="F366" s="260"/>
      <c r="G366" s="259"/>
      <c r="H366" s="606"/>
      <c r="I366" s="606"/>
      <c r="J366" s="606"/>
    </row>
    <row r="367" spans="2:10" ht="13.15" thickBot="1">
      <c r="B367" s="217">
        <f t="shared" si="5"/>
        <v>44640</v>
      </c>
      <c r="C367" s="229">
        <f>'9.7_DF_Overview'!I365</f>
        <v>0</v>
      </c>
      <c r="D367" s="260"/>
      <c r="E367" s="260"/>
      <c r="F367" s="260"/>
      <c r="G367" s="259"/>
      <c r="H367" s="606"/>
      <c r="I367" s="606"/>
      <c r="J367" s="606"/>
    </row>
    <row r="368" spans="2:10" ht="13.15" thickBot="1">
      <c r="B368" s="217">
        <f t="shared" si="5"/>
        <v>44641</v>
      </c>
      <c r="C368" s="229">
        <f>'9.7_DF_Overview'!I366</f>
        <v>0</v>
      </c>
      <c r="D368" s="260"/>
      <c r="E368" s="260"/>
      <c r="F368" s="260"/>
      <c r="G368" s="259"/>
      <c r="H368" s="606"/>
      <c r="I368" s="606"/>
      <c r="J368" s="606"/>
    </row>
    <row r="369" spans="2:10" ht="13.15" thickBot="1">
      <c r="B369" s="217">
        <f t="shared" si="5"/>
        <v>44642</v>
      </c>
      <c r="C369" s="229">
        <f>'9.7_DF_Overview'!I367</f>
        <v>0</v>
      </c>
      <c r="D369" s="260"/>
      <c r="E369" s="260"/>
      <c r="F369" s="260"/>
      <c r="G369" s="259"/>
      <c r="H369" s="606"/>
      <c r="I369" s="606"/>
      <c r="J369" s="606"/>
    </row>
    <row r="370" spans="2:10" ht="13.15" thickBot="1">
      <c r="B370" s="217">
        <f t="shared" si="5"/>
        <v>44643</v>
      </c>
      <c r="C370" s="229">
        <f>'9.7_DF_Overview'!I368</f>
        <v>0</v>
      </c>
      <c r="D370" s="260"/>
      <c r="E370" s="260"/>
      <c r="F370" s="260"/>
      <c r="G370" s="259"/>
      <c r="H370" s="606"/>
      <c r="I370" s="606"/>
      <c r="J370" s="606"/>
    </row>
    <row r="371" spans="2:10" ht="13.15" thickBot="1">
      <c r="B371" s="217">
        <f t="shared" si="5"/>
        <v>44644</v>
      </c>
      <c r="C371" s="229">
        <f>'9.7_DF_Overview'!I369</f>
        <v>0</v>
      </c>
      <c r="D371" s="260"/>
      <c r="E371" s="260"/>
      <c r="F371" s="260"/>
      <c r="G371" s="259"/>
      <c r="H371" s="606"/>
      <c r="I371" s="606"/>
      <c r="J371" s="606"/>
    </row>
    <row r="372" spans="2:10" ht="13.15" thickBot="1">
      <c r="B372" s="217">
        <f t="shared" si="5"/>
        <v>44645</v>
      </c>
      <c r="C372" s="229">
        <f>'9.7_DF_Overview'!I370</f>
        <v>0</v>
      </c>
      <c r="D372" s="260"/>
      <c r="E372" s="260"/>
      <c r="F372" s="260"/>
      <c r="G372" s="259"/>
      <c r="H372" s="606"/>
      <c r="I372" s="606"/>
      <c r="J372" s="606"/>
    </row>
    <row r="373" spans="2:10" ht="13.15" thickBot="1">
      <c r="B373" s="217">
        <f t="shared" si="5"/>
        <v>44646</v>
      </c>
      <c r="C373" s="229">
        <f>'9.7_DF_Overview'!I371</f>
        <v>0</v>
      </c>
      <c r="D373" s="260"/>
      <c r="E373" s="260"/>
      <c r="F373" s="260"/>
      <c r="G373" s="259"/>
      <c r="H373" s="606"/>
      <c r="I373" s="606"/>
      <c r="J373" s="606"/>
    </row>
    <row r="374" spans="2:10" ht="13.15" thickBot="1">
      <c r="B374" s="217">
        <f t="shared" si="5"/>
        <v>44647</v>
      </c>
      <c r="C374" s="229">
        <f>'9.7_DF_Overview'!I372</f>
        <v>0</v>
      </c>
      <c r="D374" s="260"/>
      <c r="E374" s="260"/>
      <c r="F374" s="260"/>
      <c r="G374" s="259"/>
      <c r="H374" s="606"/>
      <c r="I374" s="606"/>
      <c r="J374" s="606"/>
    </row>
    <row r="375" spans="2:10" ht="13.15" thickBot="1">
      <c r="B375" s="217">
        <f t="shared" si="5"/>
        <v>44648</v>
      </c>
      <c r="C375" s="229">
        <f>'9.7_DF_Overview'!I373</f>
        <v>0</v>
      </c>
      <c r="D375" s="260"/>
      <c r="E375" s="260"/>
      <c r="F375" s="260"/>
      <c r="G375" s="259"/>
      <c r="H375" s="606"/>
      <c r="I375" s="606"/>
      <c r="J375" s="606"/>
    </row>
    <row r="376" spans="2:10" ht="13.15" thickBot="1">
      <c r="B376" s="217">
        <f t="shared" si="5"/>
        <v>44649</v>
      </c>
      <c r="C376" s="229">
        <f>'9.7_DF_Overview'!I374</f>
        <v>0</v>
      </c>
      <c r="D376" s="260"/>
      <c r="E376" s="260"/>
      <c r="F376" s="260"/>
      <c r="G376" s="259"/>
      <c r="H376" s="606"/>
      <c r="I376" s="606"/>
      <c r="J376" s="606"/>
    </row>
    <row r="377" spans="2:10" ht="13.15" thickBot="1">
      <c r="B377" s="217">
        <f t="shared" si="5"/>
        <v>44650</v>
      </c>
      <c r="C377" s="229">
        <f>'9.7_DF_Overview'!I375</f>
        <v>0</v>
      </c>
      <c r="D377" s="260"/>
      <c r="E377" s="260"/>
      <c r="F377" s="260"/>
      <c r="G377" s="259"/>
      <c r="H377" s="606"/>
      <c r="I377" s="606"/>
      <c r="J377" s="606"/>
    </row>
    <row r="378" spans="2:10">
      <c r="B378" s="217">
        <f t="shared" si="5"/>
        <v>44651</v>
      </c>
      <c r="C378" s="229">
        <f>'9.7_DF_Overview'!I376</f>
        <v>0</v>
      </c>
      <c r="D378" s="260"/>
      <c r="E378" s="260"/>
      <c r="F378" s="260"/>
      <c r="G378" s="259"/>
      <c r="H378" s="606"/>
      <c r="I378" s="606"/>
      <c r="J378" s="606"/>
    </row>
    <row r="379" spans="2:10" ht="13.15" thickBot="1">
      <c r="B379" s="214"/>
      <c r="C379" s="258"/>
      <c r="D379" s="257"/>
      <c r="E379" s="257"/>
      <c r="F379" s="257"/>
      <c r="G379" s="256"/>
      <c r="H379" s="606"/>
      <c r="I379" s="606"/>
      <c r="J379" s="606"/>
    </row>
    <row r="380" spans="2:10">
      <c r="H380" s="159"/>
      <c r="I380" s="159"/>
      <c r="J380" s="159"/>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zoomScale="80" zoomScaleNormal="80" workbookViewId="0"/>
  </sheetViews>
  <sheetFormatPr defaultColWidth="10.265625" defaultRowHeight="12.75"/>
  <cols>
    <col min="1" max="1" width="5.86328125" style="151" customWidth="1"/>
    <col min="2" max="2" width="12.59765625" style="151" customWidth="1"/>
    <col min="3" max="3" width="16.73046875" style="151" customWidth="1"/>
    <col min="4" max="4" width="13.73046875" style="151" customWidth="1"/>
    <col min="5" max="5" width="18.59765625" style="151" customWidth="1"/>
    <col min="6" max="6" width="17.265625" style="151" customWidth="1"/>
    <col min="7" max="7" width="14.3984375" style="151" customWidth="1"/>
    <col min="8" max="8" width="15.1328125" style="151" customWidth="1"/>
    <col min="9" max="9" width="10.265625" style="151"/>
    <col min="10" max="10" width="16.59765625" style="151" customWidth="1"/>
    <col min="11" max="11" width="17.86328125" style="151" customWidth="1"/>
    <col min="12" max="12" width="10.265625" style="151"/>
    <col min="13" max="13" width="15.59765625" style="151" customWidth="1"/>
    <col min="14" max="14" width="21.86328125" style="151" customWidth="1"/>
    <col min="15" max="15" width="17.1328125" style="151" customWidth="1"/>
    <col min="16" max="16" width="17.73046875" style="151" customWidth="1"/>
    <col min="17" max="16384" width="10.265625" style="151"/>
  </cols>
  <sheetData>
    <row r="1" spans="1:23" s="73" customFormat="1" ht="23.25">
      <c r="A1" s="89" t="str">
        <f>'1.1 Cover'!A2</f>
        <v>Regulatory Reporting Pack</v>
      </c>
    </row>
    <row r="2" spans="1:23" s="73" customFormat="1" ht="23.25">
      <c r="A2" s="89" t="str">
        <f>'1.1 Cover'!A3</f>
        <v>Price base - 2018/19</v>
      </c>
    </row>
    <row r="3" spans="1:23" s="73" customFormat="1" ht="23.25">
      <c r="A3" s="89" t="str">
        <f>'1.1 Cover'!A4</f>
        <v>Regulatory Year: April 2021 - March 2022</v>
      </c>
    </row>
    <row r="4" spans="1:23" s="73" customFormat="1" ht="23.25">
      <c r="A4" s="89" t="s">
        <v>1324</v>
      </c>
    </row>
    <row r="5" spans="1:23" s="310" customFormat="1" ht="15">
      <c r="F5" s="311"/>
      <c r="G5" s="312"/>
      <c r="H5" s="313"/>
      <c r="I5" s="313"/>
      <c r="J5" s="313"/>
      <c r="K5" s="313"/>
      <c r="L5" s="313"/>
      <c r="M5" s="313"/>
      <c r="N5" s="313"/>
      <c r="O5" s="313"/>
      <c r="P5" s="313"/>
      <c r="Q5" s="313"/>
      <c r="R5" s="313"/>
      <c r="S5" s="313"/>
      <c r="T5" s="313"/>
      <c r="U5" s="313"/>
      <c r="V5" s="313"/>
      <c r="W5" s="313"/>
    </row>
    <row r="6" spans="1:23" s="310" customFormat="1" ht="15">
      <c r="F6" s="311"/>
      <c r="G6" s="312"/>
      <c r="H6" s="313"/>
      <c r="I6" s="313"/>
      <c r="J6" s="313"/>
      <c r="K6" s="313"/>
      <c r="L6" s="313"/>
      <c r="M6" s="313"/>
      <c r="N6" s="313"/>
      <c r="O6" s="313"/>
      <c r="P6" s="313"/>
      <c r="Q6" s="313"/>
      <c r="R6" s="313"/>
      <c r="S6" s="313"/>
      <c r="T6" s="313"/>
      <c r="U6" s="313"/>
      <c r="V6" s="313"/>
      <c r="W6" s="313"/>
    </row>
    <row r="7" spans="1:23" s="310" customFormat="1" ht="15">
      <c r="F7" s="313"/>
      <c r="H7" s="313"/>
      <c r="I7" s="313"/>
      <c r="J7" s="313"/>
      <c r="K7" s="313"/>
      <c r="L7" s="313"/>
      <c r="M7" s="313"/>
      <c r="N7" s="313"/>
      <c r="O7" s="313"/>
      <c r="P7" s="313"/>
      <c r="Q7" s="313"/>
      <c r="R7" s="313"/>
      <c r="S7" s="313"/>
      <c r="T7" s="313"/>
      <c r="U7" s="313"/>
      <c r="V7" s="313"/>
      <c r="W7" s="313"/>
    </row>
    <row r="8" spans="1:23" ht="39.4">
      <c r="B8" s="1436"/>
      <c r="C8" s="635"/>
      <c r="D8" s="159"/>
      <c r="E8" s="1398" t="s">
        <v>1071</v>
      </c>
      <c r="F8" s="490" t="s">
        <v>1727</v>
      </c>
      <c r="G8" s="490" t="s">
        <v>1730</v>
      </c>
      <c r="H8" s="466" t="s">
        <v>1732</v>
      </c>
      <c r="I8" s="159"/>
      <c r="J8" s="1437" t="s">
        <v>1071</v>
      </c>
      <c r="K8" s="466" t="s">
        <v>1253</v>
      </c>
      <c r="L8" s="159"/>
      <c r="M8" s="466" t="s">
        <v>1252</v>
      </c>
      <c r="N8" s="466" t="s">
        <v>1251</v>
      </c>
      <c r="O8" s="467" t="s">
        <v>1250</v>
      </c>
      <c r="P8" s="467" t="s">
        <v>1249</v>
      </c>
      <c r="Q8" s="159"/>
      <c r="R8" s="159"/>
      <c r="S8" s="159"/>
    </row>
    <row r="9" spans="1:23" ht="14.65">
      <c r="B9" s="1436"/>
      <c r="C9" s="1440"/>
      <c r="D9" s="159"/>
      <c r="E9" s="1399"/>
      <c r="F9" s="490" t="s">
        <v>1728</v>
      </c>
      <c r="G9" s="1441" t="s">
        <v>1731</v>
      </c>
      <c r="H9" s="466" t="s">
        <v>1733</v>
      </c>
      <c r="I9" s="159"/>
      <c r="J9" s="1438"/>
      <c r="K9" s="466" t="s">
        <v>1248</v>
      </c>
      <c r="L9" s="159"/>
      <c r="M9" s="466" t="s">
        <v>1247</v>
      </c>
      <c r="N9" s="466" t="s">
        <v>1246</v>
      </c>
      <c r="O9" s="466" t="s">
        <v>1245</v>
      </c>
      <c r="P9" s="468" t="s">
        <v>1244</v>
      </c>
      <c r="Q9" s="159"/>
      <c r="R9" s="159"/>
      <c r="S9" s="159"/>
    </row>
    <row r="10" spans="1:23" ht="23.25">
      <c r="B10" s="1436"/>
      <c r="C10" s="1440"/>
      <c r="D10" s="159"/>
      <c r="E10" s="1400"/>
      <c r="F10" s="281" t="s">
        <v>1729</v>
      </c>
      <c r="G10" s="1441"/>
      <c r="H10" s="469">
        <v>25</v>
      </c>
      <c r="I10" s="159"/>
      <c r="J10" s="1439"/>
      <c r="K10" s="470" t="s">
        <v>1726</v>
      </c>
      <c r="L10" s="159"/>
      <c r="M10" s="470" t="s">
        <v>1243</v>
      </c>
      <c r="N10" s="470" t="s">
        <v>1242</v>
      </c>
      <c r="O10" s="468" t="s">
        <v>1069</v>
      </c>
      <c r="P10" s="468" t="s">
        <v>1069</v>
      </c>
      <c r="Q10" s="159"/>
      <c r="R10" s="159"/>
      <c r="S10" s="159"/>
    </row>
    <row r="11" spans="1:23" ht="13.15">
      <c r="B11" s="636"/>
      <c r="C11" s="637"/>
      <c r="D11" s="159"/>
      <c r="E11" s="203">
        <v>44287</v>
      </c>
      <c r="F11" s="280"/>
      <c r="G11" s="280"/>
      <c r="H11" s="159"/>
      <c r="I11" s="159"/>
      <c r="J11" s="471">
        <v>44287</v>
      </c>
      <c r="K11" s="472">
        <f>SUM('9.11_GHG_Venting_data'!E10:E16)</f>
        <v>0</v>
      </c>
      <c r="L11" s="159"/>
      <c r="M11" s="473">
        <v>2897</v>
      </c>
      <c r="N11" s="474">
        <f>F23*H10</f>
        <v>0</v>
      </c>
      <c r="O11" s="474">
        <f>(M11-K23)*N11</f>
        <v>0</v>
      </c>
      <c r="P11" s="474">
        <f>MIN(1.5,(MAX(O11,-1.5)))</f>
        <v>0</v>
      </c>
      <c r="Q11" s="159"/>
      <c r="R11" s="159"/>
      <c r="S11" s="159"/>
    </row>
    <row r="12" spans="1:23" ht="13.15">
      <c r="B12" s="636"/>
      <c r="C12" s="637"/>
      <c r="D12" s="159"/>
      <c r="E12" s="203">
        <v>44317</v>
      </c>
      <c r="F12" s="280"/>
      <c r="G12" s="280"/>
      <c r="H12" s="159"/>
      <c r="I12" s="159"/>
      <c r="J12" s="471">
        <v>44317</v>
      </c>
      <c r="K12" s="472">
        <f>SUM('9.11_GHG_Venting_data'!F10:F16)</f>
        <v>0</v>
      </c>
      <c r="L12" s="159"/>
      <c r="M12" s="159"/>
      <c r="N12" s="159"/>
      <c r="O12" s="159"/>
      <c r="P12" s="159"/>
      <c r="Q12" s="159"/>
      <c r="R12" s="159"/>
      <c r="S12" s="159"/>
    </row>
    <row r="13" spans="1:23" ht="13.15">
      <c r="B13" s="636"/>
      <c r="C13" s="637"/>
      <c r="D13" s="159"/>
      <c r="E13" s="203">
        <v>44348</v>
      </c>
      <c r="F13" s="280"/>
      <c r="G13" s="280"/>
      <c r="H13" s="159"/>
      <c r="I13" s="159"/>
      <c r="J13" s="471">
        <v>44348</v>
      </c>
      <c r="K13" s="472">
        <f>SUM('9.11_GHG_Venting_data'!G10:G16)</f>
        <v>0</v>
      </c>
      <c r="L13" s="159"/>
      <c r="M13" s="159"/>
      <c r="N13" s="159"/>
      <c r="O13" s="159"/>
      <c r="P13" s="159"/>
      <c r="Q13" s="159"/>
      <c r="R13" s="159"/>
      <c r="S13" s="159"/>
    </row>
    <row r="14" spans="1:23" ht="13.15">
      <c r="B14" s="636"/>
      <c r="C14" s="637"/>
      <c r="D14" s="159"/>
      <c r="E14" s="203">
        <v>44378</v>
      </c>
      <c r="F14" s="280"/>
      <c r="G14" s="280"/>
      <c r="H14" s="159"/>
      <c r="I14" s="159"/>
      <c r="J14" s="471">
        <v>44378</v>
      </c>
      <c r="K14" s="472">
        <f>SUM('9.11_GHG_Venting_data'!H10:H16)</f>
        <v>0</v>
      </c>
      <c r="L14" s="378"/>
      <c r="M14" s="378"/>
      <c r="N14" s="378"/>
      <c r="O14" s="159"/>
      <c r="P14" s="159"/>
      <c r="Q14" s="159"/>
      <c r="R14" s="159"/>
      <c r="S14" s="159"/>
    </row>
    <row r="15" spans="1:23" ht="13.15">
      <c r="B15" s="636"/>
      <c r="C15" s="637"/>
      <c r="D15" s="159"/>
      <c r="E15" s="203">
        <v>44409</v>
      </c>
      <c r="F15" s="280"/>
      <c r="G15" s="280"/>
      <c r="H15" s="159"/>
      <c r="I15" s="159"/>
      <c r="J15" s="471">
        <v>44409</v>
      </c>
      <c r="K15" s="472">
        <f>SUM('9.11_GHG_Venting_data'!I10:I16)</f>
        <v>0</v>
      </c>
      <c r="L15" s="422"/>
      <c r="M15" s="422"/>
      <c r="N15" s="422"/>
      <c r="O15" s="159"/>
      <c r="P15" s="159"/>
      <c r="Q15" s="159"/>
      <c r="R15" s="159"/>
      <c r="S15" s="159"/>
    </row>
    <row r="16" spans="1:23" ht="13.15">
      <c r="B16" s="636"/>
      <c r="C16" s="637"/>
      <c r="D16" s="159"/>
      <c r="E16" s="203">
        <v>44440</v>
      </c>
      <c r="F16" s="280"/>
      <c r="G16" s="280"/>
      <c r="H16" s="159"/>
      <c r="I16" s="159"/>
      <c r="J16" s="471">
        <v>44440</v>
      </c>
      <c r="K16" s="472">
        <f>SUM('9.11_GHG_Venting_data'!J10:J16)</f>
        <v>0</v>
      </c>
      <c r="L16" s="378"/>
      <c r="M16" s="378"/>
      <c r="N16" s="378"/>
      <c r="O16" s="159"/>
      <c r="P16" s="159"/>
      <c r="Q16" s="159"/>
      <c r="R16" s="159"/>
      <c r="S16" s="159"/>
    </row>
    <row r="17" spans="2:19" ht="13.15">
      <c r="B17" s="636"/>
      <c r="C17" s="637"/>
      <c r="D17" s="159"/>
      <c r="E17" s="203">
        <v>44470</v>
      </c>
      <c r="F17" s="280"/>
      <c r="G17" s="280"/>
      <c r="H17" s="159"/>
      <c r="I17" s="159"/>
      <c r="J17" s="471">
        <v>44470</v>
      </c>
      <c r="K17" s="472">
        <f>SUM('9.11_GHG_Venting_data'!K10:K16)</f>
        <v>0</v>
      </c>
      <c r="L17" s="159"/>
      <c r="M17" s="159"/>
      <c r="N17" s="159"/>
      <c r="O17" s="159"/>
      <c r="P17" s="159"/>
      <c r="Q17" s="159"/>
      <c r="R17" s="159"/>
      <c r="S17" s="159"/>
    </row>
    <row r="18" spans="2:19" ht="13.15">
      <c r="B18" s="636"/>
      <c r="C18" s="637"/>
      <c r="D18" s="159"/>
      <c r="E18" s="203">
        <v>44501</v>
      </c>
      <c r="F18" s="280"/>
      <c r="G18" s="280"/>
      <c r="H18" s="159"/>
      <c r="I18" s="159"/>
      <c r="J18" s="471">
        <v>44501</v>
      </c>
      <c r="K18" s="472">
        <f>SUM('9.11_GHG_Venting_data'!L10:L16)</f>
        <v>0</v>
      </c>
      <c r="L18" s="159"/>
      <c r="M18" s="159"/>
      <c r="N18" s="159"/>
      <c r="O18" s="159"/>
      <c r="P18" s="159"/>
      <c r="Q18" s="159"/>
      <c r="R18" s="159"/>
      <c r="S18" s="159"/>
    </row>
    <row r="19" spans="2:19" ht="13.15">
      <c r="B19" s="636"/>
      <c r="C19" s="637"/>
      <c r="D19" s="159"/>
      <c r="E19" s="203">
        <v>44531</v>
      </c>
      <c r="F19" s="280"/>
      <c r="G19" s="280"/>
      <c r="H19" s="159"/>
      <c r="I19" s="159"/>
      <c r="J19" s="471">
        <v>44531</v>
      </c>
      <c r="K19" s="472">
        <f>SUM('9.11_GHG_Venting_data'!M10:M16)</f>
        <v>0</v>
      </c>
      <c r="L19" s="159"/>
      <c r="M19" s="159"/>
      <c r="N19" s="159"/>
      <c r="O19" s="159"/>
      <c r="P19" s="159"/>
      <c r="Q19" s="159"/>
      <c r="R19" s="159"/>
      <c r="S19" s="159"/>
    </row>
    <row r="20" spans="2:19" ht="13.15">
      <c r="B20" s="636"/>
      <c r="C20" s="637"/>
      <c r="D20" s="159"/>
      <c r="E20" s="203">
        <v>44562</v>
      </c>
      <c r="F20" s="280"/>
      <c r="G20" s="280"/>
      <c r="H20" s="159"/>
      <c r="I20" s="159"/>
      <c r="J20" s="471">
        <v>44562</v>
      </c>
      <c r="K20" s="472">
        <f>SUM('9.11_GHG_Venting_data'!N10:N16)</f>
        <v>0</v>
      </c>
      <c r="L20" s="159"/>
      <c r="M20" s="159"/>
      <c r="N20" s="159"/>
      <c r="O20" s="159"/>
      <c r="P20" s="159"/>
      <c r="Q20" s="159"/>
      <c r="R20" s="159"/>
      <c r="S20" s="159"/>
    </row>
    <row r="21" spans="2:19" ht="13.15">
      <c r="B21" s="636"/>
      <c r="C21" s="637"/>
      <c r="D21" s="159"/>
      <c r="E21" s="203">
        <v>44593</v>
      </c>
      <c r="F21" s="280"/>
      <c r="G21" s="280"/>
      <c r="H21" s="159"/>
      <c r="I21" s="159"/>
      <c r="J21" s="471">
        <v>44593</v>
      </c>
      <c r="K21" s="472">
        <f>SUM('9.11_GHG_Venting_data'!O10:O16)</f>
        <v>0</v>
      </c>
      <c r="L21" s="159"/>
      <c r="M21" s="159"/>
      <c r="N21" s="159"/>
      <c r="O21" s="159"/>
      <c r="P21" s="159"/>
      <c r="Q21" s="159"/>
      <c r="R21" s="159"/>
      <c r="S21" s="159"/>
    </row>
    <row r="22" spans="2:19" ht="13.15">
      <c r="B22" s="636"/>
      <c r="C22" s="637"/>
      <c r="D22" s="159"/>
      <c r="E22" s="203">
        <v>44621</v>
      </c>
      <c r="F22" s="280"/>
      <c r="G22" s="280"/>
      <c r="H22" s="159"/>
      <c r="I22" s="159"/>
      <c r="J22" s="471">
        <v>44621</v>
      </c>
      <c r="K22" s="472">
        <f>SUM('9.11_GHG_Venting_data'!P10:P16)</f>
        <v>0</v>
      </c>
      <c r="L22" s="159"/>
      <c r="M22" s="159"/>
      <c r="N22" s="159"/>
      <c r="O22" s="159"/>
      <c r="P22" s="159"/>
      <c r="Q22" s="159"/>
      <c r="R22" s="159"/>
      <c r="S22" s="159"/>
    </row>
    <row r="23" spans="2:19" ht="27" customHeight="1">
      <c r="B23" s="638"/>
      <c r="C23" s="639"/>
      <c r="D23" s="159"/>
      <c r="E23" s="490" t="s">
        <v>1734</v>
      </c>
      <c r="F23" s="1434">
        <f>(((F11*G11)+(F12*G12)+(F13*G13)+(F14*G14)+(F15*G15)+(F16*G16)+(F17*G17)+(F18*G18)+(F19*G19)+(F20*G20)+(F21*G21)+(F22*G22))/12)</f>
        <v>0</v>
      </c>
      <c r="G23" s="1435"/>
      <c r="H23" s="159"/>
      <c r="I23" s="159"/>
      <c r="J23" s="475" t="s">
        <v>1241</v>
      </c>
      <c r="K23" s="476">
        <f>SUM(K11:K22)</f>
        <v>0</v>
      </c>
      <c r="L23" s="159"/>
      <c r="M23" s="159"/>
      <c r="N23" s="159"/>
      <c r="O23" s="159"/>
      <c r="P23" s="159"/>
      <c r="Q23" s="159"/>
      <c r="R23" s="159"/>
      <c r="S23" s="159"/>
    </row>
    <row r="24" spans="2:19">
      <c r="B24" s="640"/>
      <c r="C24" s="378"/>
      <c r="D24" s="159"/>
      <c r="E24" s="159"/>
      <c r="F24" s="159"/>
      <c r="G24" s="159"/>
      <c r="H24" s="159"/>
      <c r="I24" s="159"/>
      <c r="J24" s="159"/>
      <c r="K24" s="159"/>
      <c r="L24" s="159"/>
      <c r="M24" s="159"/>
      <c r="N24" s="159"/>
      <c r="O24" s="159"/>
      <c r="P24" s="159"/>
      <c r="Q24" s="159"/>
      <c r="R24" s="159"/>
      <c r="S24" s="159"/>
    </row>
    <row r="25" spans="2:19">
      <c r="C25" s="159"/>
      <c r="D25" s="159"/>
      <c r="H25" s="159"/>
      <c r="I25" s="159"/>
      <c r="J25" s="159"/>
      <c r="K25" s="159"/>
      <c r="L25" s="159"/>
      <c r="M25" s="159"/>
      <c r="N25" s="159"/>
      <c r="O25" s="159"/>
      <c r="P25" s="159"/>
      <c r="Q25" s="159"/>
      <c r="R25" s="159"/>
      <c r="S25" s="159"/>
    </row>
    <row r="26" spans="2:19">
      <c r="C26" s="159"/>
      <c r="H26" s="159"/>
      <c r="I26" s="159"/>
      <c r="J26" s="159"/>
      <c r="K26" s="159"/>
      <c r="L26" s="159"/>
      <c r="M26" s="159"/>
      <c r="N26" s="159"/>
      <c r="O26" s="159"/>
      <c r="P26" s="159"/>
      <c r="Q26" s="159"/>
      <c r="R26" s="159"/>
      <c r="S26" s="159"/>
    </row>
    <row r="27" spans="2:19" ht="49.7" customHeight="1">
      <c r="B27" s="243" t="s">
        <v>1108</v>
      </c>
      <c r="C27" s="243"/>
      <c r="D27" s="243"/>
      <c r="E27" s="243"/>
      <c r="F27" s="243"/>
      <c r="G27" s="243"/>
      <c r="H27" s="477"/>
      <c r="I27" s="477"/>
      <c r="J27" s="477"/>
      <c r="K27" s="477"/>
      <c r="L27" s="159"/>
      <c r="M27" s="159"/>
      <c r="N27" s="159"/>
      <c r="O27" s="159"/>
      <c r="P27" s="159"/>
      <c r="Q27" s="159"/>
      <c r="R27" s="159"/>
      <c r="S27" s="159"/>
    </row>
    <row r="28" spans="2:19">
      <c r="H28" s="159"/>
      <c r="I28" s="159"/>
      <c r="J28" s="159"/>
      <c r="K28" s="159"/>
      <c r="L28" s="159"/>
      <c r="M28" s="159"/>
      <c r="N28" s="159"/>
      <c r="O28" s="159"/>
      <c r="P28" s="159"/>
      <c r="Q28" s="159"/>
      <c r="R28" s="159"/>
      <c r="S28" s="159"/>
    </row>
  </sheetData>
  <mergeCells count="6">
    <mergeCell ref="F23:G2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18"/>
  <sheetViews>
    <sheetView showGridLines="0" zoomScale="80" zoomScaleNormal="80" workbookViewId="0">
      <pane ySplit="4" topLeftCell="A5" activePane="bottomLeft" state="frozen"/>
      <selection activeCell="D31" sqref="D31"/>
      <selection pane="bottomLeft"/>
    </sheetView>
  </sheetViews>
  <sheetFormatPr defaultColWidth="10.265625" defaultRowHeight="13.15"/>
  <cols>
    <col min="1" max="1" width="6.59765625" style="172" customWidth="1"/>
    <col min="2" max="2" width="22.73046875" style="172" bestFit="1" customWidth="1"/>
    <col min="3" max="3" width="7.73046875" style="172" bestFit="1" customWidth="1"/>
    <col min="4" max="4" width="13" style="172" bestFit="1" customWidth="1"/>
    <col min="5" max="16" width="9.73046875" style="172" customWidth="1"/>
    <col min="17" max="17" width="9.73046875" style="175" customWidth="1"/>
    <col min="18" max="16384" width="10.265625" style="172"/>
  </cols>
  <sheetData>
    <row r="1" spans="1:23" s="73" customFormat="1" ht="23.25">
      <c r="A1" s="89" t="str">
        <f>'1.1 Cover'!A2</f>
        <v>Regulatory Reporting Pack</v>
      </c>
    </row>
    <row r="2" spans="1:23" s="73" customFormat="1" ht="23.25">
      <c r="A2" s="89" t="str">
        <f>'1.1 Cover'!A3</f>
        <v>Price base - 2018/19</v>
      </c>
    </row>
    <row r="3" spans="1:23" s="73" customFormat="1" ht="23.25">
      <c r="A3" s="89" t="str">
        <f>'1.1 Cover'!A4</f>
        <v>Regulatory Year: April 2021 - March 2022</v>
      </c>
    </row>
    <row r="4" spans="1:23" s="73" customFormat="1" ht="23.25">
      <c r="A4" s="89" t="s">
        <v>1322</v>
      </c>
    </row>
    <row r="5" spans="1:23" s="310" customFormat="1" ht="15">
      <c r="F5" s="311"/>
      <c r="G5" s="312"/>
      <c r="H5" s="313"/>
      <c r="I5" s="313"/>
      <c r="J5" s="313"/>
      <c r="K5" s="313"/>
      <c r="L5" s="313"/>
      <c r="M5" s="313"/>
      <c r="N5" s="313"/>
      <c r="O5" s="313"/>
      <c r="P5" s="313"/>
      <c r="Q5" s="313"/>
      <c r="R5" s="313"/>
      <c r="S5" s="313"/>
      <c r="T5" s="313"/>
      <c r="U5" s="313"/>
      <c r="V5" s="313"/>
      <c r="W5" s="313"/>
    </row>
    <row r="6" spans="1:23" s="310" customFormat="1" ht="15">
      <c r="F6" s="311"/>
      <c r="G6" s="312"/>
      <c r="H6" s="313"/>
      <c r="I6" s="313"/>
      <c r="J6" s="313"/>
      <c r="K6" s="313"/>
      <c r="L6" s="313"/>
      <c r="M6" s="313"/>
      <c r="N6" s="313"/>
      <c r="O6" s="313"/>
      <c r="P6" s="313"/>
      <c r="Q6" s="313"/>
      <c r="R6" s="313"/>
      <c r="S6" s="313"/>
      <c r="T6" s="313"/>
      <c r="U6" s="313"/>
      <c r="V6" s="313"/>
      <c r="W6" s="313"/>
    </row>
    <row r="7" spans="1:23" s="310" customFormat="1" ht="15.4" thickBot="1">
      <c r="F7" s="313"/>
      <c r="H7" s="313"/>
      <c r="I7" s="313"/>
      <c r="J7" s="313"/>
      <c r="K7" s="313"/>
      <c r="L7" s="313"/>
      <c r="M7" s="313"/>
      <c r="N7" s="313"/>
      <c r="O7" s="313"/>
      <c r="P7" s="313"/>
      <c r="Q7" s="313"/>
      <c r="R7" s="313"/>
      <c r="S7" s="313"/>
      <c r="T7" s="313"/>
      <c r="U7" s="313"/>
      <c r="V7" s="313"/>
      <c r="W7" s="313"/>
    </row>
    <row r="8" spans="1:23" ht="26.45" customHeight="1" thickBot="1">
      <c r="B8" s="284" t="s">
        <v>1282</v>
      </c>
      <c r="E8" s="1442" t="s">
        <v>1890</v>
      </c>
      <c r="F8" s="1443"/>
      <c r="G8" s="1443"/>
      <c r="H8" s="1443"/>
      <c r="I8" s="1443"/>
      <c r="J8" s="1443"/>
      <c r="K8" s="1443"/>
      <c r="L8" s="1443"/>
      <c r="M8" s="1443"/>
      <c r="N8" s="1443"/>
      <c r="O8" s="1443"/>
      <c r="P8" s="1443"/>
      <c r="Q8" s="1444"/>
    </row>
    <row r="9" spans="1:23" ht="14.65" thickBot="1">
      <c r="B9" s="641" t="s">
        <v>66</v>
      </c>
      <c r="C9" s="642"/>
      <c r="D9" s="643"/>
      <c r="E9" s="153">
        <v>44287</v>
      </c>
      <c r="F9" s="153">
        <v>44317</v>
      </c>
      <c r="G9" s="153">
        <v>44348</v>
      </c>
      <c r="H9" s="153">
        <v>44378</v>
      </c>
      <c r="I9" s="153">
        <v>44409</v>
      </c>
      <c r="J9" s="153">
        <v>44440</v>
      </c>
      <c r="K9" s="153">
        <v>44470</v>
      </c>
      <c r="L9" s="153">
        <v>44501</v>
      </c>
      <c r="M9" s="153">
        <v>44531</v>
      </c>
      <c r="N9" s="153">
        <v>44562</v>
      </c>
      <c r="O9" s="153">
        <v>44593</v>
      </c>
      <c r="P9" s="153">
        <v>44621</v>
      </c>
      <c r="Q9" s="296" t="s">
        <v>1055</v>
      </c>
    </row>
    <row r="10" spans="1:23" ht="12.75">
      <c r="B10" s="295" t="s">
        <v>1281</v>
      </c>
      <c r="C10" s="173"/>
      <c r="D10" s="294"/>
      <c r="E10" s="644"/>
      <c r="F10" s="645"/>
      <c r="G10" s="645"/>
      <c r="H10" s="645"/>
      <c r="I10" s="645"/>
      <c r="J10" s="645"/>
      <c r="K10" s="645"/>
      <c r="L10" s="645"/>
      <c r="M10" s="645"/>
      <c r="N10" s="645"/>
      <c r="O10" s="645"/>
      <c r="P10" s="646"/>
      <c r="Q10" s="480">
        <f t="shared" ref="Q10:Q17" si="0">SUM(E10:P10)</f>
        <v>0</v>
      </c>
    </row>
    <row r="11" spans="1:23" ht="12.75">
      <c r="B11" s="290" t="s">
        <v>1280</v>
      </c>
      <c r="C11" s="289"/>
      <c r="D11" s="288"/>
      <c r="E11" s="647"/>
      <c r="F11" s="648"/>
      <c r="G11" s="648"/>
      <c r="H11" s="648"/>
      <c r="I11" s="648"/>
      <c r="J11" s="648"/>
      <c r="K11" s="648"/>
      <c r="L11" s="648"/>
      <c r="M11" s="648"/>
      <c r="N11" s="648"/>
      <c r="O11" s="648"/>
      <c r="P11" s="649"/>
      <c r="Q11" s="481">
        <f t="shared" si="0"/>
        <v>0</v>
      </c>
    </row>
    <row r="12" spans="1:23" ht="12.75">
      <c r="B12" s="290" t="s">
        <v>1279</v>
      </c>
      <c r="C12" s="289"/>
      <c r="D12" s="288"/>
      <c r="E12" s="647"/>
      <c r="F12" s="648"/>
      <c r="G12" s="648"/>
      <c r="H12" s="648"/>
      <c r="I12" s="648"/>
      <c r="J12" s="648"/>
      <c r="K12" s="648"/>
      <c r="L12" s="648"/>
      <c r="M12" s="648"/>
      <c r="N12" s="648"/>
      <c r="O12" s="648"/>
      <c r="P12" s="649"/>
      <c r="Q12" s="481">
        <f t="shared" si="0"/>
        <v>0</v>
      </c>
    </row>
    <row r="13" spans="1:23" ht="12.75">
      <c r="B13" s="290" t="s">
        <v>1278</v>
      </c>
      <c r="C13" s="289"/>
      <c r="D13" s="288"/>
      <c r="E13" s="647"/>
      <c r="F13" s="648"/>
      <c r="G13" s="648"/>
      <c r="H13" s="648"/>
      <c r="I13" s="648"/>
      <c r="J13" s="648"/>
      <c r="K13" s="648"/>
      <c r="L13" s="648"/>
      <c r="M13" s="648"/>
      <c r="N13" s="648"/>
      <c r="O13" s="648"/>
      <c r="P13" s="649"/>
      <c r="Q13" s="481">
        <f t="shared" si="0"/>
        <v>0</v>
      </c>
    </row>
    <row r="14" spans="1:23" ht="12.75">
      <c r="B14" s="290" t="s">
        <v>1277</v>
      </c>
      <c r="C14" s="289"/>
      <c r="D14" s="288"/>
      <c r="E14" s="647"/>
      <c r="F14" s="648"/>
      <c r="G14" s="648"/>
      <c r="H14" s="648"/>
      <c r="I14" s="648"/>
      <c r="J14" s="648"/>
      <c r="K14" s="648"/>
      <c r="L14" s="648"/>
      <c r="M14" s="648"/>
      <c r="N14" s="648"/>
      <c r="O14" s="648"/>
      <c r="P14" s="649"/>
      <c r="Q14" s="481">
        <f t="shared" si="0"/>
        <v>0</v>
      </c>
    </row>
    <row r="15" spans="1:23" ht="12.75">
      <c r="B15" s="290" t="s">
        <v>1276</v>
      </c>
      <c r="C15" s="289"/>
      <c r="D15" s="288"/>
      <c r="E15" s="647"/>
      <c r="F15" s="648"/>
      <c r="G15" s="648"/>
      <c r="H15" s="648"/>
      <c r="I15" s="648"/>
      <c r="J15" s="648"/>
      <c r="K15" s="648"/>
      <c r="L15" s="648"/>
      <c r="M15" s="648"/>
      <c r="N15" s="648"/>
      <c r="O15" s="648"/>
      <c r="P15" s="649"/>
      <c r="Q15" s="481">
        <f t="shared" si="0"/>
        <v>0</v>
      </c>
    </row>
    <row r="16" spans="1:23" ht="12.75">
      <c r="B16" s="293" t="s">
        <v>1275</v>
      </c>
      <c r="C16" s="292"/>
      <c r="D16" s="291"/>
      <c r="E16" s="650"/>
      <c r="F16" s="651"/>
      <c r="G16" s="651"/>
      <c r="H16" s="651"/>
      <c r="I16" s="651"/>
      <c r="J16" s="651"/>
      <c r="K16" s="651"/>
      <c r="L16" s="651"/>
      <c r="M16" s="651"/>
      <c r="N16" s="651"/>
      <c r="O16" s="651"/>
      <c r="P16" s="652"/>
      <c r="Q16" s="482">
        <f t="shared" si="0"/>
        <v>0</v>
      </c>
    </row>
    <row r="17" spans="2:17" thickBot="1">
      <c r="B17" s="290" t="s">
        <v>1274</v>
      </c>
      <c r="C17" s="289"/>
      <c r="D17" s="288"/>
      <c r="E17" s="647"/>
      <c r="F17" s="648"/>
      <c r="G17" s="648"/>
      <c r="H17" s="648"/>
      <c r="I17" s="648"/>
      <c r="J17" s="648"/>
      <c r="K17" s="648"/>
      <c r="L17" s="648"/>
      <c r="M17" s="648"/>
      <c r="N17" s="648"/>
      <c r="O17" s="648"/>
      <c r="P17" s="649"/>
      <c r="Q17" s="481">
        <f t="shared" si="0"/>
        <v>0</v>
      </c>
    </row>
    <row r="18" spans="2:17" thickBot="1">
      <c r="B18" s="287" t="s">
        <v>1055</v>
      </c>
      <c r="C18" s="286"/>
      <c r="D18" s="285"/>
      <c r="E18" s="478">
        <f t="shared" ref="E18:Q18" si="1">SUM(E10:E17)</f>
        <v>0</v>
      </c>
      <c r="F18" s="478">
        <f t="shared" si="1"/>
        <v>0</v>
      </c>
      <c r="G18" s="478">
        <f t="shared" si="1"/>
        <v>0</v>
      </c>
      <c r="H18" s="478">
        <f t="shared" si="1"/>
        <v>0</v>
      </c>
      <c r="I18" s="478">
        <f t="shared" si="1"/>
        <v>0</v>
      </c>
      <c r="J18" s="478">
        <f t="shared" si="1"/>
        <v>0</v>
      </c>
      <c r="K18" s="478">
        <f t="shared" si="1"/>
        <v>0</v>
      </c>
      <c r="L18" s="478">
        <f t="shared" si="1"/>
        <v>0</v>
      </c>
      <c r="M18" s="478">
        <f t="shared" si="1"/>
        <v>0</v>
      </c>
      <c r="N18" s="478">
        <f t="shared" si="1"/>
        <v>0</v>
      </c>
      <c r="O18" s="478">
        <f t="shared" si="1"/>
        <v>0</v>
      </c>
      <c r="P18" s="478">
        <f t="shared" si="1"/>
        <v>0</v>
      </c>
      <c r="Q18" s="479">
        <f t="shared" si="1"/>
        <v>0</v>
      </c>
    </row>
    <row r="19" spans="2:17" ht="13.5" thickBot="1">
      <c r="B19" s="158"/>
      <c r="C19" s="158"/>
      <c r="D19" s="158"/>
      <c r="E19" s="158"/>
    </row>
    <row r="20" spans="2:17" ht="27.75" customHeight="1" thickBot="1">
      <c r="B20" s="284" t="s">
        <v>1273</v>
      </c>
      <c r="E20" s="1442" t="s">
        <v>1890</v>
      </c>
      <c r="F20" s="1443"/>
      <c r="G20" s="1443"/>
      <c r="H20" s="1443"/>
      <c r="I20" s="1443"/>
      <c r="J20" s="1443"/>
      <c r="K20" s="1443"/>
      <c r="L20" s="1443"/>
      <c r="M20" s="1443"/>
      <c r="N20" s="1443"/>
      <c r="O20" s="1443"/>
      <c r="P20" s="1443"/>
      <c r="Q20" s="1444"/>
    </row>
    <row r="21" spans="2:17" ht="14.65" thickBot="1">
      <c r="B21" s="653" t="s">
        <v>1272</v>
      </c>
      <c r="C21" s="654" t="s">
        <v>5</v>
      </c>
      <c r="D21" s="655" t="s">
        <v>1271</v>
      </c>
      <c r="E21" s="283">
        <f t="shared" ref="E21:P21" si="2">E9</f>
        <v>44287</v>
      </c>
      <c r="F21" s="283">
        <f t="shared" si="2"/>
        <v>44317</v>
      </c>
      <c r="G21" s="283">
        <f t="shared" si="2"/>
        <v>44348</v>
      </c>
      <c r="H21" s="283">
        <f t="shared" si="2"/>
        <v>44378</v>
      </c>
      <c r="I21" s="283">
        <f t="shared" si="2"/>
        <v>44409</v>
      </c>
      <c r="J21" s="283">
        <f t="shared" si="2"/>
        <v>44440</v>
      </c>
      <c r="K21" s="283">
        <f t="shared" si="2"/>
        <v>44470</v>
      </c>
      <c r="L21" s="283">
        <f t="shared" si="2"/>
        <v>44501</v>
      </c>
      <c r="M21" s="283">
        <f t="shared" si="2"/>
        <v>44531</v>
      </c>
      <c r="N21" s="283">
        <f t="shared" si="2"/>
        <v>44562</v>
      </c>
      <c r="O21" s="283">
        <f t="shared" si="2"/>
        <v>44593</v>
      </c>
      <c r="P21" s="283">
        <f t="shared" si="2"/>
        <v>44621</v>
      </c>
      <c r="Q21" s="282" t="s">
        <v>1055</v>
      </c>
    </row>
    <row r="22" spans="2:17" ht="12.75">
      <c r="B22" s="656" t="s">
        <v>979</v>
      </c>
      <c r="C22" s="657" t="s">
        <v>1257</v>
      </c>
      <c r="D22" s="658" t="s">
        <v>1256</v>
      </c>
      <c r="E22" s="659"/>
      <c r="F22" s="660"/>
      <c r="G22" s="660"/>
      <c r="H22" s="660"/>
      <c r="I22" s="660"/>
      <c r="J22" s="660"/>
      <c r="K22" s="660"/>
      <c r="L22" s="660"/>
      <c r="M22" s="660"/>
      <c r="N22" s="660"/>
      <c r="O22" s="660"/>
      <c r="P22" s="661"/>
      <c r="Q22" s="483">
        <f t="shared" ref="Q22:Q85" si="3">SUM(E22:P22)</f>
        <v>0</v>
      </c>
    </row>
    <row r="23" spans="2:17" ht="12.75">
      <c r="B23" s="662" t="s">
        <v>979</v>
      </c>
      <c r="C23" s="663" t="s">
        <v>261</v>
      </c>
      <c r="D23" s="658" t="s">
        <v>1256</v>
      </c>
      <c r="E23" s="647"/>
      <c r="F23" s="648"/>
      <c r="G23" s="648"/>
      <c r="H23" s="648"/>
      <c r="I23" s="648"/>
      <c r="J23" s="648"/>
      <c r="K23" s="648"/>
      <c r="L23" s="648"/>
      <c r="M23" s="648"/>
      <c r="N23" s="648"/>
      <c r="O23" s="648"/>
      <c r="P23" s="664"/>
      <c r="Q23" s="483">
        <f t="shared" si="3"/>
        <v>0</v>
      </c>
    </row>
    <row r="24" spans="2:17" ht="12.75">
      <c r="B24" s="662" t="s">
        <v>979</v>
      </c>
      <c r="C24" s="663" t="s">
        <v>1255</v>
      </c>
      <c r="D24" s="658" t="s">
        <v>1256</v>
      </c>
      <c r="E24" s="647"/>
      <c r="F24" s="648"/>
      <c r="G24" s="648"/>
      <c r="H24" s="648"/>
      <c r="I24" s="648"/>
      <c r="J24" s="648"/>
      <c r="K24" s="648"/>
      <c r="L24" s="648"/>
      <c r="M24" s="648"/>
      <c r="N24" s="648"/>
      <c r="O24" s="648"/>
      <c r="P24" s="664"/>
      <c r="Q24" s="483">
        <f t="shared" si="3"/>
        <v>0</v>
      </c>
    </row>
    <row r="25" spans="2:17" ht="12.75">
      <c r="B25" s="662" t="s">
        <v>979</v>
      </c>
      <c r="C25" s="663" t="s">
        <v>249</v>
      </c>
      <c r="D25" s="658"/>
      <c r="E25" s="647"/>
      <c r="F25" s="648"/>
      <c r="G25" s="648"/>
      <c r="H25" s="648"/>
      <c r="I25" s="648"/>
      <c r="J25" s="648"/>
      <c r="K25" s="648"/>
      <c r="L25" s="648"/>
      <c r="M25" s="648"/>
      <c r="N25" s="648"/>
      <c r="O25" s="648"/>
      <c r="P25" s="664"/>
      <c r="Q25" s="483">
        <f t="shared" si="3"/>
        <v>0</v>
      </c>
    </row>
    <row r="26" spans="2:17" ht="12.75">
      <c r="B26" s="662" t="s">
        <v>989</v>
      </c>
      <c r="C26" s="663" t="s">
        <v>1257</v>
      </c>
      <c r="D26" s="658" t="s">
        <v>1256</v>
      </c>
      <c r="E26" s="647"/>
      <c r="F26" s="648"/>
      <c r="G26" s="648"/>
      <c r="H26" s="648"/>
      <c r="I26" s="648"/>
      <c r="J26" s="648"/>
      <c r="K26" s="648"/>
      <c r="L26" s="648"/>
      <c r="M26" s="648"/>
      <c r="N26" s="648"/>
      <c r="O26" s="648"/>
      <c r="P26" s="664"/>
      <c r="Q26" s="483">
        <f t="shared" si="3"/>
        <v>0</v>
      </c>
    </row>
    <row r="27" spans="2:17" ht="12.75">
      <c r="B27" s="662" t="s">
        <v>989</v>
      </c>
      <c r="C27" s="663" t="s">
        <v>261</v>
      </c>
      <c r="D27" s="658" t="s">
        <v>1256</v>
      </c>
      <c r="E27" s="647"/>
      <c r="F27" s="648"/>
      <c r="G27" s="648"/>
      <c r="H27" s="648"/>
      <c r="I27" s="648"/>
      <c r="J27" s="648"/>
      <c r="K27" s="648"/>
      <c r="L27" s="648"/>
      <c r="M27" s="648"/>
      <c r="N27" s="648"/>
      <c r="O27" s="648"/>
      <c r="P27" s="664"/>
      <c r="Q27" s="483">
        <f t="shared" si="3"/>
        <v>0</v>
      </c>
    </row>
    <row r="28" spans="2:17" ht="12.75">
      <c r="B28" s="662" t="s">
        <v>989</v>
      </c>
      <c r="C28" s="663" t="s">
        <v>1255</v>
      </c>
      <c r="D28" s="658" t="s">
        <v>1256</v>
      </c>
      <c r="E28" s="647"/>
      <c r="F28" s="648"/>
      <c r="G28" s="648"/>
      <c r="H28" s="648"/>
      <c r="I28" s="648"/>
      <c r="J28" s="648"/>
      <c r="K28" s="648"/>
      <c r="L28" s="648"/>
      <c r="M28" s="648"/>
      <c r="N28" s="648"/>
      <c r="O28" s="648"/>
      <c r="P28" s="664"/>
      <c r="Q28" s="483">
        <f t="shared" si="3"/>
        <v>0</v>
      </c>
    </row>
    <row r="29" spans="2:17" ht="12.75">
      <c r="B29" s="662" t="s">
        <v>989</v>
      </c>
      <c r="C29" s="663" t="s">
        <v>249</v>
      </c>
      <c r="D29" s="658"/>
      <c r="E29" s="647"/>
      <c r="F29" s="648"/>
      <c r="G29" s="648"/>
      <c r="H29" s="648"/>
      <c r="I29" s="648"/>
      <c r="J29" s="648"/>
      <c r="K29" s="648"/>
      <c r="L29" s="648"/>
      <c r="M29" s="648"/>
      <c r="N29" s="648"/>
      <c r="O29" s="648"/>
      <c r="P29" s="664"/>
      <c r="Q29" s="483">
        <f t="shared" si="3"/>
        <v>0</v>
      </c>
    </row>
    <row r="30" spans="2:17" ht="12.75">
      <c r="B30" s="662" t="s">
        <v>981</v>
      </c>
      <c r="C30" s="663" t="s">
        <v>1267</v>
      </c>
      <c r="D30" s="658" t="s">
        <v>1256</v>
      </c>
      <c r="E30" s="647"/>
      <c r="F30" s="648"/>
      <c r="G30" s="648"/>
      <c r="H30" s="648"/>
      <c r="I30" s="648"/>
      <c r="J30" s="648"/>
      <c r="K30" s="648"/>
      <c r="L30" s="648"/>
      <c r="M30" s="648"/>
      <c r="N30" s="648"/>
      <c r="O30" s="648"/>
      <c r="P30" s="664"/>
      <c r="Q30" s="483">
        <f t="shared" si="3"/>
        <v>0</v>
      </c>
    </row>
    <row r="31" spans="2:17" ht="12.75">
      <c r="B31" s="662" t="s">
        <v>981</v>
      </c>
      <c r="C31" s="663" t="s">
        <v>1266</v>
      </c>
      <c r="D31" s="658" t="s">
        <v>1256</v>
      </c>
      <c r="E31" s="647"/>
      <c r="F31" s="648"/>
      <c r="G31" s="648"/>
      <c r="H31" s="648"/>
      <c r="I31" s="648"/>
      <c r="J31" s="648"/>
      <c r="K31" s="648"/>
      <c r="L31" s="648"/>
      <c r="M31" s="648"/>
      <c r="N31" s="648"/>
      <c r="O31" s="648"/>
      <c r="P31" s="664"/>
      <c r="Q31" s="483">
        <f t="shared" si="3"/>
        <v>0</v>
      </c>
    </row>
    <row r="32" spans="2:17" ht="12.75">
      <c r="B32" s="662" t="s">
        <v>981</v>
      </c>
      <c r="C32" s="663" t="s">
        <v>1263</v>
      </c>
      <c r="D32" s="658" t="s">
        <v>1256</v>
      </c>
      <c r="E32" s="647"/>
      <c r="F32" s="648"/>
      <c r="G32" s="648"/>
      <c r="H32" s="648"/>
      <c r="I32" s="648"/>
      <c r="J32" s="648"/>
      <c r="K32" s="648"/>
      <c r="L32" s="648"/>
      <c r="M32" s="648"/>
      <c r="N32" s="648"/>
      <c r="O32" s="648"/>
      <c r="P32" s="664"/>
      <c r="Q32" s="483">
        <f t="shared" si="3"/>
        <v>0</v>
      </c>
    </row>
    <row r="33" spans="2:17" ht="12.75">
      <c r="B33" s="662" t="s">
        <v>981</v>
      </c>
      <c r="C33" s="663" t="s">
        <v>1262</v>
      </c>
      <c r="D33" s="658" t="s">
        <v>1256</v>
      </c>
      <c r="E33" s="647"/>
      <c r="F33" s="648"/>
      <c r="G33" s="648"/>
      <c r="H33" s="648"/>
      <c r="I33" s="648"/>
      <c r="J33" s="648"/>
      <c r="K33" s="648"/>
      <c r="L33" s="648"/>
      <c r="M33" s="648"/>
      <c r="N33" s="648"/>
      <c r="O33" s="648"/>
      <c r="P33" s="664"/>
      <c r="Q33" s="483">
        <f t="shared" si="3"/>
        <v>0</v>
      </c>
    </row>
    <row r="34" spans="2:17" ht="12.75">
      <c r="B34" s="662" t="s">
        <v>981</v>
      </c>
      <c r="C34" s="663" t="s">
        <v>249</v>
      </c>
      <c r="D34" s="658"/>
      <c r="E34" s="647"/>
      <c r="F34" s="648"/>
      <c r="G34" s="648"/>
      <c r="H34" s="648"/>
      <c r="I34" s="648"/>
      <c r="J34" s="648"/>
      <c r="K34" s="648"/>
      <c r="L34" s="648"/>
      <c r="M34" s="648"/>
      <c r="N34" s="648"/>
      <c r="O34" s="648"/>
      <c r="P34" s="664"/>
      <c r="Q34" s="483">
        <f t="shared" si="3"/>
        <v>0</v>
      </c>
    </row>
    <row r="35" spans="2:17" ht="12.75">
      <c r="B35" s="662" t="s">
        <v>990</v>
      </c>
      <c r="C35" s="663" t="s">
        <v>1257</v>
      </c>
      <c r="D35" s="658" t="s">
        <v>1256</v>
      </c>
      <c r="E35" s="647"/>
      <c r="F35" s="648"/>
      <c r="G35" s="648"/>
      <c r="H35" s="648"/>
      <c r="I35" s="648"/>
      <c r="J35" s="648"/>
      <c r="K35" s="648"/>
      <c r="L35" s="648"/>
      <c r="M35" s="648"/>
      <c r="N35" s="648"/>
      <c r="O35" s="648"/>
      <c r="P35" s="664"/>
      <c r="Q35" s="483">
        <f t="shared" si="3"/>
        <v>0</v>
      </c>
    </row>
    <row r="36" spans="2:17" ht="12.75">
      <c r="B36" s="662" t="s">
        <v>990</v>
      </c>
      <c r="C36" s="663" t="s">
        <v>261</v>
      </c>
      <c r="D36" s="658" t="s">
        <v>1256</v>
      </c>
      <c r="E36" s="647"/>
      <c r="F36" s="648"/>
      <c r="G36" s="648"/>
      <c r="H36" s="648"/>
      <c r="I36" s="648"/>
      <c r="J36" s="648"/>
      <c r="K36" s="648"/>
      <c r="L36" s="648"/>
      <c r="M36" s="648"/>
      <c r="N36" s="648"/>
      <c r="O36" s="648"/>
      <c r="P36" s="664"/>
      <c r="Q36" s="483">
        <f t="shared" si="3"/>
        <v>0</v>
      </c>
    </row>
    <row r="37" spans="2:17" ht="12.75">
      <c r="B37" s="662" t="s">
        <v>990</v>
      </c>
      <c r="C37" s="663" t="s">
        <v>249</v>
      </c>
      <c r="D37" s="658"/>
      <c r="E37" s="647"/>
      <c r="F37" s="648"/>
      <c r="G37" s="648"/>
      <c r="H37" s="648"/>
      <c r="I37" s="648"/>
      <c r="J37" s="648"/>
      <c r="K37" s="648"/>
      <c r="L37" s="648"/>
      <c r="M37" s="648"/>
      <c r="N37" s="648"/>
      <c r="O37" s="648"/>
      <c r="P37" s="664"/>
      <c r="Q37" s="483">
        <f t="shared" si="3"/>
        <v>0</v>
      </c>
    </row>
    <row r="38" spans="2:17" ht="12.75">
      <c r="B38" s="662" t="s">
        <v>258</v>
      </c>
      <c r="C38" s="663" t="s">
        <v>1257</v>
      </c>
      <c r="D38" s="658" t="s">
        <v>1256</v>
      </c>
      <c r="E38" s="647"/>
      <c r="F38" s="648"/>
      <c r="G38" s="648"/>
      <c r="H38" s="648"/>
      <c r="I38" s="648"/>
      <c r="J38" s="648"/>
      <c r="K38" s="648"/>
      <c r="L38" s="648"/>
      <c r="M38" s="648"/>
      <c r="N38" s="648"/>
      <c r="O38" s="648"/>
      <c r="P38" s="664"/>
      <c r="Q38" s="483">
        <f t="shared" si="3"/>
        <v>0</v>
      </c>
    </row>
    <row r="39" spans="2:17" ht="12.75">
      <c r="B39" s="662" t="s">
        <v>258</v>
      </c>
      <c r="C39" s="663" t="s">
        <v>261</v>
      </c>
      <c r="D39" s="658" t="s">
        <v>1256</v>
      </c>
      <c r="E39" s="647"/>
      <c r="F39" s="648"/>
      <c r="G39" s="648"/>
      <c r="H39" s="648"/>
      <c r="I39" s="648"/>
      <c r="J39" s="648"/>
      <c r="K39" s="648"/>
      <c r="L39" s="648"/>
      <c r="M39" s="648"/>
      <c r="N39" s="648"/>
      <c r="O39" s="648"/>
      <c r="P39" s="664"/>
      <c r="Q39" s="483">
        <f t="shared" si="3"/>
        <v>0</v>
      </c>
    </row>
    <row r="40" spans="2:17" ht="12.75">
      <c r="B40" s="662" t="s">
        <v>258</v>
      </c>
      <c r="C40" s="663" t="s">
        <v>249</v>
      </c>
      <c r="D40" s="658"/>
      <c r="E40" s="647"/>
      <c r="F40" s="648"/>
      <c r="G40" s="648"/>
      <c r="H40" s="648"/>
      <c r="I40" s="648"/>
      <c r="J40" s="648"/>
      <c r="K40" s="648"/>
      <c r="L40" s="648"/>
      <c r="M40" s="648"/>
      <c r="N40" s="648"/>
      <c r="O40" s="648"/>
      <c r="P40" s="664"/>
      <c r="Q40" s="483">
        <f t="shared" si="3"/>
        <v>0</v>
      </c>
    </row>
    <row r="41" spans="2:17" ht="12.75">
      <c r="B41" s="662" t="s">
        <v>988</v>
      </c>
      <c r="C41" s="663" t="s">
        <v>1257</v>
      </c>
      <c r="D41" s="658" t="s">
        <v>1256</v>
      </c>
      <c r="E41" s="647"/>
      <c r="F41" s="648"/>
      <c r="G41" s="648"/>
      <c r="H41" s="648"/>
      <c r="I41" s="648"/>
      <c r="J41" s="648"/>
      <c r="K41" s="648"/>
      <c r="L41" s="648"/>
      <c r="M41" s="648"/>
      <c r="N41" s="648"/>
      <c r="O41" s="648"/>
      <c r="P41" s="664"/>
      <c r="Q41" s="483">
        <f t="shared" si="3"/>
        <v>0</v>
      </c>
    </row>
    <row r="42" spans="2:17" ht="12.75">
      <c r="B42" s="662" t="s">
        <v>988</v>
      </c>
      <c r="C42" s="663" t="s">
        <v>261</v>
      </c>
      <c r="D42" s="658" t="s">
        <v>1256</v>
      </c>
      <c r="E42" s="647"/>
      <c r="F42" s="648"/>
      <c r="G42" s="648"/>
      <c r="H42" s="648"/>
      <c r="I42" s="648"/>
      <c r="J42" s="648"/>
      <c r="K42" s="648"/>
      <c r="L42" s="648"/>
      <c r="M42" s="648"/>
      <c r="N42" s="648"/>
      <c r="O42" s="648"/>
      <c r="P42" s="664"/>
      <c r="Q42" s="483">
        <f t="shared" si="3"/>
        <v>0</v>
      </c>
    </row>
    <row r="43" spans="2:17" ht="12.75">
      <c r="B43" s="662" t="s">
        <v>988</v>
      </c>
      <c r="C43" s="663" t="s">
        <v>1255</v>
      </c>
      <c r="D43" s="658" t="s">
        <v>1256</v>
      </c>
      <c r="E43" s="647"/>
      <c r="F43" s="648"/>
      <c r="G43" s="648"/>
      <c r="H43" s="648"/>
      <c r="I43" s="648"/>
      <c r="J43" s="648"/>
      <c r="K43" s="648"/>
      <c r="L43" s="648"/>
      <c r="M43" s="648"/>
      <c r="N43" s="648"/>
      <c r="O43" s="648"/>
      <c r="P43" s="664"/>
      <c r="Q43" s="483">
        <f t="shared" si="3"/>
        <v>0</v>
      </c>
    </row>
    <row r="44" spans="2:17" ht="12.75">
      <c r="B44" s="662" t="s">
        <v>988</v>
      </c>
      <c r="C44" s="663" t="s">
        <v>249</v>
      </c>
      <c r="D44" s="658"/>
      <c r="E44" s="647"/>
      <c r="F44" s="648"/>
      <c r="G44" s="648"/>
      <c r="H44" s="648"/>
      <c r="I44" s="648"/>
      <c r="J44" s="648"/>
      <c r="K44" s="648"/>
      <c r="L44" s="648"/>
      <c r="M44" s="648"/>
      <c r="N44" s="648"/>
      <c r="O44" s="648"/>
      <c r="P44" s="664"/>
      <c r="Q44" s="483">
        <f t="shared" si="3"/>
        <v>0</v>
      </c>
    </row>
    <row r="45" spans="2:17" ht="12.75">
      <c r="B45" s="662" t="s">
        <v>983</v>
      </c>
      <c r="C45" s="663" t="s">
        <v>261</v>
      </c>
      <c r="D45" s="658" t="s">
        <v>1256</v>
      </c>
      <c r="E45" s="647"/>
      <c r="F45" s="648"/>
      <c r="G45" s="648"/>
      <c r="H45" s="648"/>
      <c r="I45" s="648"/>
      <c r="J45" s="648"/>
      <c r="K45" s="648"/>
      <c r="L45" s="648"/>
      <c r="M45" s="648"/>
      <c r="N45" s="648"/>
      <c r="O45" s="648"/>
      <c r="P45" s="664"/>
      <c r="Q45" s="483">
        <f t="shared" si="3"/>
        <v>0</v>
      </c>
    </row>
    <row r="46" spans="2:17" ht="12.75">
      <c r="B46" s="662" t="s">
        <v>983</v>
      </c>
      <c r="C46" s="663" t="s">
        <v>1255</v>
      </c>
      <c r="D46" s="658" t="s">
        <v>1256</v>
      </c>
      <c r="E46" s="647"/>
      <c r="F46" s="648"/>
      <c r="G46" s="648"/>
      <c r="H46" s="648"/>
      <c r="I46" s="648"/>
      <c r="J46" s="648"/>
      <c r="K46" s="648"/>
      <c r="L46" s="648"/>
      <c r="M46" s="648"/>
      <c r="N46" s="648"/>
      <c r="O46" s="648"/>
      <c r="P46" s="664"/>
      <c r="Q46" s="483">
        <f t="shared" si="3"/>
        <v>0</v>
      </c>
    </row>
    <row r="47" spans="2:17" ht="12.75">
      <c r="B47" s="662" t="s">
        <v>983</v>
      </c>
      <c r="C47" s="663" t="s">
        <v>249</v>
      </c>
      <c r="D47" s="658"/>
      <c r="E47" s="647"/>
      <c r="F47" s="648"/>
      <c r="G47" s="648"/>
      <c r="H47" s="648"/>
      <c r="I47" s="648"/>
      <c r="J47" s="648"/>
      <c r="K47" s="648"/>
      <c r="L47" s="648"/>
      <c r="M47" s="648"/>
      <c r="N47" s="648"/>
      <c r="O47" s="648"/>
      <c r="P47" s="664"/>
      <c r="Q47" s="483">
        <f t="shared" si="3"/>
        <v>0</v>
      </c>
    </row>
    <row r="48" spans="2:17" ht="12.75">
      <c r="B48" s="662" t="s">
        <v>1002</v>
      </c>
      <c r="C48" s="663" t="s">
        <v>1257</v>
      </c>
      <c r="D48" s="658" t="s">
        <v>1256</v>
      </c>
      <c r="E48" s="647"/>
      <c r="F48" s="648"/>
      <c r="G48" s="648"/>
      <c r="H48" s="648"/>
      <c r="I48" s="648"/>
      <c r="J48" s="648"/>
      <c r="K48" s="648"/>
      <c r="L48" s="648"/>
      <c r="M48" s="648"/>
      <c r="N48" s="648"/>
      <c r="O48" s="648"/>
      <c r="P48" s="664"/>
      <c r="Q48" s="483">
        <f t="shared" si="3"/>
        <v>0</v>
      </c>
    </row>
    <row r="49" spans="2:17" ht="12.75">
      <c r="B49" s="662" t="s">
        <v>1002</v>
      </c>
      <c r="C49" s="663" t="s">
        <v>261</v>
      </c>
      <c r="D49" s="658" t="s">
        <v>1256</v>
      </c>
      <c r="E49" s="647"/>
      <c r="F49" s="648"/>
      <c r="G49" s="648"/>
      <c r="H49" s="648"/>
      <c r="I49" s="648"/>
      <c r="J49" s="648"/>
      <c r="K49" s="648"/>
      <c r="L49" s="648"/>
      <c r="M49" s="648"/>
      <c r="N49" s="648"/>
      <c r="O49" s="648"/>
      <c r="P49" s="664"/>
      <c r="Q49" s="483">
        <f t="shared" si="3"/>
        <v>0</v>
      </c>
    </row>
    <row r="50" spans="2:17" ht="12.75">
      <c r="B50" s="662" t="s">
        <v>1002</v>
      </c>
      <c r="C50" s="663" t="s">
        <v>249</v>
      </c>
      <c r="D50" s="658"/>
      <c r="E50" s="647"/>
      <c r="F50" s="648"/>
      <c r="G50" s="648"/>
      <c r="H50" s="648"/>
      <c r="I50" s="648"/>
      <c r="J50" s="648"/>
      <c r="K50" s="648"/>
      <c r="L50" s="648"/>
      <c r="M50" s="648"/>
      <c r="N50" s="648"/>
      <c r="O50" s="648"/>
      <c r="P50" s="664"/>
      <c r="Q50" s="483">
        <f t="shared" si="3"/>
        <v>0</v>
      </c>
    </row>
    <row r="51" spans="2:17" ht="12.75">
      <c r="B51" s="662" t="s">
        <v>256</v>
      </c>
      <c r="C51" s="663" t="s">
        <v>1257</v>
      </c>
      <c r="D51" s="658" t="s">
        <v>1256</v>
      </c>
      <c r="E51" s="647"/>
      <c r="F51" s="648"/>
      <c r="G51" s="648"/>
      <c r="H51" s="648"/>
      <c r="I51" s="648"/>
      <c r="J51" s="648"/>
      <c r="K51" s="648"/>
      <c r="L51" s="648"/>
      <c r="M51" s="648"/>
      <c r="N51" s="648"/>
      <c r="O51" s="648"/>
      <c r="P51" s="664"/>
      <c r="Q51" s="483">
        <f t="shared" si="3"/>
        <v>0</v>
      </c>
    </row>
    <row r="52" spans="2:17" ht="12.75">
      <c r="B52" s="662" t="s">
        <v>256</v>
      </c>
      <c r="C52" s="663" t="s">
        <v>261</v>
      </c>
      <c r="D52" s="658" t="s">
        <v>1256</v>
      </c>
      <c r="E52" s="647"/>
      <c r="F52" s="648"/>
      <c r="G52" s="648"/>
      <c r="H52" s="648"/>
      <c r="I52" s="648"/>
      <c r="J52" s="648"/>
      <c r="K52" s="648"/>
      <c r="L52" s="648"/>
      <c r="M52" s="648"/>
      <c r="N52" s="648"/>
      <c r="O52" s="648"/>
      <c r="P52" s="664"/>
      <c r="Q52" s="483">
        <f t="shared" si="3"/>
        <v>0</v>
      </c>
    </row>
    <row r="53" spans="2:17" ht="12.75">
      <c r="B53" s="662" t="s">
        <v>256</v>
      </c>
      <c r="C53" s="663" t="s">
        <v>1270</v>
      </c>
      <c r="D53" s="658" t="s">
        <v>1256</v>
      </c>
      <c r="E53" s="647"/>
      <c r="F53" s="648"/>
      <c r="G53" s="648"/>
      <c r="H53" s="648"/>
      <c r="I53" s="648"/>
      <c r="J53" s="648"/>
      <c r="K53" s="648"/>
      <c r="L53" s="648"/>
      <c r="M53" s="648"/>
      <c r="N53" s="648"/>
      <c r="O53" s="648"/>
      <c r="P53" s="664"/>
      <c r="Q53" s="483">
        <f t="shared" si="3"/>
        <v>0</v>
      </c>
    </row>
    <row r="54" spans="2:17" ht="12.75">
      <c r="B54" s="662" t="s">
        <v>256</v>
      </c>
      <c r="C54" s="663" t="s">
        <v>1269</v>
      </c>
      <c r="D54" s="665" t="s">
        <v>1254</v>
      </c>
      <c r="E54" s="647"/>
      <c r="F54" s="648"/>
      <c r="G54" s="648"/>
      <c r="H54" s="648"/>
      <c r="I54" s="648"/>
      <c r="J54" s="648"/>
      <c r="K54" s="648"/>
      <c r="L54" s="648"/>
      <c r="M54" s="648"/>
      <c r="N54" s="648"/>
      <c r="O54" s="648"/>
      <c r="P54" s="664"/>
      <c r="Q54" s="483">
        <f t="shared" si="3"/>
        <v>0</v>
      </c>
    </row>
    <row r="55" spans="2:17" ht="12.75">
      <c r="B55" s="662" t="s">
        <v>256</v>
      </c>
      <c r="C55" s="663" t="s">
        <v>249</v>
      </c>
      <c r="D55" s="658"/>
      <c r="E55" s="647"/>
      <c r="F55" s="648"/>
      <c r="G55" s="648"/>
      <c r="H55" s="648"/>
      <c r="I55" s="648"/>
      <c r="J55" s="648"/>
      <c r="K55" s="648"/>
      <c r="L55" s="648"/>
      <c r="M55" s="648"/>
      <c r="N55" s="648"/>
      <c r="O55" s="648"/>
      <c r="P55" s="664"/>
      <c r="Q55" s="483">
        <f t="shared" si="3"/>
        <v>0</v>
      </c>
    </row>
    <row r="56" spans="2:17" ht="12.75">
      <c r="B56" s="662" t="s">
        <v>987</v>
      </c>
      <c r="C56" s="663" t="s">
        <v>1257</v>
      </c>
      <c r="D56" s="658" t="s">
        <v>1256</v>
      </c>
      <c r="E56" s="647"/>
      <c r="F56" s="648"/>
      <c r="G56" s="648"/>
      <c r="H56" s="648"/>
      <c r="I56" s="648"/>
      <c r="J56" s="648"/>
      <c r="K56" s="648"/>
      <c r="L56" s="648"/>
      <c r="M56" s="648"/>
      <c r="N56" s="648"/>
      <c r="O56" s="648"/>
      <c r="P56" s="664"/>
      <c r="Q56" s="483">
        <f t="shared" si="3"/>
        <v>0</v>
      </c>
    </row>
    <row r="57" spans="2:17" ht="12.75">
      <c r="B57" s="662" t="s">
        <v>987</v>
      </c>
      <c r="C57" s="663" t="s">
        <v>261</v>
      </c>
      <c r="D57" s="658" t="s">
        <v>1256</v>
      </c>
      <c r="E57" s="647"/>
      <c r="F57" s="648"/>
      <c r="G57" s="648"/>
      <c r="H57" s="648"/>
      <c r="I57" s="648"/>
      <c r="J57" s="648"/>
      <c r="K57" s="648"/>
      <c r="L57" s="648"/>
      <c r="M57" s="648"/>
      <c r="N57" s="648"/>
      <c r="O57" s="648"/>
      <c r="P57" s="664"/>
      <c r="Q57" s="483">
        <f t="shared" si="3"/>
        <v>0</v>
      </c>
    </row>
    <row r="58" spans="2:17" ht="12.75">
      <c r="B58" s="662" t="s">
        <v>987</v>
      </c>
      <c r="C58" s="663" t="s">
        <v>1255</v>
      </c>
      <c r="D58" s="658" t="s">
        <v>1256</v>
      </c>
      <c r="E58" s="647"/>
      <c r="F58" s="648"/>
      <c r="G58" s="648"/>
      <c r="H58" s="648"/>
      <c r="I58" s="648"/>
      <c r="J58" s="648"/>
      <c r="K58" s="648"/>
      <c r="L58" s="648"/>
      <c r="M58" s="648"/>
      <c r="N58" s="648"/>
      <c r="O58" s="648"/>
      <c r="P58" s="664"/>
      <c r="Q58" s="483">
        <f t="shared" si="3"/>
        <v>0</v>
      </c>
    </row>
    <row r="59" spans="2:17" ht="12.75">
      <c r="B59" s="662" t="s">
        <v>987</v>
      </c>
      <c r="C59" s="663" t="s">
        <v>249</v>
      </c>
      <c r="D59" s="658"/>
      <c r="E59" s="647"/>
      <c r="F59" s="648"/>
      <c r="G59" s="648"/>
      <c r="H59" s="648"/>
      <c r="I59" s="648"/>
      <c r="J59" s="648"/>
      <c r="K59" s="648"/>
      <c r="L59" s="648"/>
      <c r="M59" s="648"/>
      <c r="N59" s="648"/>
      <c r="O59" s="648"/>
      <c r="P59" s="664"/>
      <c r="Q59" s="483">
        <f t="shared" si="3"/>
        <v>0</v>
      </c>
    </row>
    <row r="60" spans="2:17" ht="12.75">
      <c r="B60" s="662" t="s">
        <v>992</v>
      </c>
      <c r="C60" s="663" t="s">
        <v>1257</v>
      </c>
      <c r="D60" s="665" t="s">
        <v>1254</v>
      </c>
      <c r="E60" s="647"/>
      <c r="F60" s="648"/>
      <c r="G60" s="648"/>
      <c r="H60" s="648"/>
      <c r="I60" s="648"/>
      <c r="J60" s="648"/>
      <c r="K60" s="648"/>
      <c r="L60" s="648"/>
      <c r="M60" s="648"/>
      <c r="N60" s="648"/>
      <c r="O60" s="648"/>
      <c r="P60" s="664"/>
      <c r="Q60" s="483">
        <f t="shared" si="3"/>
        <v>0</v>
      </c>
    </row>
    <row r="61" spans="2:17" ht="12.75">
      <c r="B61" s="662" t="s">
        <v>992</v>
      </c>
      <c r="C61" s="663" t="s">
        <v>261</v>
      </c>
      <c r="D61" s="658" t="s">
        <v>1256</v>
      </c>
      <c r="E61" s="647"/>
      <c r="F61" s="648"/>
      <c r="G61" s="648"/>
      <c r="H61" s="648"/>
      <c r="I61" s="648"/>
      <c r="J61" s="648"/>
      <c r="K61" s="648"/>
      <c r="L61" s="648"/>
      <c r="M61" s="648"/>
      <c r="N61" s="648"/>
      <c r="O61" s="648"/>
      <c r="P61" s="664"/>
      <c r="Q61" s="483">
        <f t="shared" si="3"/>
        <v>0</v>
      </c>
    </row>
    <row r="62" spans="2:17" ht="12.75">
      <c r="B62" s="662" t="s">
        <v>992</v>
      </c>
      <c r="C62" s="663" t="s">
        <v>1255</v>
      </c>
      <c r="D62" s="658" t="s">
        <v>1256</v>
      </c>
      <c r="E62" s="647"/>
      <c r="F62" s="648"/>
      <c r="G62" s="648"/>
      <c r="H62" s="648"/>
      <c r="I62" s="648"/>
      <c r="J62" s="648"/>
      <c r="K62" s="648"/>
      <c r="L62" s="648"/>
      <c r="M62" s="648"/>
      <c r="N62" s="648"/>
      <c r="O62" s="648"/>
      <c r="P62" s="664"/>
      <c r="Q62" s="483">
        <f t="shared" si="3"/>
        <v>0</v>
      </c>
    </row>
    <row r="63" spans="2:17" ht="12.75">
      <c r="B63" s="662" t="s">
        <v>992</v>
      </c>
      <c r="C63" s="663" t="s">
        <v>249</v>
      </c>
      <c r="D63" s="658"/>
      <c r="E63" s="647"/>
      <c r="F63" s="648"/>
      <c r="G63" s="648"/>
      <c r="H63" s="648"/>
      <c r="I63" s="648"/>
      <c r="J63" s="648"/>
      <c r="K63" s="648"/>
      <c r="L63" s="648"/>
      <c r="M63" s="648"/>
      <c r="N63" s="648"/>
      <c r="O63" s="648"/>
      <c r="P63" s="664"/>
      <c r="Q63" s="483">
        <f t="shared" si="3"/>
        <v>0</v>
      </c>
    </row>
    <row r="64" spans="2:17" ht="12.75">
      <c r="B64" s="662" t="s">
        <v>252</v>
      </c>
      <c r="C64" s="663" t="s">
        <v>1257</v>
      </c>
      <c r="D64" s="658" t="s">
        <v>1256</v>
      </c>
      <c r="E64" s="647"/>
      <c r="F64" s="648"/>
      <c r="G64" s="648"/>
      <c r="H64" s="648"/>
      <c r="I64" s="648"/>
      <c r="J64" s="648"/>
      <c r="K64" s="648"/>
      <c r="L64" s="648"/>
      <c r="M64" s="648"/>
      <c r="N64" s="648"/>
      <c r="O64" s="648"/>
      <c r="P64" s="664"/>
      <c r="Q64" s="483">
        <f t="shared" si="3"/>
        <v>0</v>
      </c>
    </row>
    <row r="65" spans="2:17" ht="12.75">
      <c r="B65" s="662" t="s">
        <v>252</v>
      </c>
      <c r="C65" s="663" t="s">
        <v>261</v>
      </c>
      <c r="D65" s="658" t="s">
        <v>1256</v>
      </c>
      <c r="E65" s="647"/>
      <c r="F65" s="648"/>
      <c r="G65" s="648"/>
      <c r="H65" s="648"/>
      <c r="I65" s="648"/>
      <c r="J65" s="648"/>
      <c r="K65" s="648"/>
      <c r="L65" s="648"/>
      <c r="M65" s="648"/>
      <c r="N65" s="648"/>
      <c r="O65" s="648"/>
      <c r="P65" s="664"/>
      <c r="Q65" s="483">
        <f t="shared" si="3"/>
        <v>0</v>
      </c>
    </row>
    <row r="66" spans="2:17" ht="12.75">
      <c r="B66" s="662" t="s">
        <v>252</v>
      </c>
      <c r="C66" s="663" t="s">
        <v>1255</v>
      </c>
      <c r="D66" s="658" t="s">
        <v>1256</v>
      </c>
      <c r="E66" s="647"/>
      <c r="F66" s="648"/>
      <c r="G66" s="648"/>
      <c r="H66" s="648"/>
      <c r="I66" s="648"/>
      <c r="J66" s="648"/>
      <c r="K66" s="648"/>
      <c r="L66" s="648"/>
      <c r="M66" s="648"/>
      <c r="N66" s="648"/>
      <c r="O66" s="648"/>
      <c r="P66" s="664"/>
      <c r="Q66" s="483">
        <f t="shared" si="3"/>
        <v>0</v>
      </c>
    </row>
    <row r="67" spans="2:17" ht="12.75">
      <c r="B67" s="662" t="s">
        <v>252</v>
      </c>
      <c r="C67" s="663" t="s">
        <v>1270</v>
      </c>
      <c r="D67" s="665" t="s">
        <v>1254</v>
      </c>
      <c r="E67" s="647"/>
      <c r="F67" s="648"/>
      <c r="G67" s="648"/>
      <c r="H67" s="648"/>
      <c r="I67" s="648"/>
      <c r="J67" s="648"/>
      <c r="K67" s="648"/>
      <c r="L67" s="648"/>
      <c r="M67" s="648"/>
      <c r="N67" s="648"/>
      <c r="O67" s="648"/>
      <c r="P67" s="664"/>
      <c r="Q67" s="483">
        <f t="shared" si="3"/>
        <v>0</v>
      </c>
    </row>
    <row r="68" spans="2:17" ht="12.75">
      <c r="B68" s="662" t="s">
        <v>252</v>
      </c>
      <c r="C68" s="663" t="s">
        <v>249</v>
      </c>
      <c r="D68" s="658"/>
      <c r="E68" s="647"/>
      <c r="F68" s="648"/>
      <c r="G68" s="648"/>
      <c r="H68" s="648"/>
      <c r="I68" s="648"/>
      <c r="J68" s="648"/>
      <c r="K68" s="648"/>
      <c r="L68" s="648"/>
      <c r="M68" s="648"/>
      <c r="N68" s="648"/>
      <c r="O68" s="648"/>
      <c r="P68" s="664"/>
      <c r="Q68" s="483">
        <f t="shared" si="3"/>
        <v>0</v>
      </c>
    </row>
    <row r="69" spans="2:17" ht="12.75">
      <c r="B69" s="662" t="s">
        <v>986</v>
      </c>
      <c r="C69" s="663" t="s">
        <v>1257</v>
      </c>
      <c r="D69" s="658" t="s">
        <v>1256</v>
      </c>
      <c r="E69" s="647"/>
      <c r="F69" s="648"/>
      <c r="G69" s="648"/>
      <c r="H69" s="648"/>
      <c r="I69" s="648"/>
      <c r="J69" s="648"/>
      <c r="K69" s="648"/>
      <c r="L69" s="648"/>
      <c r="M69" s="648"/>
      <c r="N69" s="648"/>
      <c r="O69" s="648"/>
      <c r="P69" s="664"/>
      <c r="Q69" s="483">
        <f t="shared" si="3"/>
        <v>0</v>
      </c>
    </row>
    <row r="70" spans="2:17" ht="12.75">
      <c r="B70" s="662" t="s">
        <v>986</v>
      </c>
      <c r="C70" s="663" t="s">
        <v>261</v>
      </c>
      <c r="D70" s="658" t="s">
        <v>1256</v>
      </c>
      <c r="E70" s="647"/>
      <c r="F70" s="648"/>
      <c r="G70" s="648"/>
      <c r="H70" s="648"/>
      <c r="I70" s="648"/>
      <c r="J70" s="648"/>
      <c r="K70" s="648"/>
      <c r="L70" s="648"/>
      <c r="M70" s="648"/>
      <c r="N70" s="648"/>
      <c r="O70" s="648"/>
      <c r="P70" s="664"/>
      <c r="Q70" s="483">
        <f t="shared" si="3"/>
        <v>0</v>
      </c>
    </row>
    <row r="71" spans="2:17" ht="12.75">
      <c r="B71" s="662" t="s">
        <v>986</v>
      </c>
      <c r="C71" s="663" t="s">
        <v>1255</v>
      </c>
      <c r="D71" s="658" t="s">
        <v>1256</v>
      </c>
      <c r="E71" s="647"/>
      <c r="F71" s="648"/>
      <c r="G71" s="648"/>
      <c r="H71" s="648"/>
      <c r="I71" s="648"/>
      <c r="J71" s="648"/>
      <c r="K71" s="648"/>
      <c r="L71" s="648"/>
      <c r="M71" s="648"/>
      <c r="N71" s="648"/>
      <c r="O71" s="648"/>
      <c r="P71" s="664"/>
      <c r="Q71" s="483">
        <f t="shared" si="3"/>
        <v>0</v>
      </c>
    </row>
    <row r="72" spans="2:17" ht="12.75">
      <c r="B72" s="662" t="s">
        <v>986</v>
      </c>
      <c r="C72" s="663" t="s">
        <v>249</v>
      </c>
      <c r="D72" s="658"/>
      <c r="E72" s="647"/>
      <c r="F72" s="648"/>
      <c r="G72" s="648"/>
      <c r="H72" s="648"/>
      <c r="I72" s="648"/>
      <c r="J72" s="648"/>
      <c r="K72" s="648"/>
      <c r="L72" s="648"/>
      <c r="M72" s="648"/>
      <c r="N72" s="648"/>
      <c r="O72" s="648"/>
      <c r="P72" s="664"/>
      <c r="Q72" s="483">
        <f t="shared" si="3"/>
        <v>0</v>
      </c>
    </row>
    <row r="73" spans="2:17" ht="12.75">
      <c r="B73" s="662" t="s">
        <v>290</v>
      </c>
      <c r="C73" s="663" t="s">
        <v>1257</v>
      </c>
      <c r="D73" s="658" t="s">
        <v>1256</v>
      </c>
      <c r="E73" s="647"/>
      <c r="F73" s="648"/>
      <c r="G73" s="648"/>
      <c r="H73" s="648"/>
      <c r="I73" s="648"/>
      <c r="J73" s="648"/>
      <c r="K73" s="648"/>
      <c r="L73" s="648"/>
      <c r="M73" s="648"/>
      <c r="N73" s="648"/>
      <c r="O73" s="648"/>
      <c r="P73" s="664"/>
      <c r="Q73" s="483">
        <f t="shared" si="3"/>
        <v>0</v>
      </c>
    </row>
    <row r="74" spans="2:17" ht="12.75">
      <c r="B74" s="662" t="s">
        <v>290</v>
      </c>
      <c r="C74" s="663" t="s">
        <v>261</v>
      </c>
      <c r="D74" s="658" t="s">
        <v>1256</v>
      </c>
      <c r="E74" s="647"/>
      <c r="F74" s="648"/>
      <c r="G74" s="648"/>
      <c r="H74" s="648"/>
      <c r="I74" s="648"/>
      <c r="J74" s="648"/>
      <c r="K74" s="648"/>
      <c r="L74" s="648"/>
      <c r="M74" s="648"/>
      <c r="N74" s="648"/>
      <c r="O74" s="648"/>
      <c r="P74" s="664"/>
      <c r="Q74" s="483">
        <f t="shared" si="3"/>
        <v>0</v>
      </c>
    </row>
    <row r="75" spans="2:17" ht="12.75">
      <c r="B75" s="662" t="s">
        <v>290</v>
      </c>
      <c r="C75" s="663" t="s">
        <v>1255</v>
      </c>
      <c r="D75" s="658" t="s">
        <v>1256</v>
      </c>
      <c r="E75" s="647"/>
      <c r="F75" s="648"/>
      <c r="G75" s="648"/>
      <c r="H75" s="648"/>
      <c r="I75" s="648"/>
      <c r="J75" s="648"/>
      <c r="K75" s="648"/>
      <c r="L75" s="648"/>
      <c r="M75" s="648"/>
      <c r="N75" s="648"/>
      <c r="O75" s="648"/>
      <c r="P75" s="664"/>
      <c r="Q75" s="483">
        <f t="shared" si="3"/>
        <v>0</v>
      </c>
    </row>
    <row r="76" spans="2:17" ht="12.75">
      <c r="B76" s="662" t="s">
        <v>290</v>
      </c>
      <c r="C76" s="663" t="s">
        <v>1270</v>
      </c>
      <c r="D76" s="658" t="s">
        <v>1256</v>
      </c>
      <c r="E76" s="647"/>
      <c r="F76" s="648"/>
      <c r="G76" s="648"/>
      <c r="H76" s="648"/>
      <c r="I76" s="648"/>
      <c r="J76" s="648"/>
      <c r="K76" s="648"/>
      <c r="L76" s="648"/>
      <c r="M76" s="648"/>
      <c r="N76" s="648"/>
      <c r="O76" s="648"/>
      <c r="P76" s="664"/>
      <c r="Q76" s="483">
        <f t="shared" si="3"/>
        <v>0</v>
      </c>
    </row>
    <row r="77" spans="2:17" ht="12.75">
      <c r="B77" s="662" t="s">
        <v>290</v>
      </c>
      <c r="C77" s="663" t="s">
        <v>249</v>
      </c>
      <c r="D77" s="658"/>
      <c r="E77" s="647"/>
      <c r="F77" s="648"/>
      <c r="G77" s="648"/>
      <c r="H77" s="648"/>
      <c r="I77" s="648"/>
      <c r="J77" s="648"/>
      <c r="K77" s="648"/>
      <c r="L77" s="648"/>
      <c r="M77" s="648"/>
      <c r="N77" s="648"/>
      <c r="O77" s="648"/>
      <c r="P77" s="664"/>
      <c r="Q77" s="483">
        <f t="shared" si="3"/>
        <v>0</v>
      </c>
    </row>
    <row r="78" spans="2:17" ht="12.75">
      <c r="B78" s="662" t="s">
        <v>1268</v>
      </c>
      <c r="C78" s="663" t="s">
        <v>1257</v>
      </c>
      <c r="D78" s="658" t="s">
        <v>1256</v>
      </c>
      <c r="E78" s="647"/>
      <c r="F78" s="648"/>
      <c r="G78" s="648"/>
      <c r="H78" s="648"/>
      <c r="I78" s="648"/>
      <c r="J78" s="648"/>
      <c r="K78" s="648"/>
      <c r="L78" s="648"/>
      <c r="M78" s="648"/>
      <c r="N78" s="648"/>
      <c r="O78" s="648"/>
      <c r="P78" s="664"/>
      <c r="Q78" s="483">
        <f t="shared" si="3"/>
        <v>0</v>
      </c>
    </row>
    <row r="79" spans="2:17" ht="12.75">
      <c r="B79" s="662" t="s">
        <v>1268</v>
      </c>
      <c r="C79" s="663" t="s">
        <v>261</v>
      </c>
      <c r="D79" s="658" t="s">
        <v>1256</v>
      </c>
      <c r="E79" s="647"/>
      <c r="F79" s="648"/>
      <c r="G79" s="648"/>
      <c r="H79" s="648"/>
      <c r="I79" s="648"/>
      <c r="J79" s="648"/>
      <c r="K79" s="648"/>
      <c r="L79" s="648"/>
      <c r="M79" s="648"/>
      <c r="N79" s="648"/>
      <c r="O79" s="648"/>
      <c r="P79" s="664"/>
      <c r="Q79" s="483">
        <f t="shared" si="3"/>
        <v>0</v>
      </c>
    </row>
    <row r="80" spans="2:17" ht="12.75">
      <c r="B80" s="662" t="s">
        <v>1268</v>
      </c>
      <c r="C80" s="663" t="s">
        <v>1255</v>
      </c>
      <c r="D80" s="658" t="s">
        <v>1256</v>
      </c>
      <c r="E80" s="647"/>
      <c r="F80" s="648"/>
      <c r="G80" s="648"/>
      <c r="H80" s="648"/>
      <c r="I80" s="648"/>
      <c r="J80" s="648"/>
      <c r="K80" s="648"/>
      <c r="L80" s="648"/>
      <c r="M80" s="648"/>
      <c r="N80" s="648"/>
      <c r="O80" s="648"/>
      <c r="P80" s="664"/>
      <c r="Q80" s="483">
        <f t="shared" si="3"/>
        <v>0</v>
      </c>
    </row>
    <row r="81" spans="2:17" ht="12.75">
      <c r="B81" s="662" t="s">
        <v>1268</v>
      </c>
      <c r="C81" s="663" t="s">
        <v>1269</v>
      </c>
      <c r="D81" s="665" t="s">
        <v>1254</v>
      </c>
      <c r="E81" s="647"/>
      <c r="F81" s="648"/>
      <c r="G81" s="648"/>
      <c r="H81" s="648"/>
      <c r="I81" s="648"/>
      <c r="J81" s="648"/>
      <c r="K81" s="648"/>
      <c r="L81" s="648"/>
      <c r="M81" s="648"/>
      <c r="N81" s="648"/>
      <c r="O81" s="648"/>
      <c r="P81" s="664"/>
      <c r="Q81" s="483">
        <f t="shared" si="3"/>
        <v>0</v>
      </c>
    </row>
    <row r="82" spans="2:17" ht="12.75">
      <c r="B82" s="662" t="s">
        <v>1268</v>
      </c>
      <c r="C82" s="663" t="s">
        <v>249</v>
      </c>
      <c r="D82" s="665"/>
      <c r="E82" s="647"/>
      <c r="F82" s="648"/>
      <c r="G82" s="648"/>
      <c r="H82" s="648"/>
      <c r="I82" s="648"/>
      <c r="J82" s="648"/>
      <c r="K82" s="648"/>
      <c r="L82" s="648"/>
      <c r="M82" s="648"/>
      <c r="N82" s="648"/>
      <c r="O82" s="648"/>
      <c r="P82" s="664"/>
      <c r="Q82" s="483">
        <f t="shared" si="3"/>
        <v>0</v>
      </c>
    </row>
    <row r="83" spans="2:17" ht="12.75">
      <c r="B83" s="662" t="s">
        <v>991</v>
      </c>
      <c r="C83" s="663" t="s">
        <v>1257</v>
      </c>
      <c r="D83" s="665" t="s">
        <v>1254</v>
      </c>
      <c r="E83" s="647"/>
      <c r="F83" s="648"/>
      <c r="G83" s="648"/>
      <c r="H83" s="648"/>
      <c r="I83" s="648"/>
      <c r="J83" s="648"/>
      <c r="K83" s="648"/>
      <c r="L83" s="648"/>
      <c r="M83" s="648"/>
      <c r="N83" s="648"/>
      <c r="O83" s="648"/>
      <c r="P83" s="664"/>
      <c r="Q83" s="483">
        <f t="shared" si="3"/>
        <v>0</v>
      </c>
    </row>
    <row r="84" spans="2:17" ht="12.75">
      <c r="B84" s="662" t="s">
        <v>991</v>
      </c>
      <c r="C84" s="663" t="s">
        <v>261</v>
      </c>
      <c r="D84" s="665" t="s">
        <v>1254</v>
      </c>
      <c r="E84" s="647"/>
      <c r="F84" s="648"/>
      <c r="G84" s="648"/>
      <c r="H84" s="648"/>
      <c r="I84" s="648"/>
      <c r="J84" s="648"/>
      <c r="K84" s="648"/>
      <c r="L84" s="648"/>
      <c r="M84" s="648"/>
      <c r="N84" s="648"/>
      <c r="O84" s="648"/>
      <c r="P84" s="664"/>
      <c r="Q84" s="483">
        <f t="shared" si="3"/>
        <v>0</v>
      </c>
    </row>
    <row r="85" spans="2:17" ht="12.75">
      <c r="B85" s="662" t="s">
        <v>991</v>
      </c>
      <c r="C85" s="663" t="s">
        <v>249</v>
      </c>
      <c r="D85" s="658"/>
      <c r="E85" s="647"/>
      <c r="F85" s="648"/>
      <c r="G85" s="648"/>
      <c r="H85" s="648"/>
      <c r="I85" s="648"/>
      <c r="J85" s="648"/>
      <c r="K85" s="648"/>
      <c r="L85" s="648"/>
      <c r="M85" s="648"/>
      <c r="N85" s="648"/>
      <c r="O85" s="648"/>
      <c r="P85" s="664"/>
      <c r="Q85" s="483">
        <f t="shared" si="3"/>
        <v>0</v>
      </c>
    </row>
    <row r="86" spans="2:17" ht="12.75">
      <c r="B86" s="662" t="s">
        <v>928</v>
      </c>
      <c r="C86" s="663" t="s">
        <v>1257</v>
      </c>
      <c r="D86" s="658" t="s">
        <v>1256</v>
      </c>
      <c r="E86" s="647"/>
      <c r="F86" s="648"/>
      <c r="G86" s="648"/>
      <c r="H86" s="648"/>
      <c r="I86" s="648"/>
      <c r="J86" s="648"/>
      <c r="K86" s="648"/>
      <c r="L86" s="648"/>
      <c r="M86" s="648"/>
      <c r="N86" s="648"/>
      <c r="O86" s="648"/>
      <c r="P86" s="664"/>
      <c r="Q86" s="483">
        <f t="shared" ref="Q86:Q118" si="4">SUM(E86:P86)</f>
        <v>0</v>
      </c>
    </row>
    <row r="87" spans="2:17" ht="12.75">
      <c r="B87" s="662" t="s">
        <v>928</v>
      </c>
      <c r="C87" s="663" t="s">
        <v>261</v>
      </c>
      <c r="D87" s="658" t="s">
        <v>1256</v>
      </c>
      <c r="E87" s="647"/>
      <c r="F87" s="648"/>
      <c r="G87" s="648"/>
      <c r="H87" s="648"/>
      <c r="I87" s="648"/>
      <c r="J87" s="648"/>
      <c r="K87" s="648"/>
      <c r="L87" s="648"/>
      <c r="M87" s="648"/>
      <c r="N87" s="648"/>
      <c r="O87" s="648"/>
      <c r="P87" s="664"/>
      <c r="Q87" s="483">
        <f t="shared" si="4"/>
        <v>0</v>
      </c>
    </row>
    <row r="88" spans="2:17" ht="12.75">
      <c r="B88" s="662" t="s">
        <v>928</v>
      </c>
      <c r="C88" s="663" t="s">
        <v>249</v>
      </c>
      <c r="D88" s="658"/>
      <c r="E88" s="647"/>
      <c r="F88" s="648"/>
      <c r="G88" s="648"/>
      <c r="H88" s="648"/>
      <c r="I88" s="648"/>
      <c r="J88" s="648"/>
      <c r="K88" s="648"/>
      <c r="L88" s="648"/>
      <c r="M88" s="648"/>
      <c r="N88" s="648"/>
      <c r="O88" s="648"/>
      <c r="P88" s="664"/>
      <c r="Q88" s="483">
        <f t="shared" si="4"/>
        <v>0</v>
      </c>
    </row>
    <row r="89" spans="2:17" ht="12.75">
      <c r="B89" s="662" t="s">
        <v>984</v>
      </c>
      <c r="C89" s="663" t="s">
        <v>1257</v>
      </c>
      <c r="D89" s="658" t="s">
        <v>1256</v>
      </c>
      <c r="E89" s="647"/>
      <c r="F89" s="648"/>
      <c r="G89" s="648"/>
      <c r="H89" s="648"/>
      <c r="I89" s="648"/>
      <c r="J89" s="648"/>
      <c r="K89" s="648"/>
      <c r="L89" s="648"/>
      <c r="M89" s="648"/>
      <c r="N89" s="648"/>
      <c r="O89" s="648"/>
      <c r="P89" s="664"/>
      <c r="Q89" s="483">
        <f t="shared" si="4"/>
        <v>0</v>
      </c>
    </row>
    <row r="90" spans="2:17" ht="12.75">
      <c r="B90" s="662" t="s">
        <v>984</v>
      </c>
      <c r="C90" s="663" t="s">
        <v>261</v>
      </c>
      <c r="D90" s="658" t="s">
        <v>1256</v>
      </c>
      <c r="E90" s="647"/>
      <c r="F90" s="648"/>
      <c r="G90" s="648"/>
      <c r="H90" s="648"/>
      <c r="I90" s="648"/>
      <c r="J90" s="648"/>
      <c r="K90" s="648"/>
      <c r="L90" s="648"/>
      <c r="M90" s="648"/>
      <c r="N90" s="648"/>
      <c r="O90" s="648"/>
      <c r="P90" s="664"/>
      <c r="Q90" s="483">
        <f t="shared" si="4"/>
        <v>0</v>
      </c>
    </row>
    <row r="91" spans="2:17" ht="12.75">
      <c r="B91" s="662" t="s">
        <v>984</v>
      </c>
      <c r="C91" s="663" t="s">
        <v>249</v>
      </c>
      <c r="D91" s="658"/>
      <c r="E91" s="647"/>
      <c r="F91" s="648"/>
      <c r="G91" s="648"/>
      <c r="H91" s="648"/>
      <c r="I91" s="648"/>
      <c r="J91" s="648"/>
      <c r="K91" s="648"/>
      <c r="L91" s="648"/>
      <c r="M91" s="648"/>
      <c r="N91" s="648"/>
      <c r="O91" s="648"/>
      <c r="P91" s="664"/>
      <c r="Q91" s="483">
        <f t="shared" si="4"/>
        <v>0</v>
      </c>
    </row>
    <row r="92" spans="2:17" ht="12.75">
      <c r="B92" s="662" t="s">
        <v>254</v>
      </c>
      <c r="C92" s="663" t="s">
        <v>1257</v>
      </c>
      <c r="D92" s="658" t="s">
        <v>1256</v>
      </c>
      <c r="E92" s="647"/>
      <c r="F92" s="648"/>
      <c r="G92" s="648"/>
      <c r="H92" s="648"/>
      <c r="I92" s="648"/>
      <c r="J92" s="648"/>
      <c r="K92" s="648"/>
      <c r="L92" s="648"/>
      <c r="M92" s="648"/>
      <c r="N92" s="648"/>
      <c r="O92" s="648"/>
      <c r="P92" s="664"/>
      <c r="Q92" s="483">
        <f t="shared" si="4"/>
        <v>0</v>
      </c>
    </row>
    <row r="93" spans="2:17" ht="12.75">
      <c r="B93" s="662" t="s">
        <v>254</v>
      </c>
      <c r="C93" s="663" t="s">
        <v>261</v>
      </c>
      <c r="D93" s="658" t="s">
        <v>1256</v>
      </c>
      <c r="E93" s="647"/>
      <c r="F93" s="648"/>
      <c r="G93" s="648"/>
      <c r="H93" s="648"/>
      <c r="I93" s="648"/>
      <c r="J93" s="648"/>
      <c r="K93" s="648"/>
      <c r="L93" s="648"/>
      <c r="M93" s="648"/>
      <c r="N93" s="648"/>
      <c r="O93" s="648"/>
      <c r="P93" s="664"/>
      <c r="Q93" s="483">
        <f t="shared" si="4"/>
        <v>0</v>
      </c>
    </row>
    <row r="94" spans="2:17" ht="12.75">
      <c r="B94" s="662" t="s">
        <v>254</v>
      </c>
      <c r="C94" s="663" t="s">
        <v>1255</v>
      </c>
      <c r="D94" s="658" t="s">
        <v>1256</v>
      </c>
      <c r="E94" s="647"/>
      <c r="F94" s="648"/>
      <c r="G94" s="648"/>
      <c r="H94" s="648"/>
      <c r="I94" s="648"/>
      <c r="J94" s="648"/>
      <c r="K94" s="648"/>
      <c r="L94" s="648"/>
      <c r="M94" s="648"/>
      <c r="N94" s="648"/>
      <c r="O94" s="648"/>
      <c r="P94" s="664"/>
      <c r="Q94" s="483">
        <f t="shared" si="4"/>
        <v>0</v>
      </c>
    </row>
    <row r="95" spans="2:17" ht="12.75">
      <c r="B95" s="662" t="s">
        <v>254</v>
      </c>
      <c r="C95" s="663" t="s">
        <v>249</v>
      </c>
      <c r="D95" s="658"/>
      <c r="E95" s="647"/>
      <c r="F95" s="648"/>
      <c r="G95" s="648"/>
      <c r="H95" s="648"/>
      <c r="I95" s="648"/>
      <c r="J95" s="648"/>
      <c r="K95" s="648"/>
      <c r="L95" s="648"/>
      <c r="M95" s="648"/>
      <c r="N95" s="648"/>
      <c r="O95" s="648"/>
      <c r="P95" s="664"/>
      <c r="Q95" s="483">
        <f t="shared" si="4"/>
        <v>0</v>
      </c>
    </row>
    <row r="96" spans="2:17" ht="12.75">
      <c r="B96" s="662" t="s">
        <v>1258</v>
      </c>
      <c r="C96" s="663" t="s">
        <v>1267</v>
      </c>
      <c r="D96" s="658" t="s">
        <v>1256</v>
      </c>
      <c r="E96" s="647"/>
      <c r="F96" s="648"/>
      <c r="G96" s="648"/>
      <c r="H96" s="648"/>
      <c r="I96" s="648"/>
      <c r="J96" s="648"/>
      <c r="K96" s="648"/>
      <c r="L96" s="648"/>
      <c r="M96" s="648"/>
      <c r="N96" s="648"/>
      <c r="O96" s="648"/>
      <c r="P96" s="664"/>
      <c r="Q96" s="483">
        <f t="shared" si="4"/>
        <v>0</v>
      </c>
    </row>
    <row r="97" spans="2:17" ht="12.75">
      <c r="B97" s="662" t="s">
        <v>1258</v>
      </c>
      <c r="C97" s="663" t="s">
        <v>1266</v>
      </c>
      <c r="D97" s="658" t="s">
        <v>1256</v>
      </c>
      <c r="E97" s="647"/>
      <c r="F97" s="648"/>
      <c r="G97" s="648"/>
      <c r="H97" s="648"/>
      <c r="I97" s="648"/>
      <c r="J97" s="648"/>
      <c r="K97" s="648"/>
      <c r="L97" s="648"/>
      <c r="M97" s="648"/>
      <c r="N97" s="648"/>
      <c r="O97" s="648"/>
      <c r="P97" s="664"/>
      <c r="Q97" s="483">
        <f t="shared" si="4"/>
        <v>0</v>
      </c>
    </row>
    <row r="98" spans="2:17" ht="12.75">
      <c r="B98" s="662" t="s">
        <v>1258</v>
      </c>
      <c r="C98" s="663" t="s">
        <v>1265</v>
      </c>
      <c r="D98" s="658" t="s">
        <v>1256</v>
      </c>
      <c r="E98" s="647"/>
      <c r="F98" s="648"/>
      <c r="G98" s="648"/>
      <c r="H98" s="648"/>
      <c r="I98" s="648"/>
      <c r="J98" s="648"/>
      <c r="K98" s="648"/>
      <c r="L98" s="648"/>
      <c r="M98" s="648"/>
      <c r="N98" s="648"/>
      <c r="O98" s="648"/>
      <c r="P98" s="664"/>
      <c r="Q98" s="483">
        <f t="shared" si="4"/>
        <v>0</v>
      </c>
    </row>
    <row r="99" spans="2:17" ht="12.75">
      <c r="B99" s="662" t="s">
        <v>1258</v>
      </c>
      <c r="C99" s="663" t="s">
        <v>1264</v>
      </c>
      <c r="D99" s="658" t="s">
        <v>1256</v>
      </c>
      <c r="E99" s="647"/>
      <c r="F99" s="648"/>
      <c r="G99" s="648"/>
      <c r="H99" s="648"/>
      <c r="I99" s="648"/>
      <c r="J99" s="648"/>
      <c r="K99" s="648"/>
      <c r="L99" s="648"/>
      <c r="M99" s="648"/>
      <c r="N99" s="648"/>
      <c r="O99" s="648"/>
      <c r="P99" s="664"/>
      <c r="Q99" s="483">
        <f t="shared" si="4"/>
        <v>0</v>
      </c>
    </row>
    <row r="100" spans="2:17" ht="12.75">
      <c r="B100" s="662" t="s">
        <v>1258</v>
      </c>
      <c r="C100" s="663" t="s">
        <v>1263</v>
      </c>
      <c r="D100" s="658" t="s">
        <v>1256</v>
      </c>
      <c r="E100" s="647"/>
      <c r="F100" s="648"/>
      <c r="G100" s="648"/>
      <c r="H100" s="648"/>
      <c r="I100" s="648"/>
      <c r="J100" s="648"/>
      <c r="K100" s="648"/>
      <c r="L100" s="648"/>
      <c r="M100" s="648"/>
      <c r="N100" s="648"/>
      <c r="O100" s="648"/>
      <c r="P100" s="664"/>
      <c r="Q100" s="483">
        <f t="shared" si="4"/>
        <v>0</v>
      </c>
    </row>
    <row r="101" spans="2:17" ht="12.75">
      <c r="B101" s="662" t="s">
        <v>1258</v>
      </c>
      <c r="C101" s="663" t="s">
        <v>1262</v>
      </c>
      <c r="D101" s="658" t="s">
        <v>1256</v>
      </c>
      <c r="E101" s="647"/>
      <c r="F101" s="648"/>
      <c r="G101" s="648"/>
      <c r="H101" s="648"/>
      <c r="I101" s="648"/>
      <c r="J101" s="648"/>
      <c r="K101" s="648"/>
      <c r="L101" s="648"/>
      <c r="M101" s="648"/>
      <c r="N101" s="648"/>
      <c r="O101" s="648"/>
      <c r="P101" s="664"/>
      <c r="Q101" s="483">
        <f t="shared" si="4"/>
        <v>0</v>
      </c>
    </row>
    <row r="102" spans="2:17" ht="12.75">
      <c r="B102" s="662" t="s">
        <v>1258</v>
      </c>
      <c r="C102" s="663" t="s">
        <v>1261</v>
      </c>
      <c r="D102" s="658" t="s">
        <v>1256</v>
      </c>
      <c r="E102" s="647"/>
      <c r="F102" s="648"/>
      <c r="G102" s="648"/>
      <c r="H102" s="648"/>
      <c r="I102" s="648"/>
      <c r="J102" s="648"/>
      <c r="K102" s="648"/>
      <c r="L102" s="648"/>
      <c r="M102" s="648"/>
      <c r="N102" s="648"/>
      <c r="O102" s="648"/>
      <c r="P102" s="664"/>
      <c r="Q102" s="483">
        <f t="shared" si="4"/>
        <v>0</v>
      </c>
    </row>
    <row r="103" spans="2:17" ht="12.75">
      <c r="B103" s="662" t="s">
        <v>1258</v>
      </c>
      <c r="C103" s="663" t="s">
        <v>1260</v>
      </c>
      <c r="D103" s="665" t="s">
        <v>1254</v>
      </c>
      <c r="E103" s="647"/>
      <c r="F103" s="648"/>
      <c r="G103" s="648"/>
      <c r="H103" s="648"/>
      <c r="I103" s="648"/>
      <c r="J103" s="648"/>
      <c r="K103" s="648"/>
      <c r="L103" s="648"/>
      <c r="M103" s="648"/>
      <c r="N103" s="648"/>
      <c r="O103" s="648"/>
      <c r="P103" s="664"/>
      <c r="Q103" s="483">
        <f t="shared" si="4"/>
        <v>0</v>
      </c>
    </row>
    <row r="104" spans="2:17" ht="12.75">
      <c r="B104" s="662" t="s">
        <v>1258</v>
      </c>
      <c r="C104" s="663" t="s">
        <v>1259</v>
      </c>
      <c r="D104" s="665" t="s">
        <v>1254</v>
      </c>
      <c r="E104" s="647"/>
      <c r="F104" s="648"/>
      <c r="G104" s="648"/>
      <c r="H104" s="648"/>
      <c r="I104" s="648"/>
      <c r="J104" s="648"/>
      <c r="K104" s="648"/>
      <c r="L104" s="648"/>
      <c r="M104" s="648"/>
      <c r="N104" s="648"/>
      <c r="O104" s="648"/>
      <c r="P104" s="664"/>
      <c r="Q104" s="483">
        <f t="shared" si="4"/>
        <v>0</v>
      </c>
    </row>
    <row r="105" spans="2:17" ht="12.75">
      <c r="B105" s="662" t="s">
        <v>1258</v>
      </c>
      <c r="C105" s="663" t="s">
        <v>249</v>
      </c>
      <c r="D105" s="658"/>
      <c r="E105" s="647"/>
      <c r="F105" s="648"/>
      <c r="G105" s="648"/>
      <c r="H105" s="648"/>
      <c r="I105" s="648"/>
      <c r="J105" s="648"/>
      <c r="K105" s="648"/>
      <c r="L105" s="648"/>
      <c r="M105" s="648"/>
      <c r="N105" s="648"/>
      <c r="O105" s="648"/>
      <c r="P105" s="664"/>
      <c r="Q105" s="483">
        <f t="shared" si="4"/>
        <v>0</v>
      </c>
    </row>
    <row r="106" spans="2:17" ht="12.75">
      <c r="B106" s="662" t="s">
        <v>253</v>
      </c>
      <c r="C106" s="663" t="s">
        <v>1257</v>
      </c>
      <c r="D106" s="658" t="s">
        <v>1256</v>
      </c>
      <c r="E106" s="647"/>
      <c r="F106" s="648"/>
      <c r="G106" s="648"/>
      <c r="H106" s="648"/>
      <c r="I106" s="648"/>
      <c r="J106" s="648"/>
      <c r="K106" s="648"/>
      <c r="L106" s="648"/>
      <c r="M106" s="648"/>
      <c r="N106" s="648"/>
      <c r="O106" s="648"/>
      <c r="P106" s="664"/>
      <c r="Q106" s="483">
        <f t="shared" si="4"/>
        <v>0</v>
      </c>
    </row>
    <row r="107" spans="2:17" ht="12.75">
      <c r="B107" s="662" t="s">
        <v>253</v>
      </c>
      <c r="C107" s="663" t="s">
        <v>261</v>
      </c>
      <c r="D107" s="658" t="s">
        <v>1256</v>
      </c>
      <c r="E107" s="647"/>
      <c r="F107" s="648"/>
      <c r="G107" s="648"/>
      <c r="H107" s="648"/>
      <c r="I107" s="648"/>
      <c r="J107" s="648"/>
      <c r="K107" s="648"/>
      <c r="L107" s="648"/>
      <c r="M107" s="648"/>
      <c r="N107" s="648"/>
      <c r="O107" s="648"/>
      <c r="P107" s="664"/>
      <c r="Q107" s="483">
        <f t="shared" si="4"/>
        <v>0</v>
      </c>
    </row>
    <row r="108" spans="2:17" ht="12.75">
      <c r="B108" s="662" t="s">
        <v>253</v>
      </c>
      <c r="C108" s="663" t="s">
        <v>249</v>
      </c>
      <c r="D108" s="658"/>
      <c r="E108" s="647"/>
      <c r="F108" s="648"/>
      <c r="G108" s="648"/>
      <c r="H108" s="648"/>
      <c r="I108" s="648"/>
      <c r="J108" s="648"/>
      <c r="K108" s="648"/>
      <c r="L108" s="648"/>
      <c r="M108" s="648"/>
      <c r="N108" s="648"/>
      <c r="O108" s="648"/>
      <c r="P108" s="664"/>
      <c r="Q108" s="483">
        <f t="shared" si="4"/>
        <v>0</v>
      </c>
    </row>
    <row r="109" spans="2:17" ht="12.75">
      <c r="B109" s="662" t="s">
        <v>985</v>
      </c>
      <c r="C109" s="663" t="s">
        <v>1257</v>
      </c>
      <c r="D109" s="658" t="s">
        <v>1256</v>
      </c>
      <c r="E109" s="647"/>
      <c r="F109" s="648"/>
      <c r="G109" s="648"/>
      <c r="H109" s="648"/>
      <c r="I109" s="648"/>
      <c r="J109" s="648"/>
      <c r="K109" s="648"/>
      <c r="L109" s="648"/>
      <c r="M109" s="648"/>
      <c r="N109" s="648"/>
      <c r="O109" s="648"/>
      <c r="P109" s="664"/>
      <c r="Q109" s="483">
        <f t="shared" si="4"/>
        <v>0</v>
      </c>
    </row>
    <row r="110" spans="2:17" ht="12.75">
      <c r="B110" s="662" t="s">
        <v>985</v>
      </c>
      <c r="C110" s="663" t="s">
        <v>261</v>
      </c>
      <c r="D110" s="658" t="s">
        <v>1256</v>
      </c>
      <c r="E110" s="647"/>
      <c r="F110" s="648"/>
      <c r="G110" s="648"/>
      <c r="H110" s="648"/>
      <c r="I110" s="648"/>
      <c r="J110" s="648"/>
      <c r="K110" s="648"/>
      <c r="L110" s="648"/>
      <c r="M110" s="648"/>
      <c r="N110" s="648"/>
      <c r="O110" s="648"/>
      <c r="P110" s="664"/>
      <c r="Q110" s="483">
        <f t="shared" si="4"/>
        <v>0</v>
      </c>
    </row>
    <row r="111" spans="2:17" ht="12.75">
      <c r="B111" s="662" t="s">
        <v>985</v>
      </c>
      <c r="C111" s="663" t="s">
        <v>249</v>
      </c>
      <c r="D111" s="658"/>
      <c r="E111" s="647"/>
      <c r="F111" s="648"/>
      <c r="G111" s="648"/>
      <c r="H111" s="648"/>
      <c r="I111" s="648"/>
      <c r="J111" s="648"/>
      <c r="K111" s="648"/>
      <c r="L111" s="648"/>
      <c r="M111" s="648"/>
      <c r="N111" s="648"/>
      <c r="O111" s="648"/>
      <c r="P111" s="664"/>
      <c r="Q111" s="483">
        <f t="shared" si="4"/>
        <v>0</v>
      </c>
    </row>
    <row r="112" spans="2:17" ht="12.75">
      <c r="B112" s="662" t="s">
        <v>982</v>
      </c>
      <c r="C112" s="663" t="s">
        <v>1257</v>
      </c>
      <c r="D112" s="658" t="s">
        <v>1256</v>
      </c>
      <c r="E112" s="647"/>
      <c r="F112" s="648"/>
      <c r="G112" s="648"/>
      <c r="H112" s="648"/>
      <c r="I112" s="648"/>
      <c r="J112" s="648"/>
      <c r="K112" s="648"/>
      <c r="L112" s="648"/>
      <c r="M112" s="648"/>
      <c r="N112" s="648"/>
      <c r="O112" s="648"/>
      <c r="P112" s="664"/>
      <c r="Q112" s="483">
        <f t="shared" si="4"/>
        <v>0</v>
      </c>
    </row>
    <row r="113" spans="2:17" ht="12.75">
      <c r="B113" s="662" t="s">
        <v>982</v>
      </c>
      <c r="C113" s="663" t="s">
        <v>261</v>
      </c>
      <c r="D113" s="658" t="s">
        <v>1256</v>
      </c>
      <c r="E113" s="647"/>
      <c r="F113" s="648"/>
      <c r="G113" s="648"/>
      <c r="H113" s="648"/>
      <c r="I113" s="648"/>
      <c r="J113" s="648"/>
      <c r="K113" s="648"/>
      <c r="L113" s="648"/>
      <c r="M113" s="648"/>
      <c r="N113" s="648"/>
      <c r="O113" s="648"/>
      <c r="P113" s="664"/>
      <c r="Q113" s="483">
        <f t="shared" si="4"/>
        <v>0</v>
      </c>
    </row>
    <row r="114" spans="2:17" ht="12.75">
      <c r="B114" s="662" t="s">
        <v>982</v>
      </c>
      <c r="C114" s="663" t="s">
        <v>249</v>
      </c>
      <c r="D114" s="658"/>
      <c r="E114" s="647"/>
      <c r="F114" s="648"/>
      <c r="G114" s="648"/>
      <c r="H114" s="648"/>
      <c r="I114" s="648"/>
      <c r="J114" s="648"/>
      <c r="K114" s="648"/>
      <c r="L114" s="648"/>
      <c r="M114" s="648"/>
      <c r="N114" s="648"/>
      <c r="O114" s="648"/>
      <c r="P114" s="664"/>
      <c r="Q114" s="483">
        <f t="shared" si="4"/>
        <v>0</v>
      </c>
    </row>
    <row r="115" spans="2:17" ht="12.75">
      <c r="B115" s="662" t="s">
        <v>297</v>
      </c>
      <c r="C115" s="663" t="s">
        <v>1257</v>
      </c>
      <c r="D115" s="658" t="s">
        <v>1256</v>
      </c>
      <c r="E115" s="647"/>
      <c r="F115" s="648"/>
      <c r="G115" s="648"/>
      <c r="H115" s="648"/>
      <c r="I115" s="648"/>
      <c r="J115" s="648"/>
      <c r="K115" s="648"/>
      <c r="L115" s="648"/>
      <c r="M115" s="648"/>
      <c r="N115" s="648"/>
      <c r="O115" s="648"/>
      <c r="P115" s="664"/>
      <c r="Q115" s="483">
        <f t="shared" si="4"/>
        <v>0</v>
      </c>
    </row>
    <row r="116" spans="2:17" ht="12.75">
      <c r="B116" s="662" t="s">
        <v>297</v>
      </c>
      <c r="C116" s="663" t="s">
        <v>261</v>
      </c>
      <c r="D116" s="658" t="s">
        <v>1256</v>
      </c>
      <c r="E116" s="647"/>
      <c r="F116" s="648"/>
      <c r="G116" s="648"/>
      <c r="H116" s="648"/>
      <c r="I116" s="648"/>
      <c r="J116" s="648"/>
      <c r="K116" s="648"/>
      <c r="L116" s="648"/>
      <c r="M116" s="648"/>
      <c r="N116" s="648"/>
      <c r="O116" s="648"/>
      <c r="P116" s="664"/>
      <c r="Q116" s="483">
        <f t="shared" si="4"/>
        <v>0</v>
      </c>
    </row>
    <row r="117" spans="2:17" ht="12.75">
      <c r="B117" s="666" t="s">
        <v>297</v>
      </c>
      <c r="C117" s="667" t="s">
        <v>1255</v>
      </c>
      <c r="D117" s="668" t="s">
        <v>1254</v>
      </c>
      <c r="E117" s="650"/>
      <c r="F117" s="651"/>
      <c r="G117" s="651"/>
      <c r="H117" s="651"/>
      <c r="I117" s="651"/>
      <c r="J117" s="651"/>
      <c r="K117" s="651"/>
      <c r="L117" s="651"/>
      <c r="M117" s="651"/>
      <c r="N117" s="651"/>
      <c r="O117" s="651"/>
      <c r="P117" s="669"/>
      <c r="Q117" s="483">
        <f t="shared" si="4"/>
        <v>0</v>
      </c>
    </row>
    <row r="118" spans="2:17" thickBot="1">
      <c r="B118" s="670" t="s">
        <v>297</v>
      </c>
      <c r="C118" s="671" t="s">
        <v>249</v>
      </c>
      <c r="D118" s="672"/>
      <c r="E118" s="673"/>
      <c r="F118" s="674"/>
      <c r="G118" s="674"/>
      <c r="H118" s="674"/>
      <c r="I118" s="674"/>
      <c r="J118" s="674"/>
      <c r="K118" s="674"/>
      <c r="L118" s="674"/>
      <c r="M118" s="674"/>
      <c r="N118" s="674"/>
      <c r="O118" s="674"/>
      <c r="P118" s="675"/>
      <c r="Q118" s="484">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49"/>
  <sheetViews>
    <sheetView zoomScale="80" zoomScaleNormal="80" workbookViewId="0">
      <pane ySplit="4" topLeftCell="A5" activePane="bottomLeft" state="frozen"/>
      <selection activeCell="D31" sqref="D31"/>
      <selection pane="bottomLeft"/>
    </sheetView>
  </sheetViews>
  <sheetFormatPr defaultColWidth="10.265625" defaultRowHeight="14.25"/>
  <cols>
    <col min="1" max="1" width="5.86328125" style="297" customWidth="1"/>
    <col min="2" max="2" width="12.73046875" style="298" customWidth="1"/>
    <col min="3" max="3" width="18.1328125" style="297" customWidth="1"/>
    <col min="4" max="4" width="25.1328125" style="297" customWidth="1"/>
    <col min="5" max="5" width="15.265625" style="297" customWidth="1"/>
    <col min="6" max="6" width="12.3984375" style="297" customWidth="1"/>
    <col min="7" max="7" width="30.59765625" style="297" customWidth="1"/>
    <col min="8" max="8" width="14.265625" style="297" customWidth="1"/>
    <col min="9" max="9" width="14.86328125" style="297" customWidth="1"/>
    <col min="10" max="10" width="15.3984375" style="297" customWidth="1"/>
    <col min="11" max="11" width="16.3984375" style="297" customWidth="1"/>
    <col min="12" max="12" width="13.86328125" style="297" customWidth="1"/>
    <col min="13" max="13" width="37.3984375" style="297" customWidth="1"/>
    <col min="14" max="14" width="14.1328125" style="297" customWidth="1"/>
    <col min="15" max="15" width="23.59765625" style="297" customWidth="1"/>
    <col min="16" max="16" width="18.86328125" style="297" customWidth="1"/>
    <col min="17" max="17" width="17.86328125" style="297" customWidth="1"/>
    <col min="18" max="18" width="17.1328125" style="297" customWidth="1"/>
    <col min="19" max="19" width="15.86328125" style="297" customWidth="1"/>
    <col min="20" max="20" width="14.3984375" style="297" customWidth="1"/>
    <col min="21" max="21" width="16.59765625" style="297" customWidth="1"/>
    <col min="22" max="22" width="13.265625" style="297" customWidth="1"/>
    <col min="23" max="23" width="10.73046875" style="297" bestFit="1" customWidth="1"/>
    <col min="24" max="16384" width="10.265625" style="297"/>
  </cols>
  <sheetData>
    <row r="1" spans="1:42" s="73" customFormat="1" ht="23.25">
      <c r="A1" s="89" t="str">
        <f>'1.1 Cover'!A2</f>
        <v>Regulatory Reporting Pack</v>
      </c>
    </row>
    <row r="2" spans="1:42" s="73" customFormat="1" ht="23.25">
      <c r="A2" s="89" t="str">
        <f>'1.1 Cover'!A3</f>
        <v>Price base - 2018/19</v>
      </c>
    </row>
    <row r="3" spans="1:42" s="73" customFormat="1" ht="23.25">
      <c r="A3" s="89" t="str">
        <f>'1.1 Cover'!A4</f>
        <v>Regulatory Year: April 2021 - March 2022</v>
      </c>
    </row>
    <row r="4" spans="1:42" s="73" customFormat="1" ht="23.25">
      <c r="A4" s="89" t="s">
        <v>1323</v>
      </c>
    </row>
    <row r="5" spans="1:42" s="310" customFormat="1" ht="15">
      <c r="F5" s="311"/>
      <c r="G5" s="312"/>
      <c r="H5" s="313"/>
      <c r="I5" s="313"/>
      <c r="J5" s="313"/>
      <c r="K5" s="313"/>
      <c r="L5" s="313"/>
      <c r="M5" s="313"/>
      <c r="N5" s="313"/>
      <c r="O5" s="313"/>
      <c r="P5" s="313"/>
      <c r="Q5" s="313"/>
      <c r="R5" s="313"/>
      <c r="S5" s="313"/>
      <c r="T5" s="313"/>
      <c r="U5" s="313"/>
      <c r="V5" s="313"/>
      <c r="W5" s="313"/>
    </row>
    <row r="6" spans="1:42" s="310" customFormat="1" ht="15">
      <c r="F6" s="311"/>
      <c r="G6" s="312"/>
      <c r="H6" s="313"/>
      <c r="I6" s="313"/>
      <c r="J6" s="313"/>
      <c r="K6" s="313"/>
      <c r="L6" s="313"/>
      <c r="M6" s="313"/>
      <c r="N6" s="313"/>
      <c r="O6" s="313"/>
      <c r="P6" s="313"/>
      <c r="Q6" s="313"/>
      <c r="R6" s="313"/>
      <c r="S6" s="313"/>
      <c r="T6" s="313"/>
      <c r="U6" s="313"/>
      <c r="V6" s="313"/>
      <c r="W6" s="313"/>
    </row>
    <row r="7" spans="1:42" s="310" customFormat="1" ht="15">
      <c r="F7" s="313"/>
      <c r="H7" s="313"/>
      <c r="I7" s="313"/>
      <c r="J7" s="313"/>
      <c r="K7" s="313"/>
      <c r="L7" s="313"/>
      <c r="M7" s="313"/>
      <c r="N7" s="313"/>
      <c r="O7" s="313"/>
      <c r="P7" s="313"/>
      <c r="Q7" s="313"/>
      <c r="R7" s="313"/>
      <c r="S7" s="313"/>
      <c r="T7" s="313"/>
      <c r="U7" s="313"/>
      <c r="V7" s="313"/>
      <c r="W7" s="313"/>
    </row>
    <row r="8" spans="1:42" ht="15" customHeight="1">
      <c r="A8" s="410"/>
      <c r="B8" s="1445" t="s">
        <v>1321</v>
      </c>
      <c r="C8" s="1448" t="s">
        <v>1320</v>
      </c>
      <c r="D8" s="1449"/>
      <c r="E8" s="1449"/>
      <c r="F8" s="1449"/>
      <c r="G8" s="1449"/>
      <c r="H8" s="1449"/>
      <c r="I8" s="1449"/>
      <c r="J8" s="1449"/>
      <c r="K8" s="1450"/>
      <c r="L8" s="606"/>
      <c r="M8" s="1451" t="s">
        <v>1319</v>
      </c>
      <c r="N8" s="1451"/>
      <c r="O8" s="1451"/>
      <c r="P8" s="1451"/>
      <c r="Q8" s="410"/>
      <c r="R8" s="410"/>
      <c r="S8" s="1451" t="s">
        <v>1318</v>
      </c>
      <c r="T8" s="1451"/>
      <c r="U8" s="1451"/>
      <c r="V8" s="1451"/>
      <c r="W8" s="1451"/>
      <c r="X8" s="410"/>
      <c r="Y8" s="410"/>
      <c r="Z8" s="410"/>
      <c r="AA8" s="410"/>
      <c r="AB8" s="410"/>
      <c r="AC8" s="410"/>
      <c r="AD8" s="410"/>
      <c r="AE8" s="410"/>
      <c r="AF8" s="410"/>
      <c r="AG8" s="410"/>
      <c r="AH8" s="410"/>
      <c r="AI8" s="410"/>
      <c r="AJ8" s="410"/>
      <c r="AK8" s="410"/>
      <c r="AL8" s="410"/>
      <c r="AM8" s="410"/>
      <c r="AN8" s="410"/>
      <c r="AO8" s="410"/>
      <c r="AP8" s="410"/>
    </row>
    <row r="9" spans="1:42" s="305" customFormat="1" ht="42.75">
      <c r="A9" s="412"/>
      <c r="B9" s="1446"/>
      <c r="C9" s="309" t="s">
        <v>1317</v>
      </c>
      <c r="D9" s="309" t="s">
        <v>1316</v>
      </c>
      <c r="E9" s="309" t="s">
        <v>1409</v>
      </c>
      <c r="F9" s="309" t="s">
        <v>1315</v>
      </c>
      <c r="G9" s="309" t="s">
        <v>1314</v>
      </c>
      <c r="H9" s="309" t="s">
        <v>1313</v>
      </c>
      <c r="I9" s="309" t="s">
        <v>1312</v>
      </c>
      <c r="J9" s="309" t="s">
        <v>1311</v>
      </c>
      <c r="K9" s="309" t="s">
        <v>1304</v>
      </c>
      <c r="L9" s="606"/>
      <c r="M9" s="308" t="s">
        <v>1310</v>
      </c>
      <c r="N9" s="308" t="s">
        <v>1309</v>
      </c>
      <c r="O9" s="307" t="s">
        <v>1305</v>
      </c>
      <c r="P9" s="306" t="s">
        <v>1304</v>
      </c>
      <c r="Q9" s="412"/>
      <c r="R9" s="413"/>
      <c r="S9" s="307" t="s">
        <v>1308</v>
      </c>
      <c r="T9" s="307" t="s">
        <v>1307</v>
      </c>
      <c r="U9" s="307" t="s">
        <v>1306</v>
      </c>
      <c r="V9" s="307" t="s">
        <v>1305</v>
      </c>
      <c r="W9" s="306" t="s">
        <v>1304</v>
      </c>
      <c r="X9" s="412"/>
      <c r="Y9" s="412"/>
      <c r="Z9" s="412"/>
      <c r="AA9" s="412"/>
      <c r="AB9" s="412"/>
      <c r="AC9" s="412"/>
      <c r="AD9" s="412"/>
      <c r="AE9" s="412"/>
      <c r="AF9" s="412"/>
      <c r="AG9" s="412"/>
      <c r="AH9" s="412"/>
      <c r="AI9" s="412"/>
      <c r="AJ9" s="412"/>
      <c r="AK9" s="412"/>
      <c r="AL9" s="412"/>
      <c r="AM9" s="412"/>
      <c r="AN9" s="412"/>
      <c r="AO9" s="412"/>
      <c r="AP9" s="412"/>
    </row>
    <row r="10" spans="1:42" ht="16.149999999999999" thickBot="1">
      <c r="A10" s="410"/>
      <c r="B10" s="1447"/>
      <c r="C10" s="304"/>
      <c r="D10" s="304"/>
      <c r="E10" s="304" t="s">
        <v>1303</v>
      </c>
      <c r="F10" s="304" t="s">
        <v>1302</v>
      </c>
      <c r="G10" s="304"/>
      <c r="H10" s="304"/>
      <c r="I10" s="304" t="s">
        <v>1301</v>
      </c>
      <c r="J10" s="304" t="s">
        <v>1300</v>
      </c>
      <c r="K10" s="304" t="s">
        <v>1299</v>
      </c>
      <c r="L10" s="676"/>
      <c r="M10" s="304" t="s">
        <v>1298</v>
      </c>
      <c r="N10" s="304" t="s">
        <v>1297</v>
      </c>
      <c r="O10" s="304" t="s">
        <v>1296</v>
      </c>
      <c r="P10" s="303" t="s">
        <v>1295</v>
      </c>
      <c r="Q10" s="410"/>
      <c r="R10" s="414"/>
      <c r="S10" s="304" t="s">
        <v>1294</v>
      </c>
      <c r="T10" s="304" t="s">
        <v>1293</v>
      </c>
      <c r="U10" s="304" t="s">
        <v>1292</v>
      </c>
      <c r="V10" s="304" t="s">
        <v>1291</v>
      </c>
      <c r="W10" s="303" t="s">
        <v>1290</v>
      </c>
      <c r="X10" s="410"/>
      <c r="Y10" s="410"/>
      <c r="Z10" s="410"/>
      <c r="AA10" s="410"/>
      <c r="AB10" s="410"/>
      <c r="AC10" s="410"/>
      <c r="AD10" s="410"/>
      <c r="AE10" s="410"/>
      <c r="AF10" s="410"/>
      <c r="AG10" s="410"/>
      <c r="AH10" s="410"/>
      <c r="AI10" s="410"/>
      <c r="AJ10" s="410"/>
      <c r="AK10" s="410"/>
      <c r="AL10" s="410"/>
      <c r="AM10" s="410"/>
      <c r="AN10" s="410"/>
      <c r="AO10" s="410"/>
      <c r="AP10" s="410"/>
    </row>
    <row r="11" spans="1:42" ht="21.4" thickBot="1">
      <c r="A11" s="410"/>
      <c r="B11" s="302">
        <v>44256</v>
      </c>
      <c r="C11" s="677"/>
      <c r="D11" s="677"/>
      <c r="E11" s="678">
        <f>C11+D11</f>
        <v>0</v>
      </c>
      <c r="F11" s="678">
        <f>E11*0.0725</f>
        <v>0</v>
      </c>
      <c r="G11" s="677"/>
      <c r="H11" s="677"/>
      <c r="I11" s="678">
        <f>SUM(G11:H11)</f>
        <v>0</v>
      </c>
      <c r="J11" s="678">
        <f>F11-I11</f>
        <v>0</v>
      </c>
      <c r="K11" s="301">
        <f>IF(I11&lt;=F11,0,(MAX(J11*0.05,-0.5)))</f>
        <v>0</v>
      </c>
      <c r="L11" s="606"/>
      <c r="M11" s="679">
        <v>11</v>
      </c>
      <c r="N11" s="677"/>
      <c r="O11" s="678">
        <f>M11-N11</f>
        <v>11</v>
      </c>
      <c r="P11" s="301">
        <f>IF(N11&lt;=10,0,(MAX(O11*0.02,-0.5)))</f>
        <v>0</v>
      </c>
      <c r="Q11" s="410"/>
      <c r="R11" s="606"/>
      <c r="S11" s="677"/>
      <c r="T11" s="678">
        <f>0.75*S11</f>
        <v>0</v>
      </c>
      <c r="U11" s="677"/>
      <c r="V11" s="678">
        <f>U11-T11</f>
        <v>0</v>
      </c>
      <c r="W11" s="300">
        <f>IF(U11&gt;=T11,(MIN(0.5, V11*0.05)),(MAX(V11*0.05,-0.5)))</f>
        <v>0</v>
      </c>
      <c r="X11" s="410"/>
      <c r="Y11" s="410"/>
      <c r="Z11" s="410"/>
      <c r="AA11" s="410"/>
      <c r="AB11" s="410"/>
      <c r="AC11" s="410"/>
      <c r="AD11" s="410"/>
      <c r="AE11" s="410"/>
      <c r="AF11" s="410"/>
      <c r="AG11" s="410"/>
      <c r="AH11" s="410"/>
      <c r="AI11" s="410"/>
      <c r="AJ11" s="410"/>
      <c r="AK11" s="410"/>
      <c r="AL11" s="410"/>
      <c r="AM11" s="410"/>
      <c r="AN11" s="410"/>
      <c r="AO11" s="410"/>
      <c r="AP11" s="410"/>
    </row>
    <row r="12" spans="1:42" s="410" customFormat="1">
      <c r="C12" s="606"/>
      <c r="D12" s="606"/>
      <c r="E12" s="606"/>
      <c r="F12" s="606"/>
      <c r="G12" s="606"/>
      <c r="H12" s="606"/>
      <c r="I12" s="606"/>
      <c r="J12" s="606"/>
      <c r="K12" s="606"/>
      <c r="L12" s="606"/>
      <c r="M12" s="606"/>
      <c r="N12" s="606"/>
      <c r="O12" s="606"/>
      <c r="P12" s="606"/>
      <c r="T12" s="606"/>
      <c r="U12" s="606"/>
      <c r="V12" s="606"/>
      <c r="W12" s="606"/>
    </row>
    <row r="13" spans="1:42" s="410" customFormat="1">
      <c r="B13" s="606"/>
      <c r="C13" s="606"/>
      <c r="D13" s="606"/>
      <c r="E13" s="606"/>
      <c r="F13" s="606"/>
      <c r="G13" s="606"/>
      <c r="H13" s="606"/>
      <c r="J13" s="415" t="s">
        <v>1289</v>
      </c>
      <c r="K13" s="416">
        <v>0</v>
      </c>
      <c r="L13" s="606"/>
      <c r="M13" s="606"/>
      <c r="O13" s="415" t="s">
        <v>1289</v>
      </c>
      <c r="P13" s="416">
        <v>0</v>
      </c>
      <c r="T13" s="606"/>
      <c r="V13" s="417" t="s">
        <v>1289</v>
      </c>
      <c r="W13" s="418">
        <f>0.5</f>
        <v>0.5</v>
      </c>
    </row>
    <row r="14" spans="1:42" s="410" customFormat="1">
      <c r="B14" s="606"/>
      <c r="C14" s="606"/>
      <c r="D14" s="606"/>
      <c r="E14" s="606"/>
      <c r="F14" s="606"/>
      <c r="G14" s="606"/>
      <c r="H14" s="606"/>
      <c r="J14" s="415" t="s">
        <v>1288</v>
      </c>
      <c r="K14" s="416">
        <v>-0.5</v>
      </c>
      <c r="L14" s="606"/>
      <c r="M14" s="606"/>
      <c r="N14" s="606"/>
      <c r="O14" s="417" t="s">
        <v>1288</v>
      </c>
      <c r="P14" s="418">
        <f>-0.5</f>
        <v>-0.5</v>
      </c>
      <c r="V14" s="417" t="s">
        <v>1288</v>
      </c>
      <c r="W14" s="418">
        <f>-0.5</f>
        <v>-0.5</v>
      </c>
    </row>
    <row r="15" spans="1:42" s="410" customFormat="1">
      <c r="B15" s="419"/>
    </row>
    <row r="16" spans="1:42" s="410" customFormat="1" ht="28.5">
      <c r="B16" s="420" t="s">
        <v>1108</v>
      </c>
      <c r="C16" s="420"/>
      <c r="D16" s="420"/>
      <c r="E16" s="420"/>
      <c r="F16" s="420"/>
      <c r="G16" s="420"/>
      <c r="H16" s="420"/>
      <c r="I16" s="411"/>
      <c r="J16" s="411"/>
      <c r="K16" s="411"/>
      <c r="L16" s="411"/>
      <c r="M16" s="411"/>
      <c r="N16" s="411"/>
      <c r="O16" s="411"/>
      <c r="P16" s="411"/>
    </row>
    <row r="17" spans="1:39" s="410" customFormat="1">
      <c r="B17" s="419"/>
      <c r="K17" s="421"/>
    </row>
    <row r="18" spans="1:39" ht="33.200000000000003" customHeight="1">
      <c r="A18" s="410"/>
      <c r="B18" s="1452" t="s">
        <v>1287</v>
      </c>
      <c r="C18" s="1453"/>
      <c r="D18" s="1453"/>
      <c r="E18" s="1454"/>
      <c r="F18" s="410"/>
      <c r="G18" s="1455" t="s">
        <v>1701</v>
      </c>
      <c r="H18" s="1456"/>
      <c r="I18" s="1456"/>
      <c r="J18" s="1456"/>
      <c r="K18" s="1457"/>
      <c r="L18" s="454"/>
      <c r="M18" s="1455" t="s">
        <v>1720</v>
      </c>
      <c r="N18" s="1456"/>
      <c r="O18" s="1456"/>
      <c r="P18" s="1456"/>
      <c r="Q18" s="1456"/>
      <c r="R18" s="1457"/>
      <c r="S18" s="410"/>
      <c r="T18" s="410"/>
      <c r="U18" s="410"/>
      <c r="V18" s="410"/>
      <c r="W18" s="410"/>
      <c r="X18" s="410"/>
      <c r="Y18" s="410"/>
      <c r="Z18" s="410"/>
      <c r="AA18" s="410"/>
      <c r="AB18" s="410"/>
      <c r="AC18" s="410"/>
      <c r="AD18" s="410"/>
      <c r="AE18" s="410"/>
      <c r="AF18" s="410"/>
      <c r="AG18" s="410"/>
      <c r="AH18" s="410"/>
      <c r="AI18" s="410"/>
      <c r="AJ18" s="410"/>
      <c r="AK18" s="410"/>
      <c r="AL18" s="410"/>
      <c r="AM18" s="410"/>
    </row>
    <row r="19" spans="1:39" ht="42.75">
      <c r="A19" s="410"/>
      <c r="B19" s="299" t="s">
        <v>1286</v>
      </c>
      <c r="C19" s="299" t="s">
        <v>1285</v>
      </c>
      <c r="D19" s="299" t="s">
        <v>1284</v>
      </c>
      <c r="E19" s="299" t="s">
        <v>1283</v>
      </c>
      <c r="F19" s="410"/>
      <c r="G19" s="299" t="s">
        <v>1702</v>
      </c>
      <c r="H19" s="299" t="s">
        <v>1703</v>
      </c>
      <c r="I19" s="299" t="s">
        <v>1704</v>
      </c>
      <c r="J19" s="299" t="s">
        <v>1705</v>
      </c>
      <c r="K19" s="299" t="s">
        <v>1706</v>
      </c>
      <c r="L19" s="454"/>
      <c r="M19" s="299" t="s">
        <v>1702</v>
      </c>
      <c r="N19" s="299" t="s">
        <v>1721</v>
      </c>
      <c r="O19" s="299" t="s">
        <v>1722</v>
      </c>
      <c r="P19" s="299" t="s">
        <v>1723</v>
      </c>
      <c r="Q19" s="299" t="s">
        <v>1724</v>
      </c>
      <c r="R19" s="299" t="s">
        <v>1725</v>
      </c>
      <c r="S19" s="410"/>
      <c r="T19" s="410"/>
      <c r="U19" s="410"/>
      <c r="V19" s="410"/>
      <c r="W19" s="410"/>
      <c r="X19" s="410"/>
      <c r="Y19" s="410"/>
      <c r="Z19" s="410"/>
      <c r="AA19" s="410"/>
      <c r="AB19" s="410"/>
      <c r="AC19" s="410"/>
      <c r="AD19" s="410"/>
      <c r="AE19" s="410"/>
      <c r="AF19" s="410"/>
      <c r="AG19" s="410"/>
      <c r="AH19" s="410"/>
      <c r="AI19" s="410"/>
      <c r="AJ19" s="410"/>
      <c r="AK19" s="410"/>
      <c r="AL19" s="410"/>
      <c r="AM19" s="410"/>
    </row>
    <row r="20" spans="1:39" ht="39" customHeight="1">
      <c r="A20" s="410"/>
      <c r="B20" s="680"/>
      <c r="C20" s="680"/>
      <c r="D20" s="681"/>
      <c r="E20" s="682"/>
      <c r="F20" s="410"/>
      <c r="G20" s="683" t="s">
        <v>1707</v>
      </c>
      <c r="H20" s="680"/>
      <c r="I20" s="681"/>
      <c r="J20" s="682"/>
      <c r="K20" s="682"/>
      <c r="L20" s="454"/>
      <c r="M20" s="683" t="s">
        <v>1707</v>
      </c>
      <c r="N20" s="680"/>
      <c r="O20" s="681"/>
      <c r="P20" s="682"/>
      <c r="Q20" s="682"/>
      <c r="R20" s="682"/>
      <c r="S20" s="410"/>
      <c r="T20" s="410"/>
      <c r="U20" s="410"/>
      <c r="V20" s="410"/>
      <c r="W20" s="410"/>
      <c r="X20" s="410"/>
      <c r="Y20" s="410"/>
      <c r="Z20" s="410"/>
      <c r="AA20" s="410"/>
      <c r="AB20" s="410"/>
      <c r="AC20" s="410"/>
      <c r="AD20" s="410"/>
      <c r="AE20" s="410"/>
      <c r="AF20" s="410"/>
      <c r="AG20" s="410"/>
      <c r="AH20" s="410"/>
      <c r="AI20" s="410"/>
      <c r="AJ20" s="410"/>
      <c r="AK20" s="410"/>
      <c r="AL20" s="410"/>
      <c r="AM20" s="410"/>
    </row>
    <row r="21" spans="1:39" ht="26.45" customHeight="1">
      <c r="A21" s="410"/>
      <c r="B21" s="680"/>
      <c r="C21" s="680"/>
      <c r="D21" s="681"/>
      <c r="E21" s="682"/>
      <c r="F21" s="410"/>
      <c r="G21" s="683" t="s">
        <v>1708</v>
      </c>
      <c r="H21" s="680"/>
      <c r="I21" s="681"/>
      <c r="J21" s="682"/>
      <c r="K21" s="682"/>
      <c r="L21" s="454"/>
      <c r="M21" s="683" t="s">
        <v>1708</v>
      </c>
      <c r="N21" s="680"/>
      <c r="O21" s="681"/>
      <c r="P21" s="682"/>
      <c r="Q21" s="682"/>
      <c r="R21" s="682"/>
      <c r="S21" s="410"/>
      <c r="T21" s="410"/>
      <c r="U21" s="410"/>
      <c r="V21" s="410"/>
      <c r="W21" s="410"/>
      <c r="X21" s="410"/>
      <c r="Y21" s="410"/>
      <c r="Z21" s="410"/>
      <c r="AA21" s="410"/>
      <c r="AB21" s="410"/>
      <c r="AC21" s="410"/>
      <c r="AD21" s="410"/>
      <c r="AE21" s="410"/>
      <c r="AF21" s="410"/>
      <c r="AG21" s="410"/>
      <c r="AH21" s="410"/>
      <c r="AI21" s="410"/>
      <c r="AJ21" s="410"/>
      <c r="AK21" s="410"/>
      <c r="AL21" s="410"/>
      <c r="AM21" s="410"/>
    </row>
    <row r="22" spans="1:39" ht="39" customHeight="1">
      <c r="A22" s="410"/>
      <c r="B22" s="680"/>
      <c r="C22" s="680"/>
      <c r="D22" s="681"/>
      <c r="E22" s="682"/>
      <c r="F22" s="410"/>
      <c r="G22" s="683" t="s">
        <v>1709</v>
      </c>
      <c r="H22" s="680"/>
      <c r="I22" s="681"/>
      <c r="J22" s="682"/>
      <c r="K22" s="682"/>
      <c r="L22" s="454"/>
      <c r="M22" s="683" t="s">
        <v>1709</v>
      </c>
      <c r="N22" s="680"/>
      <c r="O22" s="681"/>
      <c r="P22" s="682"/>
      <c r="Q22" s="682"/>
      <c r="R22" s="682"/>
      <c r="S22" s="410"/>
      <c r="T22" s="410"/>
      <c r="U22" s="410"/>
      <c r="V22" s="410"/>
      <c r="W22" s="410"/>
      <c r="X22" s="410"/>
      <c r="Y22" s="410"/>
      <c r="Z22" s="410"/>
      <c r="AA22" s="410"/>
      <c r="AB22" s="410"/>
      <c r="AC22" s="410"/>
      <c r="AD22" s="410"/>
      <c r="AE22" s="410"/>
      <c r="AF22" s="410"/>
      <c r="AG22" s="410"/>
      <c r="AH22" s="410"/>
      <c r="AI22" s="410"/>
      <c r="AJ22" s="410"/>
      <c r="AK22" s="410"/>
      <c r="AL22" s="410"/>
      <c r="AM22" s="410"/>
    </row>
    <row r="23" spans="1:39" ht="39" customHeight="1">
      <c r="A23" s="410"/>
      <c r="B23" s="680"/>
      <c r="C23" s="680"/>
      <c r="D23" s="681"/>
      <c r="E23" s="682"/>
      <c r="F23" s="410"/>
      <c r="G23" s="683" t="s">
        <v>1710</v>
      </c>
      <c r="H23" s="680"/>
      <c r="I23" s="681"/>
      <c r="J23" s="682"/>
      <c r="K23" s="682"/>
      <c r="L23" s="454"/>
      <c r="M23" s="683" t="s">
        <v>1710</v>
      </c>
      <c r="N23" s="680"/>
      <c r="O23" s="681"/>
      <c r="P23" s="682"/>
      <c r="Q23" s="682"/>
      <c r="R23" s="682"/>
      <c r="S23" s="410"/>
      <c r="T23" s="410"/>
      <c r="U23" s="410"/>
      <c r="V23" s="410"/>
      <c r="W23" s="410"/>
      <c r="X23" s="410"/>
      <c r="Y23" s="410"/>
      <c r="Z23" s="410"/>
      <c r="AA23" s="410"/>
      <c r="AB23" s="410"/>
      <c r="AC23" s="410"/>
      <c r="AD23" s="410"/>
      <c r="AE23" s="410"/>
      <c r="AF23" s="410"/>
      <c r="AG23" s="410"/>
      <c r="AH23" s="410"/>
      <c r="AI23" s="410"/>
      <c r="AJ23" s="410"/>
      <c r="AK23" s="410"/>
      <c r="AL23" s="410"/>
      <c r="AM23" s="410"/>
    </row>
    <row r="24" spans="1:39" ht="89.85" customHeight="1">
      <c r="A24" s="410"/>
      <c r="B24" s="680"/>
      <c r="C24" s="680"/>
      <c r="D24" s="681"/>
      <c r="E24" s="682"/>
      <c r="F24" s="410"/>
      <c r="G24" s="683" t="s">
        <v>1711</v>
      </c>
      <c r="H24" s="680"/>
      <c r="I24" s="681"/>
      <c r="J24" s="682"/>
      <c r="K24" s="682"/>
      <c r="L24" s="454"/>
      <c r="M24" s="683" t="s">
        <v>1711</v>
      </c>
      <c r="N24" s="680"/>
      <c r="O24" s="681"/>
      <c r="P24" s="682"/>
      <c r="Q24" s="682"/>
      <c r="R24" s="682"/>
      <c r="S24" s="410"/>
      <c r="T24" s="410"/>
      <c r="U24" s="410"/>
      <c r="V24" s="410"/>
      <c r="W24" s="410"/>
      <c r="X24" s="410"/>
      <c r="Y24" s="410"/>
      <c r="Z24" s="410"/>
      <c r="AA24" s="410"/>
      <c r="AB24" s="410"/>
      <c r="AC24" s="410"/>
      <c r="AD24" s="410"/>
      <c r="AE24" s="410"/>
      <c r="AF24" s="410"/>
      <c r="AG24" s="410"/>
      <c r="AH24" s="410"/>
      <c r="AI24" s="410"/>
      <c r="AJ24" s="410"/>
      <c r="AK24" s="410"/>
      <c r="AL24" s="410"/>
      <c r="AM24" s="410"/>
    </row>
    <row r="25" spans="1:39" ht="51.6" customHeight="1">
      <c r="A25" s="410"/>
      <c r="B25" s="680"/>
      <c r="C25" s="680"/>
      <c r="D25" s="681"/>
      <c r="E25" s="682"/>
      <c r="F25" s="410"/>
      <c r="G25" s="683" t="s">
        <v>1712</v>
      </c>
      <c r="H25" s="680"/>
      <c r="I25" s="681"/>
      <c r="J25" s="682"/>
      <c r="K25" s="682"/>
      <c r="L25" s="454"/>
      <c r="M25" s="683" t="s">
        <v>1712</v>
      </c>
      <c r="N25" s="680"/>
      <c r="O25" s="681"/>
      <c r="P25" s="682"/>
      <c r="Q25" s="682"/>
      <c r="R25" s="682"/>
      <c r="S25" s="410"/>
      <c r="T25" s="410"/>
      <c r="U25" s="410"/>
      <c r="V25" s="410"/>
      <c r="W25" s="410"/>
      <c r="X25" s="410"/>
      <c r="Y25" s="410"/>
      <c r="Z25" s="410"/>
      <c r="AA25" s="410"/>
      <c r="AB25" s="410"/>
      <c r="AC25" s="410"/>
      <c r="AD25" s="410"/>
      <c r="AE25" s="410"/>
      <c r="AF25" s="410"/>
      <c r="AG25" s="410"/>
      <c r="AH25" s="410"/>
      <c r="AI25" s="410"/>
      <c r="AJ25" s="410"/>
      <c r="AK25" s="410"/>
      <c r="AL25" s="410"/>
      <c r="AM25" s="410"/>
    </row>
    <row r="26" spans="1:39" ht="64.349999999999994" customHeight="1">
      <c r="A26" s="410"/>
      <c r="B26" s="680"/>
      <c r="C26" s="680"/>
      <c r="D26" s="681"/>
      <c r="E26" s="682"/>
      <c r="F26" s="410"/>
      <c r="G26" s="683" t="s">
        <v>1713</v>
      </c>
      <c r="H26" s="680"/>
      <c r="I26" s="681"/>
      <c r="J26" s="682"/>
      <c r="K26" s="682"/>
      <c r="L26" s="454"/>
      <c r="M26" s="683" t="s">
        <v>1713</v>
      </c>
      <c r="N26" s="680"/>
      <c r="O26" s="681"/>
      <c r="P26" s="682"/>
      <c r="Q26" s="682"/>
      <c r="R26" s="682"/>
      <c r="S26" s="410"/>
      <c r="T26" s="410"/>
      <c r="U26" s="410"/>
      <c r="V26" s="410"/>
      <c r="W26" s="410"/>
      <c r="X26" s="410"/>
      <c r="Y26" s="410"/>
      <c r="Z26" s="410"/>
      <c r="AA26" s="410"/>
      <c r="AB26" s="410"/>
      <c r="AC26" s="410"/>
      <c r="AD26" s="410"/>
      <c r="AE26" s="410"/>
      <c r="AF26" s="410"/>
      <c r="AG26" s="410"/>
      <c r="AH26" s="410"/>
      <c r="AI26" s="410"/>
      <c r="AJ26" s="410"/>
      <c r="AK26" s="410"/>
      <c r="AL26" s="410"/>
      <c r="AM26" s="410"/>
    </row>
    <row r="27" spans="1:39" ht="39" customHeight="1">
      <c r="A27" s="410"/>
      <c r="B27" s="680"/>
      <c r="C27" s="680"/>
      <c r="D27" s="681"/>
      <c r="E27" s="682"/>
      <c r="F27" s="410"/>
      <c r="G27" s="683" t="s">
        <v>1714</v>
      </c>
      <c r="H27" s="680"/>
      <c r="I27" s="681"/>
      <c r="J27" s="682"/>
      <c r="K27" s="682"/>
      <c r="L27" s="454"/>
      <c r="M27" s="683" t="s">
        <v>1714</v>
      </c>
      <c r="N27" s="680"/>
      <c r="O27" s="681"/>
      <c r="P27" s="682"/>
      <c r="Q27" s="682"/>
      <c r="R27" s="682"/>
      <c r="S27" s="410"/>
      <c r="T27" s="410"/>
      <c r="U27" s="410"/>
      <c r="V27" s="410"/>
      <c r="W27" s="410"/>
      <c r="X27" s="410"/>
      <c r="Y27" s="410"/>
      <c r="Z27" s="410"/>
      <c r="AA27" s="410"/>
      <c r="AB27" s="410"/>
      <c r="AC27" s="410"/>
      <c r="AD27" s="410"/>
      <c r="AE27" s="410"/>
      <c r="AF27" s="410"/>
      <c r="AG27" s="410"/>
      <c r="AH27" s="410"/>
      <c r="AI27" s="410"/>
      <c r="AJ27" s="410"/>
      <c r="AK27" s="410"/>
      <c r="AL27" s="410"/>
      <c r="AM27" s="410"/>
    </row>
    <row r="28" spans="1:39" ht="26.45" customHeight="1">
      <c r="A28" s="410"/>
      <c r="B28" s="680"/>
      <c r="C28" s="680"/>
      <c r="D28" s="681"/>
      <c r="E28" s="682"/>
      <c r="F28" s="410"/>
      <c r="G28" s="683" t="s">
        <v>1715</v>
      </c>
      <c r="H28" s="680"/>
      <c r="I28" s="681"/>
      <c r="J28" s="682"/>
      <c r="K28" s="682"/>
      <c r="L28" s="454"/>
      <c r="M28" s="683" t="s">
        <v>1715</v>
      </c>
      <c r="N28" s="680"/>
      <c r="O28" s="681"/>
      <c r="P28" s="682"/>
      <c r="Q28" s="682"/>
      <c r="R28" s="682"/>
      <c r="S28" s="410"/>
      <c r="T28" s="410"/>
      <c r="U28" s="410"/>
      <c r="V28" s="410"/>
      <c r="W28" s="410"/>
      <c r="X28" s="410"/>
      <c r="Y28" s="410"/>
      <c r="Z28" s="410"/>
      <c r="AA28" s="410"/>
      <c r="AB28" s="410"/>
      <c r="AC28" s="410"/>
      <c r="AD28" s="410"/>
      <c r="AE28" s="410"/>
      <c r="AF28" s="410"/>
      <c r="AG28" s="410"/>
      <c r="AH28" s="410"/>
      <c r="AI28" s="410"/>
      <c r="AJ28" s="410"/>
      <c r="AK28" s="410"/>
      <c r="AL28" s="410"/>
      <c r="AM28" s="410"/>
    </row>
    <row r="29" spans="1:39" ht="26.45" customHeight="1">
      <c r="A29" s="410"/>
      <c r="B29" s="680"/>
      <c r="C29" s="680"/>
      <c r="D29" s="681"/>
      <c r="E29" s="682"/>
      <c r="F29" s="410"/>
      <c r="G29" s="683" t="s">
        <v>1716</v>
      </c>
      <c r="H29" s="680"/>
      <c r="I29" s="681"/>
      <c r="J29" s="682"/>
      <c r="K29" s="682"/>
      <c r="L29" s="454"/>
      <c r="M29" s="683" t="s">
        <v>1716</v>
      </c>
      <c r="N29" s="680"/>
      <c r="O29" s="681"/>
      <c r="P29" s="682"/>
      <c r="Q29" s="682"/>
      <c r="R29" s="682"/>
      <c r="S29" s="410"/>
      <c r="T29" s="410"/>
      <c r="U29" s="410"/>
      <c r="V29" s="410"/>
      <c r="W29" s="410"/>
      <c r="X29" s="410"/>
      <c r="Y29" s="410"/>
      <c r="Z29" s="410"/>
      <c r="AA29" s="410"/>
      <c r="AB29" s="410"/>
      <c r="AC29" s="410"/>
      <c r="AD29" s="410"/>
      <c r="AE29" s="410"/>
      <c r="AF29" s="410"/>
      <c r="AG29" s="410"/>
      <c r="AH29" s="410"/>
      <c r="AI29" s="410"/>
      <c r="AJ29" s="410"/>
      <c r="AK29" s="410"/>
      <c r="AL29" s="410"/>
      <c r="AM29" s="410"/>
    </row>
    <row r="30" spans="1:39" ht="39" customHeight="1">
      <c r="A30" s="410"/>
      <c r="B30" s="680"/>
      <c r="C30" s="680"/>
      <c r="D30" s="681"/>
      <c r="E30" s="682"/>
      <c r="F30" s="410"/>
      <c r="G30" s="683" t="s">
        <v>1717</v>
      </c>
      <c r="H30" s="680"/>
      <c r="I30" s="681"/>
      <c r="J30" s="682"/>
      <c r="K30" s="682"/>
      <c r="L30" s="454"/>
      <c r="M30" s="683" t="s">
        <v>1717</v>
      </c>
      <c r="N30" s="680"/>
      <c r="O30" s="681"/>
      <c r="P30" s="682"/>
      <c r="Q30" s="682"/>
      <c r="R30" s="682"/>
      <c r="S30" s="410"/>
      <c r="T30" s="410"/>
      <c r="U30" s="410"/>
      <c r="V30" s="410"/>
      <c r="W30" s="410"/>
      <c r="X30" s="410"/>
      <c r="Y30" s="410"/>
      <c r="Z30" s="410"/>
      <c r="AA30" s="410"/>
      <c r="AB30" s="410"/>
      <c r="AC30" s="410"/>
      <c r="AD30" s="410"/>
      <c r="AE30" s="410"/>
      <c r="AF30" s="410"/>
      <c r="AG30" s="410"/>
      <c r="AH30" s="410"/>
      <c r="AI30" s="410"/>
      <c r="AJ30" s="410"/>
      <c r="AK30" s="410"/>
      <c r="AL30" s="410"/>
      <c r="AM30" s="410"/>
    </row>
    <row r="31" spans="1:39" ht="51.6" customHeight="1">
      <c r="A31" s="410"/>
      <c r="B31" s="680"/>
      <c r="C31" s="680"/>
      <c r="D31" s="681"/>
      <c r="E31" s="682"/>
      <c r="F31" s="410"/>
      <c r="G31" s="683" t="s">
        <v>1718</v>
      </c>
      <c r="H31" s="680"/>
      <c r="I31" s="681"/>
      <c r="J31" s="682"/>
      <c r="K31" s="682"/>
      <c r="L31" s="454"/>
      <c r="M31" s="683" t="s">
        <v>1718</v>
      </c>
      <c r="N31" s="680"/>
      <c r="O31" s="681"/>
      <c r="P31" s="682"/>
      <c r="Q31" s="682"/>
      <c r="R31" s="682"/>
      <c r="S31" s="410"/>
      <c r="T31" s="410"/>
      <c r="U31" s="410"/>
      <c r="V31" s="410"/>
      <c r="W31" s="410"/>
      <c r="X31" s="410"/>
      <c r="Y31" s="410"/>
      <c r="Z31" s="410"/>
      <c r="AA31" s="410"/>
      <c r="AB31" s="410"/>
      <c r="AC31" s="410"/>
      <c r="AD31" s="410"/>
      <c r="AE31" s="410"/>
      <c r="AF31" s="410"/>
      <c r="AG31" s="410"/>
      <c r="AH31" s="410"/>
      <c r="AI31" s="410"/>
      <c r="AJ31" s="410"/>
      <c r="AK31" s="410"/>
      <c r="AL31" s="410"/>
      <c r="AM31" s="410"/>
    </row>
    <row r="32" spans="1:39" ht="39" customHeight="1">
      <c r="A32" s="410"/>
      <c r="B32" s="680"/>
      <c r="C32" s="680"/>
      <c r="D32" s="681"/>
      <c r="E32" s="682"/>
      <c r="F32" s="410"/>
      <c r="G32" s="684" t="s">
        <v>1719</v>
      </c>
      <c r="H32" s="685"/>
      <c r="I32" s="685"/>
      <c r="J32" s="685"/>
      <c r="K32" s="685"/>
      <c r="L32" s="454"/>
      <c r="M32" s="684" t="s">
        <v>1719</v>
      </c>
      <c r="N32" s="685"/>
      <c r="O32" s="685"/>
      <c r="P32" s="685"/>
      <c r="Q32" s="685"/>
      <c r="R32" s="685"/>
      <c r="S32" s="410"/>
      <c r="T32" s="410"/>
      <c r="U32" s="410"/>
      <c r="V32" s="410"/>
      <c r="W32" s="410"/>
      <c r="X32" s="410"/>
      <c r="Y32" s="410"/>
      <c r="Z32" s="410"/>
      <c r="AA32" s="410"/>
      <c r="AB32" s="410"/>
      <c r="AC32" s="410"/>
      <c r="AD32" s="410"/>
      <c r="AE32" s="410"/>
      <c r="AF32" s="410"/>
      <c r="AG32" s="410"/>
      <c r="AH32" s="410"/>
      <c r="AI32" s="410"/>
      <c r="AJ32" s="410"/>
      <c r="AK32" s="410"/>
      <c r="AL32" s="410"/>
      <c r="AM32" s="410"/>
    </row>
    <row r="33" spans="1:39">
      <c r="A33" s="410"/>
      <c r="B33" s="680"/>
      <c r="C33" s="680"/>
      <c r="D33" s="681"/>
      <c r="E33" s="682"/>
      <c r="F33" s="410"/>
      <c r="G33" s="683"/>
      <c r="H33" s="680"/>
      <c r="I33" s="681"/>
      <c r="J33" s="682"/>
      <c r="K33" s="682"/>
      <c r="L33" s="454"/>
      <c r="M33" s="683"/>
      <c r="N33" s="680"/>
      <c r="O33" s="681"/>
      <c r="P33" s="682"/>
      <c r="Q33" s="682"/>
      <c r="R33" s="682"/>
      <c r="S33" s="410"/>
      <c r="T33" s="410"/>
      <c r="U33" s="410"/>
      <c r="V33" s="410"/>
      <c r="W33" s="410"/>
      <c r="X33" s="410"/>
      <c r="Y33" s="410"/>
      <c r="Z33" s="410"/>
      <c r="AA33" s="410"/>
      <c r="AB33" s="410"/>
      <c r="AC33" s="410"/>
      <c r="AD33" s="410"/>
      <c r="AE33" s="410"/>
      <c r="AF33" s="410"/>
      <c r="AG33" s="410"/>
      <c r="AH33" s="410"/>
      <c r="AI33" s="410"/>
      <c r="AJ33" s="410"/>
      <c r="AK33" s="410"/>
      <c r="AL33" s="410"/>
      <c r="AM33" s="410"/>
    </row>
    <row r="34" spans="1:39" s="410" customFormat="1">
      <c r="B34" s="419"/>
      <c r="G34" s="683"/>
      <c r="H34" s="680"/>
      <c r="I34" s="681"/>
      <c r="J34" s="682"/>
      <c r="K34" s="682"/>
      <c r="M34" s="683"/>
      <c r="N34" s="680"/>
      <c r="O34" s="681"/>
      <c r="P34" s="682"/>
      <c r="Q34" s="682"/>
      <c r="R34" s="682"/>
    </row>
    <row r="35" spans="1:39" s="410" customFormat="1">
      <c r="B35" s="419"/>
      <c r="G35" s="683"/>
      <c r="H35" s="680"/>
      <c r="I35" s="681"/>
      <c r="J35" s="682"/>
      <c r="K35" s="682"/>
      <c r="M35" s="683"/>
      <c r="N35" s="680"/>
      <c r="O35" s="681"/>
      <c r="P35" s="682"/>
      <c r="Q35" s="682"/>
      <c r="R35" s="682"/>
    </row>
    <row r="36" spans="1:39" s="410" customFormat="1">
      <c r="B36" s="419"/>
      <c r="G36" s="686" t="s">
        <v>1055</v>
      </c>
      <c r="H36" s="680"/>
      <c r="I36" s="681"/>
      <c r="J36" s="682"/>
      <c r="K36" s="682"/>
      <c r="M36" s="686" t="s">
        <v>1055</v>
      </c>
      <c r="N36" s="680"/>
      <c r="O36" s="681"/>
      <c r="P36" s="682"/>
      <c r="Q36" s="682"/>
      <c r="R36" s="682"/>
    </row>
    <row r="37" spans="1:39" s="410" customFormat="1">
      <c r="B37" s="419"/>
    </row>
    <row r="38" spans="1:39" s="410" customFormat="1">
      <c r="B38" s="419"/>
    </row>
    <row r="39" spans="1:39" s="410" customFormat="1">
      <c r="B39" s="419"/>
    </row>
    <row r="40" spans="1:39" s="410" customFormat="1">
      <c r="B40" s="419"/>
    </row>
    <row r="41" spans="1:39" s="410" customFormat="1">
      <c r="B41" s="419"/>
    </row>
    <row r="42" spans="1:39" s="410" customFormat="1">
      <c r="B42" s="419"/>
    </row>
    <row r="43" spans="1:39" s="410" customFormat="1">
      <c r="B43" s="419"/>
    </row>
    <row r="44" spans="1:39" s="410" customFormat="1">
      <c r="B44" s="419"/>
    </row>
    <row r="45" spans="1:39" s="410" customFormat="1">
      <c r="B45" s="419"/>
    </row>
    <row r="46" spans="1:39" s="410" customFormat="1">
      <c r="B46" s="419"/>
    </row>
    <row r="47" spans="1:39" s="410" customFormat="1">
      <c r="B47" s="419"/>
    </row>
    <row r="48" spans="1:39" s="410" customFormat="1">
      <c r="B48" s="419"/>
    </row>
    <row r="49" spans="2:2" s="410" customFormat="1">
      <c r="B49" s="419"/>
    </row>
  </sheetData>
  <mergeCells count="7">
    <mergeCell ref="B8:B10"/>
    <mergeCell ref="C8:K8"/>
    <mergeCell ref="M8:P8"/>
    <mergeCell ref="S8:W8"/>
    <mergeCell ref="B18:E18"/>
    <mergeCell ref="G18:K18"/>
    <mergeCell ref="M18:R18"/>
  </mergeCells>
  <pageMargins left="0.23622047244094491" right="0.23622047244094491" top="0.74803149606299213" bottom="0.74803149606299213" header="0.31496062992125984" footer="0.31496062992125984"/>
  <pageSetup paperSize="8" scale="2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0" zoomScaleNormal="80" workbookViewId="0"/>
  </sheetViews>
  <sheetFormatPr defaultRowHeight="14.25"/>
  <cols>
    <col min="1" max="3" width="1.59765625" customWidth="1"/>
    <col min="6" max="7" width="9.1328125" style="435"/>
    <col min="8" max="8" width="12.3984375" bestFit="1" customWidth="1"/>
    <col min="9" max="9" width="10" bestFit="1" customWidth="1"/>
    <col min="10" max="10" width="13.73046875" bestFit="1" customWidth="1"/>
    <col min="13" max="13" width="50.73046875" bestFit="1" customWidth="1"/>
    <col min="14" max="17" width="1.73046875" customWidth="1"/>
    <col min="18" max="28" width="9.1328125" hidden="1" customWidth="1"/>
  </cols>
  <sheetData>
    <row r="1" spans="1:36" s="73" customFormat="1" ht="23.25">
      <c r="A1" s="89" t="str">
        <f>'1.1 Cover'!A2</f>
        <v>Regulatory Reporting Pack</v>
      </c>
    </row>
    <row r="2" spans="1:36" s="73" customFormat="1" ht="23.25">
      <c r="A2" s="89" t="str">
        <f>'1.1 Cover'!A3</f>
        <v>Price base - 2018/19</v>
      </c>
    </row>
    <row r="3" spans="1:36" s="73" customFormat="1" ht="23.25">
      <c r="A3" s="89" t="str">
        <f>'1.1 Cover'!A4</f>
        <v>Regulatory Year: April 2021 - March 2022</v>
      </c>
    </row>
    <row r="4" spans="1:36" s="73" customFormat="1" ht="23.25">
      <c r="A4" s="89" t="s">
        <v>2641</v>
      </c>
    </row>
    <row r="6" spans="1:36" s="435" customFormat="1">
      <c r="AE6" s="1347" t="s">
        <v>112</v>
      </c>
      <c r="AF6" s="1348"/>
      <c r="AG6" s="1348"/>
      <c r="AH6" s="1348"/>
      <c r="AI6" s="1349"/>
    </row>
    <row r="7" spans="1:36" s="67" customFormat="1">
      <c r="D7" s="87" t="s">
        <v>111</v>
      </c>
      <c r="E7" s="87" t="s">
        <v>68</v>
      </c>
      <c r="F7" s="87"/>
      <c r="G7" s="87"/>
      <c r="H7" s="87" t="s">
        <v>110</v>
      </c>
      <c r="I7" s="87" t="s">
        <v>109</v>
      </c>
      <c r="J7" s="87" t="s">
        <v>108</v>
      </c>
      <c r="K7" s="87" t="s">
        <v>107</v>
      </c>
      <c r="L7" s="87" t="s">
        <v>106</v>
      </c>
      <c r="M7" s="87" t="s">
        <v>105</v>
      </c>
      <c r="N7" s="87"/>
      <c r="O7" s="87"/>
      <c r="P7" s="87"/>
      <c r="Q7" s="87"/>
      <c r="R7" s="86" t="s">
        <v>101</v>
      </c>
      <c r="S7" s="86" t="s">
        <v>100</v>
      </c>
      <c r="T7" s="86" t="s">
        <v>99</v>
      </c>
      <c r="U7" s="86" t="s">
        <v>98</v>
      </c>
      <c r="V7" s="86" t="s">
        <v>97</v>
      </c>
      <c r="W7" s="86" t="s">
        <v>96</v>
      </c>
      <c r="X7" s="86" t="s">
        <v>95</v>
      </c>
      <c r="Y7" s="86" t="s">
        <v>94</v>
      </c>
      <c r="Z7" s="86" t="s">
        <v>93</v>
      </c>
      <c r="AA7" s="86" t="s">
        <v>92</v>
      </c>
      <c r="AB7" s="86" t="s">
        <v>91</v>
      </c>
      <c r="AC7" s="67" t="s">
        <v>5</v>
      </c>
      <c r="AD7" s="435"/>
      <c r="AE7" s="84">
        <v>2022</v>
      </c>
      <c r="AF7" s="83">
        <v>2023</v>
      </c>
      <c r="AG7" s="83">
        <v>2024</v>
      </c>
      <c r="AH7" s="83">
        <v>2025</v>
      </c>
      <c r="AI7" s="82">
        <v>2026</v>
      </c>
      <c r="AJ7" s="435"/>
    </row>
    <row r="8" spans="1:36" s="435" customFormat="1">
      <c r="R8" s="67"/>
      <c r="S8" s="67"/>
      <c r="T8" s="67"/>
      <c r="U8" s="67"/>
      <c r="V8" s="67"/>
      <c r="W8" s="67"/>
      <c r="X8" s="67"/>
    </row>
    <row r="9" spans="1:36" s="1" customFormat="1" ht="17.649999999999999">
      <c r="B9" s="2"/>
    </row>
    <row r="10" spans="1:36" s="435" customFormat="1"/>
    <row r="11" spans="1:36" s="1" customFormat="1" ht="13.9">
      <c r="A11" s="66"/>
      <c r="B11" s="78" t="s">
        <v>1413</v>
      </c>
    </row>
    <row r="13" spans="1:36">
      <c r="D13" t="s">
        <v>79</v>
      </c>
      <c r="G13" s="435" t="s">
        <v>12</v>
      </c>
      <c r="H13" t="s">
        <v>2669</v>
      </c>
      <c r="I13" t="s">
        <v>7</v>
      </c>
      <c r="J13" t="s">
        <v>299</v>
      </c>
      <c r="M13" s="435" t="s">
        <v>855</v>
      </c>
      <c r="AC13" t="s">
        <v>2</v>
      </c>
      <c r="AE13" s="813">
        <f>SUMIFS('6.3 Asset_Health'!AE$11:AE$720,'6.3 Asset_Health'!$G$11:$G$720,$G13,'6.3 Asset_Health'!$M$11:$M$720,$M13)</f>
        <v>0</v>
      </c>
      <c r="AF13" s="813">
        <f>SUMIFS('6.3 Asset_Health'!AF$11:AF$720,'6.3 Asset_Health'!$G$11:$G$720,$G13,'6.3 Asset_Health'!$M$11:$M$720,$M13)</f>
        <v>0</v>
      </c>
      <c r="AG13" s="813">
        <f>SUMIFS('6.3 Asset_Health'!AG$11:AG$720,'6.3 Asset_Health'!$G$11:$G$720,$G13,'6.3 Asset_Health'!$M$11:$M$720,$M13)</f>
        <v>0</v>
      </c>
      <c r="AH13" s="813">
        <f>SUMIFS('6.3 Asset_Health'!AH$11:AH$720,'6.3 Asset_Health'!$G$11:$G$720,$G13,'6.3 Asset_Health'!$M$11:$M$720,$M13)</f>
        <v>0</v>
      </c>
      <c r="AI13" s="813">
        <f>SUMIFS('6.3 Asset_Health'!AI$11:AI$720,'6.3 Asset_Health'!$G$11:$G$720,$G13,'6.3 Asset_Health'!$M$11:$M$720,$M13)</f>
        <v>0</v>
      </c>
    </row>
    <row r="14" spans="1:36">
      <c r="D14" s="435" t="s">
        <v>79</v>
      </c>
      <c r="E14" s="435"/>
      <c r="G14" s="435" t="s">
        <v>12</v>
      </c>
      <c r="H14" s="435" t="s">
        <v>2669</v>
      </c>
      <c r="I14" s="435" t="s">
        <v>7</v>
      </c>
      <c r="J14" s="435" t="s">
        <v>299</v>
      </c>
      <c r="M14" s="435" t="s">
        <v>2655</v>
      </c>
      <c r="AC14" s="435" t="s">
        <v>2</v>
      </c>
      <c r="AE14" s="813">
        <f>SUMIFS('6.3 Asset_Health'!AE$11:AE$720,'6.3 Asset_Health'!$G$11:$G$720,$G14,'6.3 Asset_Health'!$M$11:$M$720,$M14)</f>
        <v>0</v>
      </c>
      <c r="AF14" s="813">
        <f>SUMIFS('6.3 Asset_Health'!AF$11:AF$720,'6.3 Asset_Health'!$G$11:$G$720,$G14,'6.3 Asset_Health'!$M$11:$M$720,$M14)</f>
        <v>0</v>
      </c>
      <c r="AG14" s="813">
        <f>SUMIFS('6.3 Asset_Health'!AG$11:AG$720,'6.3 Asset_Health'!$G$11:$G$720,$G14,'6.3 Asset_Health'!$M$11:$M$720,$M14)</f>
        <v>0</v>
      </c>
      <c r="AH14" s="813">
        <f>SUMIFS('6.3 Asset_Health'!AH$11:AH$720,'6.3 Asset_Health'!$G$11:$G$720,$G14,'6.3 Asset_Health'!$M$11:$M$720,$M14)</f>
        <v>0</v>
      </c>
      <c r="AI14" s="813">
        <f>SUMIFS('6.3 Asset_Health'!AI$11:AI$720,'6.3 Asset_Health'!$G$11:$G$720,$G14,'6.3 Asset_Health'!$M$11:$M$720,$M14)</f>
        <v>0</v>
      </c>
    </row>
    <row r="15" spans="1:36">
      <c r="D15" s="435" t="s">
        <v>79</v>
      </c>
      <c r="E15" s="435"/>
      <c r="G15" s="435" t="s">
        <v>12</v>
      </c>
      <c r="H15" s="435" t="s">
        <v>2669</v>
      </c>
      <c r="I15" s="435" t="s">
        <v>7</v>
      </c>
      <c r="J15" s="435" t="s">
        <v>299</v>
      </c>
      <c r="M15" s="435" t="s">
        <v>832</v>
      </c>
      <c r="AC15" s="435" t="s">
        <v>2</v>
      </c>
      <c r="AE15" s="813">
        <f>SUMIFS('6.3 Asset_Health'!AE$11:AE$720,'6.3 Asset_Health'!$G$11:$G$720,$G15,'6.3 Asset_Health'!$M$11:$M$720,$M15)</f>
        <v>0</v>
      </c>
      <c r="AF15" s="813">
        <f>SUMIFS('6.3 Asset_Health'!AF$11:AF$720,'6.3 Asset_Health'!$G$11:$G$720,$G15,'6.3 Asset_Health'!$M$11:$M$720,$M15)</f>
        <v>0</v>
      </c>
      <c r="AG15" s="813">
        <f>SUMIFS('6.3 Asset_Health'!AG$11:AG$720,'6.3 Asset_Health'!$G$11:$G$720,$G15,'6.3 Asset_Health'!$M$11:$M$720,$M15)</f>
        <v>0</v>
      </c>
      <c r="AH15" s="813">
        <f>SUMIFS('6.3 Asset_Health'!AH$11:AH$720,'6.3 Asset_Health'!$G$11:$G$720,$G15,'6.3 Asset_Health'!$M$11:$M$720,$M15)</f>
        <v>0</v>
      </c>
      <c r="AI15" s="813">
        <f>SUMIFS('6.3 Asset_Health'!AI$11:AI$720,'6.3 Asset_Health'!$G$11:$G$720,$G15,'6.3 Asset_Health'!$M$11:$M$720,$M15)</f>
        <v>0</v>
      </c>
    </row>
    <row r="16" spans="1:36">
      <c r="D16" s="435" t="s">
        <v>79</v>
      </c>
      <c r="E16" s="435"/>
      <c r="G16" s="435" t="s">
        <v>12</v>
      </c>
      <c r="H16" s="435" t="s">
        <v>2669</v>
      </c>
      <c r="I16" s="435" t="s">
        <v>7</v>
      </c>
      <c r="J16" s="435" t="s">
        <v>299</v>
      </c>
      <c r="M16" s="435" t="s">
        <v>833</v>
      </c>
      <c r="AC16" s="435" t="s">
        <v>2</v>
      </c>
      <c r="AE16" s="813">
        <f>SUMIFS('6.3 Asset_Health'!AE$11:AE$720,'6.3 Asset_Health'!$G$11:$G$720,$G16,'6.3 Asset_Health'!$M$11:$M$720,$M16)</f>
        <v>0</v>
      </c>
      <c r="AF16" s="813">
        <f>SUMIFS('6.3 Asset_Health'!AF$11:AF$720,'6.3 Asset_Health'!$G$11:$G$720,$G16,'6.3 Asset_Health'!$M$11:$M$720,$M16)</f>
        <v>0</v>
      </c>
      <c r="AG16" s="813">
        <f>SUMIFS('6.3 Asset_Health'!AG$11:AG$720,'6.3 Asset_Health'!$G$11:$G$720,$G16,'6.3 Asset_Health'!$M$11:$M$720,$M16)</f>
        <v>0</v>
      </c>
      <c r="AH16" s="813">
        <f>SUMIFS('6.3 Asset_Health'!AH$11:AH$720,'6.3 Asset_Health'!$G$11:$G$720,$G16,'6.3 Asset_Health'!$M$11:$M$720,$M16)</f>
        <v>0</v>
      </c>
      <c r="AI16" s="813">
        <f>SUMIFS('6.3 Asset_Health'!AI$11:AI$720,'6.3 Asset_Health'!$G$11:$G$720,$G16,'6.3 Asset_Health'!$M$11:$M$720,$M16)</f>
        <v>0</v>
      </c>
    </row>
    <row r="17" spans="4:35">
      <c r="D17" s="435" t="s">
        <v>79</v>
      </c>
      <c r="E17" s="435"/>
      <c r="G17" s="435" t="s">
        <v>12</v>
      </c>
      <c r="H17" s="435" t="s">
        <v>2669</v>
      </c>
      <c r="I17" s="435" t="s">
        <v>7</v>
      </c>
      <c r="J17" s="435" t="s">
        <v>299</v>
      </c>
      <c r="M17" s="435" t="s">
        <v>2656</v>
      </c>
      <c r="AC17" s="435" t="s">
        <v>2</v>
      </c>
      <c r="AE17" s="813">
        <f>SUMIFS('6.3 Asset_Health'!AE$11:AE$720,'6.3 Asset_Health'!$G$11:$G$720,$G17,'6.3 Asset_Health'!$M$11:$M$720,$M17)</f>
        <v>0</v>
      </c>
      <c r="AF17" s="813">
        <f>SUMIFS('6.3 Asset_Health'!AF$11:AF$720,'6.3 Asset_Health'!$G$11:$G$720,$G17,'6.3 Asset_Health'!$M$11:$M$720,$M17)</f>
        <v>0</v>
      </c>
      <c r="AG17" s="813">
        <f>SUMIFS('6.3 Asset_Health'!AG$11:AG$720,'6.3 Asset_Health'!$G$11:$G$720,$G17,'6.3 Asset_Health'!$M$11:$M$720,$M17)</f>
        <v>0</v>
      </c>
      <c r="AH17" s="813">
        <f>SUMIFS('6.3 Asset_Health'!AH$11:AH$720,'6.3 Asset_Health'!$G$11:$G$720,$G17,'6.3 Asset_Health'!$M$11:$M$720,$M17)</f>
        <v>0</v>
      </c>
      <c r="AI17" s="813">
        <f>SUMIFS('6.3 Asset_Health'!AI$11:AI$720,'6.3 Asset_Health'!$G$11:$G$720,$G17,'6.3 Asset_Health'!$M$11:$M$720,$M17)</f>
        <v>0</v>
      </c>
    </row>
    <row r="18" spans="4:35">
      <c r="D18" s="435" t="s">
        <v>79</v>
      </c>
      <c r="E18" s="435"/>
      <c r="G18" s="435" t="s">
        <v>12</v>
      </c>
      <c r="H18" s="435" t="s">
        <v>2669</v>
      </c>
      <c r="I18" s="435" t="s">
        <v>7</v>
      </c>
      <c r="J18" s="435" t="s">
        <v>299</v>
      </c>
      <c r="M18" s="435" t="s">
        <v>834</v>
      </c>
      <c r="AC18" s="435" t="s">
        <v>2</v>
      </c>
      <c r="AE18" s="813">
        <f>SUMIFS('6.3 Asset_Health'!AE$11:AE$720,'6.3 Asset_Health'!$G$11:$G$720,$G18,'6.3 Asset_Health'!$M$11:$M$720,$M18)</f>
        <v>0</v>
      </c>
      <c r="AF18" s="813">
        <f>SUMIFS('6.3 Asset_Health'!AF$11:AF$720,'6.3 Asset_Health'!$G$11:$G$720,$G18,'6.3 Asset_Health'!$M$11:$M$720,$M18)</f>
        <v>0</v>
      </c>
      <c r="AG18" s="813">
        <f>SUMIFS('6.3 Asset_Health'!AG$11:AG$720,'6.3 Asset_Health'!$G$11:$G$720,$G18,'6.3 Asset_Health'!$M$11:$M$720,$M18)</f>
        <v>0</v>
      </c>
      <c r="AH18" s="813">
        <f>SUMIFS('6.3 Asset_Health'!AH$11:AH$720,'6.3 Asset_Health'!$G$11:$G$720,$G18,'6.3 Asset_Health'!$M$11:$M$720,$M18)</f>
        <v>0</v>
      </c>
      <c r="AI18" s="813">
        <f>SUMIFS('6.3 Asset_Health'!AI$11:AI$720,'6.3 Asset_Health'!$G$11:$G$720,$G18,'6.3 Asset_Health'!$M$11:$M$720,$M18)</f>
        <v>0</v>
      </c>
    </row>
    <row r="19" spans="4:35">
      <c r="D19" s="435" t="s">
        <v>79</v>
      </c>
      <c r="E19" s="435"/>
      <c r="G19" s="435" t="s">
        <v>12</v>
      </c>
      <c r="H19" s="435" t="s">
        <v>2669</v>
      </c>
      <c r="I19" s="435" t="s">
        <v>7</v>
      </c>
      <c r="J19" s="435" t="s">
        <v>299</v>
      </c>
      <c r="M19" s="435" t="s">
        <v>841</v>
      </c>
      <c r="AC19" s="435" t="s">
        <v>2</v>
      </c>
      <c r="AE19" s="813">
        <f>SUMIFS('6.3 Asset_Health'!AE$11:AE$720,'6.3 Asset_Health'!$G$11:$G$720,$G19,'6.3 Asset_Health'!$M$11:$M$720,$M19)</f>
        <v>0</v>
      </c>
      <c r="AF19" s="813">
        <f>SUMIFS('6.3 Asset_Health'!AF$11:AF$720,'6.3 Asset_Health'!$G$11:$G$720,$G19,'6.3 Asset_Health'!$M$11:$M$720,$M19)</f>
        <v>0</v>
      </c>
      <c r="AG19" s="813">
        <f>SUMIFS('6.3 Asset_Health'!AG$11:AG$720,'6.3 Asset_Health'!$G$11:$G$720,$G19,'6.3 Asset_Health'!$M$11:$M$720,$M19)</f>
        <v>0</v>
      </c>
      <c r="AH19" s="813">
        <f>SUMIFS('6.3 Asset_Health'!AH$11:AH$720,'6.3 Asset_Health'!$G$11:$G$720,$G19,'6.3 Asset_Health'!$M$11:$M$720,$M19)</f>
        <v>0</v>
      </c>
      <c r="AI19" s="813">
        <f>SUMIFS('6.3 Asset_Health'!AI$11:AI$720,'6.3 Asset_Health'!$G$11:$G$720,$G19,'6.3 Asset_Health'!$M$11:$M$720,$M19)</f>
        <v>0</v>
      </c>
    </row>
    <row r="20" spans="4:35">
      <c r="D20" s="435" t="s">
        <v>79</v>
      </c>
      <c r="E20" s="435"/>
      <c r="G20" s="435" t="s">
        <v>12</v>
      </c>
      <c r="H20" s="435" t="s">
        <v>2669</v>
      </c>
      <c r="I20" s="435" t="s">
        <v>7</v>
      </c>
      <c r="J20" s="435" t="s">
        <v>299</v>
      </c>
      <c r="M20" s="435" t="s">
        <v>839</v>
      </c>
      <c r="AC20" s="435" t="s">
        <v>2</v>
      </c>
      <c r="AE20" s="813">
        <f>SUMIFS('6.3 Asset_Health'!AE$11:AE$720,'6.3 Asset_Health'!$G$11:$G$720,$G20,'6.3 Asset_Health'!$M$11:$M$720,$M20)</f>
        <v>0</v>
      </c>
      <c r="AF20" s="813">
        <f>SUMIFS('6.3 Asset_Health'!AF$11:AF$720,'6.3 Asset_Health'!$G$11:$G$720,$G20,'6.3 Asset_Health'!$M$11:$M$720,$M20)</f>
        <v>0</v>
      </c>
      <c r="AG20" s="813">
        <f>SUMIFS('6.3 Asset_Health'!AG$11:AG$720,'6.3 Asset_Health'!$G$11:$G$720,$G20,'6.3 Asset_Health'!$M$11:$M$720,$M20)</f>
        <v>0</v>
      </c>
      <c r="AH20" s="813">
        <f>SUMIFS('6.3 Asset_Health'!AH$11:AH$720,'6.3 Asset_Health'!$G$11:$G$720,$G20,'6.3 Asset_Health'!$M$11:$M$720,$M20)</f>
        <v>0</v>
      </c>
      <c r="AI20" s="813">
        <f>SUMIFS('6.3 Asset_Health'!AI$11:AI$720,'6.3 Asset_Health'!$G$11:$G$720,$G20,'6.3 Asset_Health'!$M$11:$M$720,$M20)</f>
        <v>0</v>
      </c>
    </row>
    <row r="21" spans="4:35">
      <c r="D21" s="435" t="s">
        <v>79</v>
      </c>
      <c r="E21" s="435"/>
      <c r="G21" s="435" t="s">
        <v>12</v>
      </c>
      <c r="H21" s="435" t="s">
        <v>2669</v>
      </c>
      <c r="I21" s="435" t="s">
        <v>7</v>
      </c>
      <c r="J21" s="435" t="s">
        <v>299</v>
      </c>
      <c r="M21" s="435" t="s">
        <v>835</v>
      </c>
      <c r="AC21" s="435" t="s">
        <v>2</v>
      </c>
      <c r="AE21" s="813">
        <f>SUMIFS('6.3 Asset_Health'!AE$11:AE$720,'6.3 Asset_Health'!$G$11:$G$720,$G21,'6.3 Asset_Health'!$M$11:$M$720,$M21)</f>
        <v>0</v>
      </c>
      <c r="AF21" s="813">
        <f>SUMIFS('6.3 Asset_Health'!AF$11:AF$720,'6.3 Asset_Health'!$G$11:$G$720,$G21,'6.3 Asset_Health'!$M$11:$M$720,$M21)</f>
        <v>0</v>
      </c>
      <c r="AG21" s="813">
        <f>SUMIFS('6.3 Asset_Health'!AG$11:AG$720,'6.3 Asset_Health'!$G$11:$G$720,$G21,'6.3 Asset_Health'!$M$11:$M$720,$M21)</f>
        <v>0</v>
      </c>
      <c r="AH21" s="813">
        <f>SUMIFS('6.3 Asset_Health'!AH$11:AH$720,'6.3 Asset_Health'!$G$11:$G$720,$G21,'6.3 Asset_Health'!$M$11:$M$720,$M21)</f>
        <v>0</v>
      </c>
      <c r="AI21" s="813">
        <f>SUMIFS('6.3 Asset_Health'!AI$11:AI$720,'6.3 Asset_Health'!$G$11:$G$720,$G21,'6.3 Asset_Health'!$M$11:$M$720,$M21)</f>
        <v>0</v>
      </c>
    </row>
    <row r="22" spans="4:35">
      <c r="D22" s="435" t="s">
        <v>79</v>
      </c>
      <c r="E22" s="435"/>
      <c r="G22" s="435" t="s">
        <v>12</v>
      </c>
      <c r="H22" s="435" t="s">
        <v>2669</v>
      </c>
      <c r="I22" s="435" t="s">
        <v>7</v>
      </c>
      <c r="J22" s="435" t="s">
        <v>299</v>
      </c>
      <c r="M22" s="435" t="s">
        <v>837</v>
      </c>
      <c r="AC22" s="435" t="s">
        <v>2</v>
      </c>
      <c r="AE22" s="813">
        <f>SUMIFS('6.3 Asset_Health'!AE$11:AE$720,'6.3 Asset_Health'!$G$11:$G$720,$G22,'6.3 Asset_Health'!$M$11:$M$720,$M22)</f>
        <v>0</v>
      </c>
      <c r="AF22" s="813">
        <f>SUMIFS('6.3 Asset_Health'!AF$11:AF$720,'6.3 Asset_Health'!$G$11:$G$720,$G22,'6.3 Asset_Health'!$M$11:$M$720,$M22)</f>
        <v>0</v>
      </c>
      <c r="AG22" s="813">
        <f>SUMIFS('6.3 Asset_Health'!AG$11:AG$720,'6.3 Asset_Health'!$G$11:$G$720,$G22,'6.3 Asset_Health'!$M$11:$M$720,$M22)</f>
        <v>0</v>
      </c>
      <c r="AH22" s="813">
        <f>SUMIFS('6.3 Asset_Health'!AH$11:AH$720,'6.3 Asset_Health'!$G$11:$G$720,$G22,'6.3 Asset_Health'!$M$11:$M$720,$M22)</f>
        <v>0</v>
      </c>
      <c r="AI22" s="813">
        <f>SUMIFS('6.3 Asset_Health'!AI$11:AI$720,'6.3 Asset_Health'!$G$11:$G$720,$G22,'6.3 Asset_Health'!$M$11:$M$720,$M22)</f>
        <v>0</v>
      </c>
    </row>
    <row r="23" spans="4:35">
      <c r="D23" s="435" t="s">
        <v>79</v>
      </c>
      <c r="E23" s="435"/>
      <c r="G23" s="435" t="s">
        <v>12</v>
      </c>
      <c r="H23" s="435" t="s">
        <v>2669</v>
      </c>
      <c r="I23" s="435" t="s">
        <v>7</v>
      </c>
      <c r="J23" s="435" t="s">
        <v>299</v>
      </c>
      <c r="M23" s="435" t="s">
        <v>2657</v>
      </c>
      <c r="AC23" s="435" t="s">
        <v>2</v>
      </c>
      <c r="AE23" s="813">
        <f>SUMIFS('6.3 Asset_Health'!AE$11:AE$720,'6.3 Asset_Health'!$G$11:$G$720,$G23,'6.3 Asset_Health'!$M$11:$M$720,$M23)</f>
        <v>0</v>
      </c>
      <c r="AF23" s="813">
        <f>SUMIFS('6.3 Asset_Health'!AF$11:AF$720,'6.3 Asset_Health'!$G$11:$G$720,$G23,'6.3 Asset_Health'!$M$11:$M$720,$M23)</f>
        <v>0</v>
      </c>
      <c r="AG23" s="813">
        <f>SUMIFS('6.3 Asset_Health'!AG$11:AG$720,'6.3 Asset_Health'!$G$11:$G$720,$G23,'6.3 Asset_Health'!$M$11:$M$720,$M23)</f>
        <v>0</v>
      </c>
      <c r="AH23" s="813">
        <f>SUMIFS('6.3 Asset_Health'!AH$11:AH$720,'6.3 Asset_Health'!$G$11:$G$720,$G23,'6.3 Asset_Health'!$M$11:$M$720,$M23)</f>
        <v>0</v>
      </c>
      <c r="AI23" s="813">
        <f>SUMIFS('6.3 Asset_Health'!AI$11:AI$720,'6.3 Asset_Health'!$G$11:$G$720,$G23,'6.3 Asset_Health'!$M$11:$M$720,$M23)</f>
        <v>0</v>
      </c>
    </row>
    <row r="24" spans="4:35">
      <c r="D24" s="435" t="s">
        <v>79</v>
      </c>
      <c r="E24" s="435"/>
      <c r="G24" s="435" t="s">
        <v>12</v>
      </c>
      <c r="H24" s="435" t="s">
        <v>2669</v>
      </c>
      <c r="I24" s="435" t="s">
        <v>7</v>
      </c>
      <c r="J24" s="435" t="s">
        <v>299</v>
      </c>
      <c r="M24" s="435" t="s">
        <v>838</v>
      </c>
      <c r="AC24" s="435" t="s">
        <v>2</v>
      </c>
      <c r="AE24" s="813">
        <f>SUMIFS('6.3 Asset_Health'!AE$11:AE$720,'6.3 Asset_Health'!$G$11:$G$720,$G24,'6.3 Asset_Health'!$M$11:$M$720,$M24)</f>
        <v>0</v>
      </c>
      <c r="AF24" s="813">
        <f>SUMIFS('6.3 Asset_Health'!AF$11:AF$720,'6.3 Asset_Health'!$G$11:$G$720,$G24,'6.3 Asset_Health'!$M$11:$M$720,$M24)</f>
        <v>0</v>
      </c>
      <c r="AG24" s="813">
        <f>SUMIFS('6.3 Asset_Health'!AG$11:AG$720,'6.3 Asset_Health'!$G$11:$G$720,$G24,'6.3 Asset_Health'!$M$11:$M$720,$M24)</f>
        <v>0</v>
      </c>
      <c r="AH24" s="813">
        <f>SUMIFS('6.3 Asset_Health'!AH$11:AH$720,'6.3 Asset_Health'!$G$11:$G$720,$G24,'6.3 Asset_Health'!$M$11:$M$720,$M24)</f>
        <v>0</v>
      </c>
      <c r="AI24" s="813">
        <f>SUMIFS('6.3 Asset_Health'!AI$11:AI$720,'6.3 Asset_Health'!$G$11:$G$720,$G24,'6.3 Asset_Health'!$M$11:$M$720,$M24)</f>
        <v>0</v>
      </c>
    </row>
    <row r="25" spans="4:35">
      <c r="D25" s="435" t="s">
        <v>79</v>
      </c>
      <c r="E25" s="435"/>
      <c r="G25" s="435" t="s">
        <v>12</v>
      </c>
      <c r="H25" s="435" t="s">
        <v>2669</v>
      </c>
      <c r="I25" s="435" t="s">
        <v>7</v>
      </c>
      <c r="J25" s="435" t="s">
        <v>299</v>
      </c>
      <c r="M25" s="435" t="s">
        <v>842</v>
      </c>
      <c r="AC25" s="435" t="s">
        <v>2</v>
      </c>
      <c r="AE25" s="813">
        <f>SUMIFS('6.3 Asset_Health'!AE$11:AE$720,'6.3 Asset_Health'!$G$11:$G$720,$G25,'6.3 Asset_Health'!$M$11:$M$720,$M25)</f>
        <v>0</v>
      </c>
      <c r="AF25" s="813">
        <f>SUMIFS('6.3 Asset_Health'!AF$11:AF$720,'6.3 Asset_Health'!$G$11:$G$720,$G25,'6.3 Asset_Health'!$M$11:$M$720,$M25)</f>
        <v>0</v>
      </c>
      <c r="AG25" s="813">
        <f>SUMIFS('6.3 Asset_Health'!AG$11:AG$720,'6.3 Asset_Health'!$G$11:$G$720,$G25,'6.3 Asset_Health'!$M$11:$M$720,$M25)</f>
        <v>0</v>
      </c>
      <c r="AH25" s="813">
        <f>SUMIFS('6.3 Asset_Health'!AH$11:AH$720,'6.3 Asset_Health'!$G$11:$G$720,$G25,'6.3 Asset_Health'!$M$11:$M$720,$M25)</f>
        <v>0</v>
      </c>
      <c r="AI25" s="813">
        <f>SUMIFS('6.3 Asset_Health'!AI$11:AI$720,'6.3 Asset_Health'!$G$11:$G$720,$G25,'6.3 Asset_Health'!$M$11:$M$720,$M25)</f>
        <v>0</v>
      </c>
    </row>
    <row r="26" spans="4:35">
      <c r="D26" s="435" t="s">
        <v>79</v>
      </c>
      <c r="E26" s="435"/>
      <c r="G26" s="435" t="s">
        <v>12</v>
      </c>
      <c r="H26" s="435" t="s">
        <v>2669</v>
      </c>
      <c r="I26" s="435" t="s">
        <v>7</v>
      </c>
      <c r="J26" s="435" t="s">
        <v>299</v>
      </c>
      <c r="M26" s="435" t="s">
        <v>843</v>
      </c>
      <c r="AC26" s="435" t="s">
        <v>2</v>
      </c>
      <c r="AE26" s="813">
        <f>SUMIFS('6.3 Asset_Health'!AE$11:AE$720,'6.3 Asset_Health'!$G$11:$G$720,$G26,'6.3 Asset_Health'!$M$11:$M$720,$M26)</f>
        <v>0</v>
      </c>
      <c r="AF26" s="813">
        <f>SUMIFS('6.3 Asset_Health'!AF$11:AF$720,'6.3 Asset_Health'!$G$11:$G$720,$G26,'6.3 Asset_Health'!$M$11:$M$720,$M26)</f>
        <v>0</v>
      </c>
      <c r="AG26" s="813">
        <f>SUMIFS('6.3 Asset_Health'!AG$11:AG$720,'6.3 Asset_Health'!$G$11:$G$720,$G26,'6.3 Asset_Health'!$M$11:$M$720,$M26)</f>
        <v>0</v>
      </c>
      <c r="AH26" s="813">
        <f>SUMIFS('6.3 Asset_Health'!AH$11:AH$720,'6.3 Asset_Health'!$G$11:$G$720,$G26,'6.3 Asset_Health'!$M$11:$M$720,$M26)</f>
        <v>0</v>
      </c>
      <c r="AI26" s="813">
        <f>SUMIFS('6.3 Asset_Health'!AI$11:AI$720,'6.3 Asset_Health'!$G$11:$G$720,$G26,'6.3 Asset_Health'!$M$11:$M$720,$M26)</f>
        <v>0</v>
      </c>
    </row>
    <row r="27" spans="4:35">
      <c r="D27" s="435" t="s">
        <v>79</v>
      </c>
      <c r="E27" s="435"/>
      <c r="G27" s="435" t="s">
        <v>12</v>
      </c>
      <c r="H27" s="435" t="s">
        <v>2669</v>
      </c>
      <c r="I27" s="435" t="s">
        <v>7</v>
      </c>
      <c r="J27" s="435" t="s">
        <v>299</v>
      </c>
      <c r="M27" s="435" t="s">
        <v>852</v>
      </c>
      <c r="AC27" s="435" t="s">
        <v>2</v>
      </c>
      <c r="AE27" s="813">
        <f>SUMIFS('6.3 Asset_Health'!AE$11:AE$720,'6.3 Asset_Health'!$G$11:$G$720,$G27,'6.3 Asset_Health'!$M$11:$M$720,$M27)</f>
        <v>0</v>
      </c>
      <c r="AF27" s="813">
        <f>SUMIFS('6.3 Asset_Health'!AF$11:AF$720,'6.3 Asset_Health'!$G$11:$G$720,$G27,'6.3 Asset_Health'!$M$11:$M$720,$M27)</f>
        <v>0</v>
      </c>
      <c r="AG27" s="813">
        <f>SUMIFS('6.3 Asset_Health'!AG$11:AG$720,'6.3 Asset_Health'!$G$11:$G$720,$G27,'6.3 Asset_Health'!$M$11:$M$720,$M27)</f>
        <v>0</v>
      </c>
      <c r="AH27" s="813">
        <f>SUMIFS('6.3 Asset_Health'!AH$11:AH$720,'6.3 Asset_Health'!$G$11:$G$720,$G27,'6.3 Asset_Health'!$M$11:$M$720,$M27)</f>
        <v>0</v>
      </c>
      <c r="AI27" s="813">
        <f>SUMIFS('6.3 Asset_Health'!AI$11:AI$720,'6.3 Asset_Health'!$G$11:$G$720,$G27,'6.3 Asset_Health'!$M$11:$M$720,$M27)</f>
        <v>0</v>
      </c>
    </row>
    <row r="28" spans="4:35">
      <c r="D28" s="435" t="s">
        <v>79</v>
      </c>
      <c r="E28" s="435"/>
      <c r="G28" s="435" t="s">
        <v>12</v>
      </c>
      <c r="H28" s="435" t="s">
        <v>2669</v>
      </c>
      <c r="I28" s="435" t="s">
        <v>7</v>
      </c>
      <c r="J28" s="435" t="s">
        <v>299</v>
      </c>
      <c r="M28" s="435" t="s">
        <v>848</v>
      </c>
      <c r="AC28" s="435" t="s">
        <v>2</v>
      </c>
      <c r="AE28" s="813">
        <f>SUMIFS('6.3 Asset_Health'!AE$11:AE$720,'6.3 Asset_Health'!$G$11:$G$720,$G28,'6.3 Asset_Health'!$M$11:$M$720,$M28)</f>
        <v>0</v>
      </c>
      <c r="AF28" s="813">
        <f>SUMIFS('6.3 Asset_Health'!AF$11:AF$720,'6.3 Asset_Health'!$G$11:$G$720,$G28,'6.3 Asset_Health'!$M$11:$M$720,$M28)</f>
        <v>0</v>
      </c>
      <c r="AG28" s="813">
        <f>SUMIFS('6.3 Asset_Health'!AG$11:AG$720,'6.3 Asset_Health'!$G$11:$G$720,$G28,'6.3 Asset_Health'!$M$11:$M$720,$M28)</f>
        <v>0</v>
      </c>
      <c r="AH28" s="813">
        <f>SUMIFS('6.3 Asset_Health'!AH$11:AH$720,'6.3 Asset_Health'!$G$11:$G$720,$G28,'6.3 Asset_Health'!$M$11:$M$720,$M28)</f>
        <v>0</v>
      </c>
      <c r="AI28" s="813">
        <f>SUMIFS('6.3 Asset_Health'!AI$11:AI$720,'6.3 Asset_Health'!$G$11:$G$720,$G28,'6.3 Asset_Health'!$M$11:$M$720,$M28)</f>
        <v>0</v>
      </c>
    </row>
    <row r="29" spans="4:35">
      <c r="D29" s="435" t="s">
        <v>79</v>
      </c>
      <c r="E29" s="435"/>
      <c r="G29" s="435" t="s">
        <v>12</v>
      </c>
      <c r="H29" s="435" t="s">
        <v>2669</v>
      </c>
      <c r="I29" s="435" t="s">
        <v>7</v>
      </c>
      <c r="J29" s="435" t="s">
        <v>299</v>
      </c>
      <c r="M29" s="435" t="s">
        <v>849</v>
      </c>
      <c r="AC29" s="435" t="s">
        <v>2</v>
      </c>
      <c r="AE29" s="813">
        <f>SUMIFS('6.3 Asset_Health'!AE$11:AE$720,'6.3 Asset_Health'!$G$11:$G$720,$G29,'6.3 Asset_Health'!$M$11:$M$720,$M29)</f>
        <v>0</v>
      </c>
      <c r="AF29" s="813">
        <f>SUMIFS('6.3 Asset_Health'!AF$11:AF$720,'6.3 Asset_Health'!$G$11:$G$720,$G29,'6.3 Asset_Health'!$M$11:$M$720,$M29)</f>
        <v>0</v>
      </c>
      <c r="AG29" s="813">
        <f>SUMIFS('6.3 Asset_Health'!AG$11:AG$720,'6.3 Asset_Health'!$G$11:$G$720,$G29,'6.3 Asset_Health'!$M$11:$M$720,$M29)</f>
        <v>0</v>
      </c>
      <c r="AH29" s="813">
        <f>SUMIFS('6.3 Asset_Health'!AH$11:AH$720,'6.3 Asset_Health'!$G$11:$G$720,$G29,'6.3 Asset_Health'!$M$11:$M$720,$M29)</f>
        <v>0</v>
      </c>
      <c r="AI29" s="813">
        <f>SUMIFS('6.3 Asset_Health'!AI$11:AI$720,'6.3 Asset_Health'!$G$11:$G$720,$G29,'6.3 Asset_Health'!$M$11:$M$720,$M29)</f>
        <v>0</v>
      </c>
    </row>
    <row r="30" spans="4:35">
      <c r="D30" s="435" t="s">
        <v>79</v>
      </c>
      <c r="E30" s="435"/>
      <c r="G30" s="435" t="s">
        <v>12</v>
      </c>
      <c r="H30" s="435" t="s">
        <v>2669</v>
      </c>
      <c r="I30" s="435" t="s">
        <v>7</v>
      </c>
      <c r="J30" s="435" t="s">
        <v>299</v>
      </c>
      <c r="M30" s="435" t="s">
        <v>857</v>
      </c>
      <c r="AC30" s="435" t="s">
        <v>2</v>
      </c>
      <c r="AE30" s="813">
        <f>SUMIFS('6.3 Asset_Health'!AE$11:AE$720,'6.3 Asset_Health'!$G$11:$G$720,$G30,'6.3 Asset_Health'!$M$11:$M$720,$M30)</f>
        <v>0</v>
      </c>
      <c r="AF30" s="813">
        <f>SUMIFS('6.3 Asset_Health'!AF$11:AF$720,'6.3 Asset_Health'!$G$11:$G$720,$G30,'6.3 Asset_Health'!$M$11:$M$720,$M30)</f>
        <v>0</v>
      </c>
      <c r="AG30" s="813">
        <f>SUMIFS('6.3 Asset_Health'!AG$11:AG$720,'6.3 Asset_Health'!$G$11:$G$720,$G30,'6.3 Asset_Health'!$M$11:$M$720,$M30)</f>
        <v>0</v>
      </c>
      <c r="AH30" s="813">
        <f>SUMIFS('6.3 Asset_Health'!AH$11:AH$720,'6.3 Asset_Health'!$G$11:$G$720,$G30,'6.3 Asset_Health'!$M$11:$M$720,$M30)</f>
        <v>0</v>
      </c>
      <c r="AI30" s="813">
        <f>SUMIFS('6.3 Asset_Health'!AI$11:AI$720,'6.3 Asset_Health'!$G$11:$G$720,$G30,'6.3 Asset_Health'!$M$11:$M$720,$M30)</f>
        <v>0</v>
      </c>
    </row>
    <row r="31" spans="4:35">
      <c r="D31" s="435" t="s">
        <v>79</v>
      </c>
      <c r="E31" s="435"/>
      <c r="G31" s="435" t="s">
        <v>12</v>
      </c>
      <c r="H31" s="435" t="s">
        <v>2669</v>
      </c>
      <c r="I31" s="435" t="s">
        <v>7</v>
      </c>
      <c r="J31" s="435" t="s">
        <v>299</v>
      </c>
      <c r="M31" s="435" t="s">
        <v>2658</v>
      </c>
      <c r="AC31" s="435" t="s">
        <v>2</v>
      </c>
      <c r="AE31" s="813">
        <f>SUMIFS('6.3 Asset_Health'!AE$11:AE$720,'6.3 Asset_Health'!$G$11:$G$720,$G31,'6.3 Asset_Health'!$M$11:$M$720,$M31)</f>
        <v>0</v>
      </c>
      <c r="AF31" s="813">
        <f>SUMIFS('6.3 Asset_Health'!AF$11:AF$720,'6.3 Asset_Health'!$G$11:$G$720,$G31,'6.3 Asset_Health'!$M$11:$M$720,$M31)</f>
        <v>0</v>
      </c>
      <c r="AG31" s="813">
        <f>SUMIFS('6.3 Asset_Health'!AG$11:AG$720,'6.3 Asset_Health'!$G$11:$G$720,$G31,'6.3 Asset_Health'!$M$11:$M$720,$M31)</f>
        <v>0</v>
      </c>
      <c r="AH31" s="813">
        <f>SUMIFS('6.3 Asset_Health'!AH$11:AH$720,'6.3 Asset_Health'!$G$11:$G$720,$G31,'6.3 Asset_Health'!$M$11:$M$720,$M31)</f>
        <v>0</v>
      </c>
      <c r="AI31" s="813">
        <f>SUMIFS('6.3 Asset_Health'!AI$11:AI$720,'6.3 Asset_Health'!$G$11:$G$720,$G31,'6.3 Asset_Health'!$M$11:$M$720,$M31)</f>
        <v>0</v>
      </c>
    </row>
    <row r="32" spans="4:35">
      <c r="D32" s="435" t="s">
        <v>79</v>
      </c>
      <c r="E32" s="435"/>
      <c r="G32" s="435" t="s">
        <v>12</v>
      </c>
      <c r="H32" s="435" t="s">
        <v>2669</v>
      </c>
      <c r="I32" s="435" t="s">
        <v>7</v>
      </c>
      <c r="J32" s="435" t="s">
        <v>299</v>
      </c>
      <c r="M32" s="435" t="s">
        <v>836</v>
      </c>
      <c r="AC32" s="435" t="s">
        <v>2</v>
      </c>
      <c r="AE32" s="813">
        <f>SUMIFS('6.3 Asset_Health'!AE$11:AE$720,'6.3 Asset_Health'!$G$11:$G$720,$G32,'6.3 Asset_Health'!$M$11:$M$720,$M32)</f>
        <v>0</v>
      </c>
      <c r="AF32" s="813">
        <f>SUMIFS('6.3 Asset_Health'!AF$11:AF$720,'6.3 Asset_Health'!$G$11:$G$720,$G32,'6.3 Asset_Health'!$M$11:$M$720,$M32)</f>
        <v>0</v>
      </c>
      <c r="AG32" s="813">
        <f>SUMIFS('6.3 Asset_Health'!AG$11:AG$720,'6.3 Asset_Health'!$G$11:$G$720,$G32,'6.3 Asset_Health'!$M$11:$M$720,$M32)</f>
        <v>0</v>
      </c>
      <c r="AH32" s="813">
        <f>SUMIFS('6.3 Asset_Health'!AH$11:AH$720,'6.3 Asset_Health'!$G$11:$G$720,$G32,'6.3 Asset_Health'!$M$11:$M$720,$M32)</f>
        <v>0</v>
      </c>
      <c r="AI32" s="813">
        <f>SUMIFS('6.3 Asset_Health'!AI$11:AI$720,'6.3 Asset_Health'!$G$11:$G$720,$G32,'6.3 Asset_Health'!$M$11:$M$720,$M32)</f>
        <v>0</v>
      </c>
    </row>
    <row r="33" spans="4:35">
      <c r="D33" s="435" t="s">
        <v>79</v>
      </c>
      <c r="E33" s="435"/>
      <c r="G33" s="435" t="s">
        <v>12</v>
      </c>
      <c r="H33" s="435" t="s">
        <v>2669</v>
      </c>
      <c r="I33" s="435" t="s">
        <v>7</v>
      </c>
      <c r="J33" s="435" t="s">
        <v>299</v>
      </c>
      <c r="M33" s="435" t="s">
        <v>859</v>
      </c>
      <c r="AC33" s="435" t="s">
        <v>2</v>
      </c>
      <c r="AE33" s="813">
        <f>SUMIFS('6.3 Asset_Health'!AE$11:AE$720,'6.3 Asset_Health'!$G$11:$G$720,$G33,'6.3 Asset_Health'!$M$11:$M$720,$M33)</f>
        <v>0</v>
      </c>
      <c r="AF33" s="813">
        <f>SUMIFS('6.3 Asset_Health'!AF$11:AF$720,'6.3 Asset_Health'!$G$11:$G$720,$G33,'6.3 Asset_Health'!$M$11:$M$720,$M33)</f>
        <v>0</v>
      </c>
      <c r="AG33" s="813">
        <f>SUMIFS('6.3 Asset_Health'!AG$11:AG$720,'6.3 Asset_Health'!$G$11:$G$720,$G33,'6.3 Asset_Health'!$M$11:$M$720,$M33)</f>
        <v>0</v>
      </c>
      <c r="AH33" s="813">
        <f>SUMIFS('6.3 Asset_Health'!AH$11:AH$720,'6.3 Asset_Health'!$G$11:$G$720,$G33,'6.3 Asset_Health'!$M$11:$M$720,$M33)</f>
        <v>0</v>
      </c>
      <c r="AI33" s="813">
        <f>SUMIFS('6.3 Asset_Health'!AI$11:AI$720,'6.3 Asset_Health'!$G$11:$G$720,$G33,'6.3 Asset_Health'!$M$11:$M$720,$M33)</f>
        <v>0</v>
      </c>
    </row>
    <row r="34" spans="4:35">
      <c r="D34" s="435" t="s">
        <v>79</v>
      </c>
      <c r="E34" s="435"/>
      <c r="G34" s="435" t="s">
        <v>12</v>
      </c>
      <c r="H34" s="435" t="s">
        <v>2669</v>
      </c>
      <c r="I34" s="435" t="s">
        <v>7</v>
      </c>
      <c r="J34" s="435" t="s">
        <v>299</v>
      </c>
      <c r="M34" s="435" t="s">
        <v>2659</v>
      </c>
      <c r="AC34" s="435" t="s">
        <v>2</v>
      </c>
      <c r="AE34" s="813">
        <f>SUMIFS('6.3 Asset_Health'!AE$11:AE$720,'6.3 Asset_Health'!$G$11:$G$720,$G34,'6.3 Asset_Health'!$M$11:$M$720,$M34)</f>
        <v>0</v>
      </c>
      <c r="AF34" s="813">
        <f>SUMIFS('6.3 Asset_Health'!AF$11:AF$720,'6.3 Asset_Health'!$G$11:$G$720,$G34,'6.3 Asset_Health'!$M$11:$M$720,$M34)</f>
        <v>0</v>
      </c>
      <c r="AG34" s="813">
        <f>SUMIFS('6.3 Asset_Health'!AG$11:AG$720,'6.3 Asset_Health'!$G$11:$G$720,$G34,'6.3 Asset_Health'!$M$11:$M$720,$M34)</f>
        <v>0</v>
      </c>
      <c r="AH34" s="813">
        <f>SUMIFS('6.3 Asset_Health'!AH$11:AH$720,'6.3 Asset_Health'!$G$11:$G$720,$G34,'6.3 Asset_Health'!$M$11:$M$720,$M34)</f>
        <v>0</v>
      </c>
      <c r="AI34" s="813">
        <f>SUMIFS('6.3 Asset_Health'!AI$11:AI$720,'6.3 Asset_Health'!$G$11:$G$720,$G34,'6.3 Asset_Health'!$M$11:$M$720,$M34)</f>
        <v>0</v>
      </c>
    </row>
    <row r="35" spans="4:35">
      <c r="D35" s="435" t="s">
        <v>79</v>
      </c>
      <c r="E35" s="435"/>
      <c r="G35" s="435" t="s">
        <v>12</v>
      </c>
      <c r="H35" s="435" t="s">
        <v>2669</v>
      </c>
      <c r="I35" s="435" t="s">
        <v>7</v>
      </c>
      <c r="J35" s="435" t="s">
        <v>299</v>
      </c>
      <c r="M35" s="435" t="s">
        <v>844</v>
      </c>
      <c r="AC35" s="435" t="s">
        <v>2</v>
      </c>
      <c r="AE35" s="813">
        <f>SUMIFS('6.3 Asset_Health'!AE$11:AE$720,'6.3 Asset_Health'!$G$11:$G$720,$G35,'6.3 Asset_Health'!$M$11:$M$720,$M35)</f>
        <v>0</v>
      </c>
      <c r="AF35" s="813">
        <f>SUMIFS('6.3 Asset_Health'!AF$11:AF$720,'6.3 Asset_Health'!$G$11:$G$720,$G35,'6.3 Asset_Health'!$M$11:$M$720,$M35)</f>
        <v>0</v>
      </c>
      <c r="AG35" s="813">
        <f>SUMIFS('6.3 Asset_Health'!AG$11:AG$720,'6.3 Asset_Health'!$G$11:$G$720,$G35,'6.3 Asset_Health'!$M$11:$M$720,$M35)</f>
        <v>0</v>
      </c>
      <c r="AH35" s="813">
        <f>SUMIFS('6.3 Asset_Health'!AH$11:AH$720,'6.3 Asset_Health'!$G$11:$G$720,$G35,'6.3 Asset_Health'!$M$11:$M$720,$M35)</f>
        <v>0</v>
      </c>
      <c r="AI35" s="813">
        <f>SUMIFS('6.3 Asset_Health'!AI$11:AI$720,'6.3 Asset_Health'!$G$11:$G$720,$G35,'6.3 Asset_Health'!$M$11:$M$720,$M35)</f>
        <v>0</v>
      </c>
    </row>
    <row r="36" spans="4:35">
      <c r="D36" s="435" t="s">
        <v>79</v>
      </c>
      <c r="E36" s="435"/>
      <c r="G36" s="435" t="s">
        <v>12</v>
      </c>
      <c r="H36" s="435" t="s">
        <v>2669</v>
      </c>
      <c r="I36" s="435" t="s">
        <v>7</v>
      </c>
      <c r="J36" s="435" t="s">
        <v>299</v>
      </c>
      <c r="M36" s="435" t="s">
        <v>850</v>
      </c>
      <c r="AC36" s="435" t="s">
        <v>2</v>
      </c>
      <c r="AE36" s="813">
        <f>SUMIFS('6.3 Asset_Health'!AE$11:AE$720,'6.3 Asset_Health'!$G$11:$G$720,$G36,'6.3 Asset_Health'!$M$11:$M$720,$M36)</f>
        <v>0</v>
      </c>
      <c r="AF36" s="813">
        <f>SUMIFS('6.3 Asset_Health'!AF$11:AF$720,'6.3 Asset_Health'!$G$11:$G$720,$G36,'6.3 Asset_Health'!$M$11:$M$720,$M36)</f>
        <v>0</v>
      </c>
      <c r="AG36" s="813">
        <f>SUMIFS('6.3 Asset_Health'!AG$11:AG$720,'6.3 Asset_Health'!$G$11:$G$720,$G36,'6.3 Asset_Health'!$M$11:$M$720,$M36)</f>
        <v>0</v>
      </c>
      <c r="AH36" s="813">
        <f>SUMIFS('6.3 Asset_Health'!AH$11:AH$720,'6.3 Asset_Health'!$G$11:$G$720,$G36,'6.3 Asset_Health'!$M$11:$M$720,$M36)</f>
        <v>0</v>
      </c>
      <c r="AI36" s="813">
        <f>SUMIFS('6.3 Asset_Health'!AI$11:AI$720,'6.3 Asset_Health'!$G$11:$G$720,$G36,'6.3 Asset_Health'!$M$11:$M$720,$M36)</f>
        <v>0</v>
      </c>
    </row>
    <row r="37" spans="4:35">
      <c r="D37" s="435" t="s">
        <v>79</v>
      </c>
      <c r="E37" s="435"/>
      <c r="G37" s="435" t="s">
        <v>12</v>
      </c>
      <c r="H37" s="435" t="s">
        <v>2669</v>
      </c>
      <c r="I37" s="435" t="s">
        <v>7</v>
      </c>
      <c r="J37" s="435" t="s">
        <v>299</v>
      </c>
      <c r="M37" s="435" t="s">
        <v>854</v>
      </c>
      <c r="AC37" s="435" t="s">
        <v>2</v>
      </c>
      <c r="AE37" s="813">
        <f>SUMIFS('6.3 Asset_Health'!AE$11:AE$720,'6.3 Asset_Health'!$G$11:$G$720,$G37,'6.3 Asset_Health'!$M$11:$M$720,$M37)</f>
        <v>0</v>
      </c>
      <c r="AF37" s="813">
        <f>SUMIFS('6.3 Asset_Health'!AF$11:AF$720,'6.3 Asset_Health'!$G$11:$G$720,$G37,'6.3 Asset_Health'!$M$11:$M$720,$M37)</f>
        <v>0</v>
      </c>
      <c r="AG37" s="813">
        <f>SUMIFS('6.3 Asset_Health'!AG$11:AG$720,'6.3 Asset_Health'!$G$11:$G$720,$G37,'6.3 Asset_Health'!$M$11:$M$720,$M37)</f>
        <v>0</v>
      </c>
      <c r="AH37" s="813">
        <f>SUMIFS('6.3 Asset_Health'!AH$11:AH$720,'6.3 Asset_Health'!$G$11:$G$720,$G37,'6.3 Asset_Health'!$M$11:$M$720,$M37)</f>
        <v>0</v>
      </c>
      <c r="AI37" s="813">
        <f>SUMIFS('6.3 Asset_Health'!AI$11:AI$720,'6.3 Asset_Health'!$G$11:$G$720,$G37,'6.3 Asset_Health'!$M$11:$M$720,$M37)</f>
        <v>0</v>
      </c>
    </row>
    <row r="38" spans="4:35">
      <c r="D38" s="435" t="s">
        <v>79</v>
      </c>
      <c r="E38" s="435"/>
      <c r="G38" s="435" t="s">
        <v>12</v>
      </c>
      <c r="H38" s="435" t="s">
        <v>2669</v>
      </c>
      <c r="I38" s="435" t="s">
        <v>7</v>
      </c>
      <c r="J38" s="435" t="s">
        <v>299</v>
      </c>
      <c r="M38" s="435" t="s">
        <v>2660</v>
      </c>
      <c r="AC38" s="435" t="s">
        <v>2</v>
      </c>
      <c r="AE38" s="813">
        <f>SUMIFS('6.3 Asset_Health'!AE$11:AE$720,'6.3 Asset_Health'!$G$11:$G$720,$G38,'6.3 Asset_Health'!$M$11:$M$720,$M38)</f>
        <v>0</v>
      </c>
      <c r="AF38" s="813">
        <f>SUMIFS('6.3 Asset_Health'!AF$11:AF$720,'6.3 Asset_Health'!$G$11:$G$720,$G38,'6.3 Asset_Health'!$M$11:$M$720,$M38)</f>
        <v>0</v>
      </c>
      <c r="AG38" s="813">
        <f>SUMIFS('6.3 Asset_Health'!AG$11:AG$720,'6.3 Asset_Health'!$G$11:$G$720,$G38,'6.3 Asset_Health'!$M$11:$M$720,$M38)</f>
        <v>0</v>
      </c>
      <c r="AH38" s="813">
        <f>SUMIFS('6.3 Asset_Health'!AH$11:AH$720,'6.3 Asset_Health'!$G$11:$G$720,$G38,'6.3 Asset_Health'!$M$11:$M$720,$M38)</f>
        <v>0</v>
      </c>
      <c r="AI38" s="813">
        <f>SUMIFS('6.3 Asset_Health'!AI$11:AI$720,'6.3 Asset_Health'!$G$11:$G$720,$G38,'6.3 Asset_Health'!$M$11:$M$720,$M38)</f>
        <v>0</v>
      </c>
    </row>
    <row r="39" spans="4:35">
      <c r="D39" s="435" t="s">
        <v>79</v>
      </c>
      <c r="E39" s="435"/>
      <c r="G39" s="435" t="s">
        <v>12</v>
      </c>
      <c r="H39" s="435" t="s">
        <v>2669</v>
      </c>
      <c r="I39" s="435" t="s">
        <v>7</v>
      </c>
      <c r="J39" s="435" t="s">
        <v>299</v>
      </c>
      <c r="M39" s="435" t="s">
        <v>2661</v>
      </c>
      <c r="AC39" s="435" t="s">
        <v>2</v>
      </c>
      <c r="AE39" s="813">
        <f>SUMIFS('6.3 Asset_Health'!AE$11:AE$720,'6.3 Asset_Health'!$G$11:$G$720,$G39,'6.3 Asset_Health'!$M$11:$M$720,$M39)</f>
        <v>0</v>
      </c>
      <c r="AF39" s="813">
        <f>SUMIFS('6.3 Asset_Health'!AF$11:AF$720,'6.3 Asset_Health'!$G$11:$G$720,$G39,'6.3 Asset_Health'!$M$11:$M$720,$M39)</f>
        <v>0</v>
      </c>
      <c r="AG39" s="813">
        <f>SUMIFS('6.3 Asset_Health'!AG$11:AG$720,'6.3 Asset_Health'!$G$11:$G$720,$G39,'6.3 Asset_Health'!$M$11:$M$720,$M39)</f>
        <v>0</v>
      </c>
      <c r="AH39" s="813">
        <f>SUMIFS('6.3 Asset_Health'!AH$11:AH$720,'6.3 Asset_Health'!$G$11:$G$720,$G39,'6.3 Asset_Health'!$M$11:$M$720,$M39)</f>
        <v>0</v>
      </c>
      <c r="AI39" s="813">
        <f>SUMIFS('6.3 Asset_Health'!AI$11:AI$720,'6.3 Asset_Health'!$G$11:$G$720,$G39,'6.3 Asset_Health'!$M$11:$M$720,$M39)</f>
        <v>0</v>
      </c>
    </row>
    <row r="40" spans="4:35">
      <c r="D40" s="435" t="s">
        <v>79</v>
      </c>
      <c r="E40" s="435"/>
      <c r="G40" s="435" t="s">
        <v>12</v>
      </c>
      <c r="H40" s="435" t="s">
        <v>2669</v>
      </c>
      <c r="I40" s="435" t="s">
        <v>7</v>
      </c>
      <c r="J40" s="435" t="s">
        <v>299</v>
      </c>
      <c r="M40" s="435" t="s">
        <v>2662</v>
      </c>
      <c r="AC40" s="435" t="s">
        <v>2</v>
      </c>
      <c r="AE40" s="813">
        <f>SUMIFS('6.3 Asset_Health'!AE$11:AE$720,'6.3 Asset_Health'!$G$11:$G$720,$G40,'6.3 Asset_Health'!$M$11:$M$720,$M40)</f>
        <v>0</v>
      </c>
      <c r="AF40" s="813">
        <f>SUMIFS('6.3 Asset_Health'!AF$11:AF$720,'6.3 Asset_Health'!$G$11:$G$720,$G40,'6.3 Asset_Health'!$M$11:$M$720,$M40)</f>
        <v>0</v>
      </c>
      <c r="AG40" s="813">
        <f>SUMIFS('6.3 Asset_Health'!AG$11:AG$720,'6.3 Asset_Health'!$G$11:$G$720,$G40,'6.3 Asset_Health'!$M$11:$M$720,$M40)</f>
        <v>0</v>
      </c>
      <c r="AH40" s="813">
        <f>SUMIFS('6.3 Asset_Health'!AH$11:AH$720,'6.3 Asset_Health'!$G$11:$G$720,$G40,'6.3 Asset_Health'!$M$11:$M$720,$M40)</f>
        <v>0</v>
      </c>
      <c r="AI40" s="813">
        <f>SUMIFS('6.3 Asset_Health'!AI$11:AI$720,'6.3 Asset_Health'!$G$11:$G$720,$G40,'6.3 Asset_Health'!$M$11:$M$720,$M40)</f>
        <v>0</v>
      </c>
    </row>
    <row r="41" spans="4:35">
      <c r="D41" s="435" t="s">
        <v>79</v>
      </c>
      <c r="E41" s="435"/>
      <c r="G41" s="435" t="s">
        <v>12</v>
      </c>
      <c r="H41" s="435" t="s">
        <v>2669</v>
      </c>
      <c r="I41" s="435" t="s">
        <v>7</v>
      </c>
      <c r="J41" s="435" t="s">
        <v>299</v>
      </c>
      <c r="M41" s="435" t="s">
        <v>2663</v>
      </c>
      <c r="AC41" s="435" t="s">
        <v>2</v>
      </c>
      <c r="AE41" s="813">
        <f>SUMIFS('6.3 Asset_Health'!AE$11:AE$720,'6.3 Asset_Health'!$G$11:$G$720,$G41,'6.3 Asset_Health'!$M$11:$M$720,$M41)</f>
        <v>0</v>
      </c>
      <c r="AF41" s="813">
        <f>SUMIFS('6.3 Asset_Health'!AF$11:AF$720,'6.3 Asset_Health'!$G$11:$G$720,$G41,'6.3 Asset_Health'!$M$11:$M$720,$M41)</f>
        <v>0</v>
      </c>
      <c r="AG41" s="813">
        <f>SUMIFS('6.3 Asset_Health'!AG$11:AG$720,'6.3 Asset_Health'!$G$11:$G$720,$G41,'6.3 Asset_Health'!$M$11:$M$720,$M41)</f>
        <v>0</v>
      </c>
      <c r="AH41" s="813">
        <f>SUMIFS('6.3 Asset_Health'!AH$11:AH$720,'6.3 Asset_Health'!$G$11:$G$720,$G41,'6.3 Asset_Health'!$M$11:$M$720,$M41)</f>
        <v>0</v>
      </c>
      <c r="AI41" s="813">
        <f>SUMIFS('6.3 Asset_Health'!AI$11:AI$720,'6.3 Asset_Health'!$G$11:$G$720,$G41,'6.3 Asset_Health'!$M$11:$M$720,$M41)</f>
        <v>0</v>
      </c>
    </row>
    <row r="42" spans="4:35">
      <c r="D42" s="435" t="s">
        <v>79</v>
      </c>
      <c r="E42" s="435"/>
      <c r="G42" s="435" t="s">
        <v>12</v>
      </c>
      <c r="H42" s="435" t="s">
        <v>2669</v>
      </c>
      <c r="I42" s="435" t="s">
        <v>7</v>
      </c>
      <c r="J42" s="435" t="s">
        <v>299</v>
      </c>
      <c r="M42" s="435" t="s">
        <v>2664</v>
      </c>
      <c r="AC42" s="435" t="s">
        <v>2</v>
      </c>
      <c r="AE42" s="813">
        <f>SUMIFS('6.3 Asset_Health'!AE$11:AE$720,'6.3 Asset_Health'!$G$11:$G$720,$G42,'6.3 Asset_Health'!$M$11:$M$720,$M42)</f>
        <v>0</v>
      </c>
      <c r="AF42" s="813">
        <f>SUMIFS('6.3 Asset_Health'!AF$11:AF$720,'6.3 Asset_Health'!$G$11:$G$720,$G42,'6.3 Asset_Health'!$M$11:$M$720,$M42)</f>
        <v>0</v>
      </c>
      <c r="AG42" s="813">
        <f>SUMIFS('6.3 Asset_Health'!AG$11:AG$720,'6.3 Asset_Health'!$G$11:$G$720,$G42,'6.3 Asset_Health'!$M$11:$M$720,$M42)</f>
        <v>0</v>
      </c>
      <c r="AH42" s="813">
        <f>SUMIFS('6.3 Asset_Health'!AH$11:AH$720,'6.3 Asset_Health'!$G$11:$G$720,$G42,'6.3 Asset_Health'!$M$11:$M$720,$M42)</f>
        <v>0</v>
      </c>
      <c r="AI42" s="813">
        <f>SUMIFS('6.3 Asset_Health'!AI$11:AI$720,'6.3 Asset_Health'!$G$11:$G$720,$G42,'6.3 Asset_Health'!$M$11:$M$720,$M42)</f>
        <v>0</v>
      </c>
    </row>
    <row r="43" spans="4:35">
      <c r="D43" s="435" t="s">
        <v>79</v>
      </c>
      <c r="E43" s="435"/>
      <c r="G43" s="435" t="s">
        <v>12</v>
      </c>
      <c r="H43" s="435" t="s">
        <v>2669</v>
      </c>
      <c r="I43" s="435" t="s">
        <v>7</v>
      </c>
      <c r="J43" s="435" t="s">
        <v>299</v>
      </c>
      <c r="M43" s="435" t="s">
        <v>851</v>
      </c>
      <c r="AC43" s="435" t="s">
        <v>2</v>
      </c>
      <c r="AE43" s="813">
        <f>SUMIFS('6.3 Asset_Health'!AE$11:AE$720,'6.3 Asset_Health'!$G$11:$G$720,$G43,'6.3 Asset_Health'!$M$11:$M$720,$M43)</f>
        <v>0</v>
      </c>
      <c r="AF43" s="813">
        <f>SUMIFS('6.3 Asset_Health'!AF$11:AF$720,'6.3 Asset_Health'!$G$11:$G$720,$G43,'6.3 Asset_Health'!$M$11:$M$720,$M43)</f>
        <v>0</v>
      </c>
      <c r="AG43" s="813">
        <f>SUMIFS('6.3 Asset_Health'!AG$11:AG$720,'6.3 Asset_Health'!$G$11:$G$720,$G43,'6.3 Asset_Health'!$M$11:$M$720,$M43)</f>
        <v>0</v>
      </c>
      <c r="AH43" s="813">
        <f>SUMIFS('6.3 Asset_Health'!AH$11:AH$720,'6.3 Asset_Health'!$G$11:$G$720,$G43,'6.3 Asset_Health'!$M$11:$M$720,$M43)</f>
        <v>0</v>
      </c>
      <c r="AI43" s="813">
        <f>SUMIFS('6.3 Asset_Health'!AI$11:AI$720,'6.3 Asset_Health'!$G$11:$G$720,$G43,'6.3 Asset_Health'!$M$11:$M$720,$M43)</f>
        <v>0</v>
      </c>
    </row>
    <row r="44" spans="4:35">
      <c r="D44" s="435" t="s">
        <v>79</v>
      </c>
      <c r="E44" s="435"/>
      <c r="G44" s="435" t="s">
        <v>12</v>
      </c>
      <c r="H44" s="435" t="s">
        <v>2669</v>
      </c>
      <c r="I44" s="435" t="s">
        <v>7</v>
      </c>
      <c r="J44" s="435" t="s">
        <v>299</v>
      </c>
      <c r="M44" s="435" t="s">
        <v>856</v>
      </c>
      <c r="AC44" s="435" t="s">
        <v>2</v>
      </c>
      <c r="AE44" s="813">
        <f>SUMIFS('6.3 Asset_Health'!AE$11:AE$720,'6.3 Asset_Health'!$G$11:$G$720,$G44,'6.3 Asset_Health'!$M$11:$M$720,$M44)</f>
        <v>0</v>
      </c>
      <c r="AF44" s="813">
        <f>SUMIFS('6.3 Asset_Health'!AF$11:AF$720,'6.3 Asset_Health'!$G$11:$G$720,$G44,'6.3 Asset_Health'!$M$11:$M$720,$M44)</f>
        <v>0</v>
      </c>
      <c r="AG44" s="813">
        <f>SUMIFS('6.3 Asset_Health'!AG$11:AG$720,'6.3 Asset_Health'!$G$11:$G$720,$G44,'6.3 Asset_Health'!$M$11:$M$720,$M44)</f>
        <v>0</v>
      </c>
      <c r="AH44" s="813">
        <f>SUMIFS('6.3 Asset_Health'!AH$11:AH$720,'6.3 Asset_Health'!$G$11:$G$720,$G44,'6.3 Asset_Health'!$M$11:$M$720,$M44)</f>
        <v>0</v>
      </c>
      <c r="AI44" s="813">
        <f>SUMIFS('6.3 Asset_Health'!AI$11:AI$720,'6.3 Asset_Health'!$G$11:$G$720,$G44,'6.3 Asset_Health'!$M$11:$M$720,$M44)</f>
        <v>0</v>
      </c>
    </row>
    <row r="45" spans="4:35">
      <c r="D45" s="435" t="s">
        <v>79</v>
      </c>
      <c r="E45" s="435"/>
      <c r="G45" s="435" t="s">
        <v>12</v>
      </c>
      <c r="H45" s="435" t="s">
        <v>2669</v>
      </c>
      <c r="I45" s="435" t="s">
        <v>7</v>
      </c>
      <c r="J45" s="435" t="s">
        <v>299</v>
      </c>
      <c r="M45" s="435" t="s">
        <v>853</v>
      </c>
      <c r="AC45" s="435" t="s">
        <v>2</v>
      </c>
      <c r="AE45" s="813">
        <f>SUMIFS('6.3 Asset_Health'!AE$11:AE$720,'6.3 Asset_Health'!$G$11:$G$720,$G45,'6.3 Asset_Health'!$M$11:$M$720,$M45)</f>
        <v>0</v>
      </c>
      <c r="AF45" s="813">
        <f>SUMIFS('6.3 Asset_Health'!AF$11:AF$720,'6.3 Asset_Health'!$G$11:$G$720,$G45,'6.3 Asset_Health'!$M$11:$M$720,$M45)</f>
        <v>0</v>
      </c>
      <c r="AG45" s="813">
        <f>SUMIFS('6.3 Asset_Health'!AG$11:AG$720,'6.3 Asset_Health'!$G$11:$G$720,$G45,'6.3 Asset_Health'!$M$11:$M$720,$M45)</f>
        <v>0</v>
      </c>
      <c r="AH45" s="813">
        <f>SUMIFS('6.3 Asset_Health'!AH$11:AH$720,'6.3 Asset_Health'!$G$11:$G$720,$G45,'6.3 Asset_Health'!$M$11:$M$720,$M45)</f>
        <v>0</v>
      </c>
      <c r="AI45" s="813">
        <f>SUMIFS('6.3 Asset_Health'!AI$11:AI$720,'6.3 Asset_Health'!$G$11:$G$720,$G45,'6.3 Asset_Health'!$M$11:$M$720,$M45)</f>
        <v>0</v>
      </c>
    </row>
    <row r="46" spans="4:35">
      <c r="D46" s="435" t="s">
        <v>79</v>
      </c>
      <c r="E46" s="435"/>
      <c r="G46" s="435" t="s">
        <v>12</v>
      </c>
      <c r="H46" s="435" t="s">
        <v>2669</v>
      </c>
      <c r="I46" s="435" t="s">
        <v>7</v>
      </c>
      <c r="J46" s="435" t="s">
        <v>299</v>
      </c>
      <c r="M46" s="435" t="s">
        <v>845</v>
      </c>
      <c r="AC46" s="435" t="s">
        <v>2</v>
      </c>
      <c r="AE46" s="813">
        <f>SUMIFS('6.3 Asset_Health'!AE$11:AE$720,'6.3 Asset_Health'!$G$11:$G$720,$G46,'6.3 Asset_Health'!$M$11:$M$720,$M46)</f>
        <v>0</v>
      </c>
      <c r="AF46" s="813">
        <f>SUMIFS('6.3 Asset_Health'!AF$11:AF$720,'6.3 Asset_Health'!$G$11:$G$720,$G46,'6.3 Asset_Health'!$M$11:$M$720,$M46)</f>
        <v>0</v>
      </c>
      <c r="AG46" s="813">
        <f>SUMIFS('6.3 Asset_Health'!AG$11:AG$720,'6.3 Asset_Health'!$G$11:$G$720,$G46,'6.3 Asset_Health'!$M$11:$M$720,$M46)</f>
        <v>0</v>
      </c>
      <c r="AH46" s="813">
        <f>SUMIFS('6.3 Asset_Health'!AH$11:AH$720,'6.3 Asset_Health'!$G$11:$G$720,$G46,'6.3 Asset_Health'!$M$11:$M$720,$M46)</f>
        <v>0</v>
      </c>
      <c r="AI46" s="813">
        <f>SUMIFS('6.3 Asset_Health'!AI$11:AI$720,'6.3 Asset_Health'!$G$11:$G$720,$G46,'6.3 Asset_Health'!$M$11:$M$720,$M46)</f>
        <v>0</v>
      </c>
    </row>
    <row r="47" spans="4:35">
      <c r="D47" s="435" t="s">
        <v>79</v>
      </c>
      <c r="E47" s="435"/>
      <c r="G47" s="435" t="s">
        <v>12</v>
      </c>
      <c r="H47" s="435" t="s">
        <v>2669</v>
      </c>
      <c r="I47" s="435" t="s">
        <v>7</v>
      </c>
      <c r="J47" s="435" t="s">
        <v>299</v>
      </c>
      <c r="M47" s="435" t="s">
        <v>858</v>
      </c>
      <c r="AC47" s="435" t="s">
        <v>2</v>
      </c>
      <c r="AE47" s="813">
        <f>SUMIFS('6.3 Asset_Health'!AE$11:AE$720,'6.3 Asset_Health'!$G$11:$G$720,$G47,'6.3 Asset_Health'!$M$11:$M$720,$M47)</f>
        <v>0</v>
      </c>
      <c r="AF47" s="813">
        <f>SUMIFS('6.3 Asset_Health'!AF$11:AF$720,'6.3 Asset_Health'!$G$11:$G$720,$G47,'6.3 Asset_Health'!$M$11:$M$720,$M47)</f>
        <v>0</v>
      </c>
      <c r="AG47" s="813">
        <f>SUMIFS('6.3 Asset_Health'!AG$11:AG$720,'6.3 Asset_Health'!$G$11:$G$720,$G47,'6.3 Asset_Health'!$M$11:$M$720,$M47)</f>
        <v>0</v>
      </c>
      <c r="AH47" s="813">
        <f>SUMIFS('6.3 Asset_Health'!AH$11:AH$720,'6.3 Asset_Health'!$G$11:$G$720,$G47,'6.3 Asset_Health'!$M$11:$M$720,$M47)</f>
        <v>0</v>
      </c>
      <c r="AI47" s="813">
        <f>SUMIFS('6.3 Asset_Health'!AI$11:AI$720,'6.3 Asset_Health'!$G$11:$G$720,$G47,'6.3 Asset_Health'!$M$11:$M$720,$M47)</f>
        <v>0</v>
      </c>
    </row>
    <row r="48" spans="4:35">
      <c r="D48" s="435" t="s">
        <v>79</v>
      </c>
      <c r="E48" s="435"/>
      <c r="G48" s="435" t="s">
        <v>12</v>
      </c>
      <c r="H48" s="435" t="s">
        <v>2669</v>
      </c>
      <c r="I48" s="435" t="s">
        <v>7</v>
      </c>
      <c r="J48" s="435" t="s">
        <v>299</v>
      </c>
      <c r="M48" s="435" t="s">
        <v>2665</v>
      </c>
      <c r="AC48" s="435" t="s">
        <v>2</v>
      </c>
      <c r="AE48" s="813">
        <f>SUMIFS('6.3 Asset_Health'!AE$11:AE$720,'6.3 Asset_Health'!$G$11:$G$720,$G48,'6.3 Asset_Health'!$M$11:$M$720,$M48)</f>
        <v>0</v>
      </c>
      <c r="AF48" s="813">
        <f>SUMIFS('6.3 Asset_Health'!AF$11:AF$720,'6.3 Asset_Health'!$G$11:$G$720,$G48,'6.3 Asset_Health'!$M$11:$M$720,$M48)</f>
        <v>0</v>
      </c>
      <c r="AG48" s="813">
        <f>SUMIFS('6.3 Asset_Health'!AG$11:AG$720,'6.3 Asset_Health'!$G$11:$G$720,$G48,'6.3 Asset_Health'!$M$11:$M$720,$M48)</f>
        <v>0</v>
      </c>
      <c r="AH48" s="813">
        <f>SUMIFS('6.3 Asset_Health'!AH$11:AH$720,'6.3 Asset_Health'!$G$11:$G$720,$G48,'6.3 Asset_Health'!$M$11:$M$720,$M48)</f>
        <v>0</v>
      </c>
      <c r="AI48" s="813">
        <f>SUMIFS('6.3 Asset_Health'!AI$11:AI$720,'6.3 Asset_Health'!$G$11:$G$720,$G48,'6.3 Asset_Health'!$M$11:$M$720,$M48)</f>
        <v>0</v>
      </c>
    </row>
    <row r="49" spans="1:35">
      <c r="D49" s="435" t="s">
        <v>79</v>
      </c>
      <c r="E49" s="435"/>
      <c r="G49" s="435" t="s">
        <v>12</v>
      </c>
      <c r="H49" s="435" t="s">
        <v>2669</v>
      </c>
      <c r="I49" s="435" t="s">
        <v>7</v>
      </c>
      <c r="J49" s="435" t="s">
        <v>299</v>
      </c>
      <c r="M49" s="435" t="s">
        <v>2666</v>
      </c>
      <c r="AC49" s="435" t="s">
        <v>2</v>
      </c>
      <c r="AE49" s="813">
        <f>SUMIFS('6.3 Asset_Health'!AE$11:AE$720,'6.3 Asset_Health'!$G$11:$G$720,$G49,'6.3 Asset_Health'!$M$11:$M$720,$M49)</f>
        <v>0</v>
      </c>
      <c r="AF49" s="813">
        <f>SUMIFS('6.3 Asset_Health'!AF$11:AF$720,'6.3 Asset_Health'!$G$11:$G$720,$G49,'6.3 Asset_Health'!$M$11:$M$720,$M49)</f>
        <v>0</v>
      </c>
      <c r="AG49" s="813">
        <f>SUMIFS('6.3 Asset_Health'!AG$11:AG$720,'6.3 Asset_Health'!$G$11:$G$720,$G49,'6.3 Asset_Health'!$M$11:$M$720,$M49)</f>
        <v>0</v>
      </c>
      <c r="AH49" s="813">
        <f>SUMIFS('6.3 Asset_Health'!AH$11:AH$720,'6.3 Asset_Health'!$G$11:$G$720,$G49,'6.3 Asset_Health'!$M$11:$M$720,$M49)</f>
        <v>0</v>
      </c>
      <c r="AI49" s="813">
        <f>SUMIFS('6.3 Asset_Health'!AI$11:AI$720,'6.3 Asset_Health'!$G$11:$G$720,$G49,'6.3 Asset_Health'!$M$11:$M$720,$M49)</f>
        <v>0</v>
      </c>
    </row>
    <row r="50" spans="1:35">
      <c r="D50" s="435" t="s">
        <v>79</v>
      </c>
      <c r="E50" s="435"/>
      <c r="G50" s="435" t="s">
        <v>12</v>
      </c>
      <c r="H50" s="435" t="s">
        <v>2669</v>
      </c>
      <c r="I50" s="435" t="s">
        <v>7</v>
      </c>
      <c r="J50" s="435" t="s">
        <v>299</v>
      </c>
      <c r="M50" s="435" t="s">
        <v>2667</v>
      </c>
      <c r="AC50" s="435" t="s">
        <v>2</v>
      </c>
      <c r="AE50" s="813">
        <f>SUMIFS('6.3 Asset_Health'!AE$11:AE$720,'6.3 Asset_Health'!$G$11:$G$720,$G50,'6.3 Asset_Health'!$M$11:$M$720,$M50)</f>
        <v>0</v>
      </c>
      <c r="AF50" s="813">
        <f>SUMIFS('6.3 Asset_Health'!AF$11:AF$720,'6.3 Asset_Health'!$G$11:$G$720,$G50,'6.3 Asset_Health'!$M$11:$M$720,$M50)</f>
        <v>0</v>
      </c>
      <c r="AG50" s="813">
        <f>SUMIFS('6.3 Asset_Health'!AG$11:AG$720,'6.3 Asset_Health'!$G$11:$G$720,$G50,'6.3 Asset_Health'!$M$11:$M$720,$M50)</f>
        <v>0</v>
      </c>
      <c r="AH50" s="813">
        <f>SUMIFS('6.3 Asset_Health'!AH$11:AH$720,'6.3 Asset_Health'!$G$11:$G$720,$G50,'6.3 Asset_Health'!$M$11:$M$720,$M50)</f>
        <v>0</v>
      </c>
      <c r="AI50" s="813">
        <f>SUMIFS('6.3 Asset_Health'!AI$11:AI$720,'6.3 Asset_Health'!$G$11:$G$720,$G50,'6.3 Asset_Health'!$M$11:$M$720,$M50)</f>
        <v>0</v>
      </c>
    </row>
    <row r="51" spans="1:35">
      <c r="D51" s="435" t="s">
        <v>79</v>
      </c>
      <c r="E51" s="435"/>
      <c r="G51" s="435" t="s">
        <v>12</v>
      </c>
      <c r="H51" s="435" t="s">
        <v>2669</v>
      </c>
      <c r="I51" s="435" t="s">
        <v>7</v>
      </c>
      <c r="J51" s="435" t="s">
        <v>299</v>
      </c>
      <c r="M51" s="435" t="s">
        <v>840</v>
      </c>
      <c r="AC51" s="435" t="s">
        <v>2</v>
      </c>
      <c r="AE51" s="813">
        <f>SUMIFS('6.3 Asset_Health'!AE$11:AE$720,'6.3 Asset_Health'!$G$11:$G$720,$G51,'6.3 Asset_Health'!$M$11:$M$720,$M51)</f>
        <v>0</v>
      </c>
      <c r="AF51" s="813">
        <f>SUMIFS('6.3 Asset_Health'!AF$11:AF$720,'6.3 Asset_Health'!$G$11:$G$720,$G51,'6.3 Asset_Health'!$M$11:$M$720,$M51)</f>
        <v>0</v>
      </c>
      <c r="AG51" s="813">
        <f>SUMIFS('6.3 Asset_Health'!AG$11:AG$720,'6.3 Asset_Health'!$G$11:$G$720,$G51,'6.3 Asset_Health'!$M$11:$M$720,$M51)</f>
        <v>0</v>
      </c>
      <c r="AH51" s="813">
        <f>SUMIFS('6.3 Asset_Health'!AH$11:AH$720,'6.3 Asset_Health'!$G$11:$G$720,$G51,'6.3 Asset_Health'!$M$11:$M$720,$M51)</f>
        <v>0</v>
      </c>
      <c r="AI51" s="813">
        <f>SUMIFS('6.3 Asset_Health'!AI$11:AI$720,'6.3 Asset_Health'!$G$11:$G$720,$G51,'6.3 Asset_Health'!$M$11:$M$720,$M51)</f>
        <v>0</v>
      </c>
    </row>
    <row r="52" spans="1:35">
      <c r="D52" s="435" t="s">
        <v>79</v>
      </c>
      <c r="E52" s="435"/>
      <c r="G52" s="435" t="s">
        <v>12</v>
      </c>
      <c r="H52" s="435" t="s">
        <v>2669</v>
      </c>
      <c r="I52" s="435" t="s">
        <v>7</v>
      </c>
      <c r="J52" s="435" t="s">
        <v>299</v>
      </c>
      <c r="M52" s="435" t="s">
        <v>2668</v>
      </c>
      <c r="AC52" s="435" t="s">
        <v>2</v>
      </c>
      <c r="AE52" s="813">
        <f>SUMIFS('6.3 Asset_Health'!AE$11:AE$720,'6.3 Asset_Health'!$G$11:$G$720,$G52,'6.3 Asset_Health'!$M$11:$M$720,$M52)</f>
        <v>0</v>
      </c>
      <c r="AF52" s="813">
        <f>SUMIFS('6.3 Asset_Health'!AF$11:AF$720,'6.3 Asset_Health'!$G$11:$G$720,$G52,'6.3 Asset_Health'!$M$11:$M$720,$M52)</f>
        <v>0</v>
      </c>
      <c r="AG52" s="813">
        <f>SUMIFS('6.3 Asset_Health'!AG$11:AG$720,'6.3 Asset_Health'!$G$11:$G$720,$G52,'6.3 Asset_Health'!$M$11:$M$720,$M52)</f>
        <v>0</v>
      </c>
      <c r="AH52" s="813">
        <f>SUMIFS('6.3 Asset_Health'!AH$11:AH$720,'6.3 Asset_Health'!$G$11:$G$720,$G52,'6.3 Asset_Health'!$M$11:$M$720,$M52)</f>
        <v>0</v>
      </c>
      <c r="AI52" s="813">
        <f>SUMIFS('6.3 Asset_Health'!AI$11:AI$720,'6.3 Asset_Health'!$G$11:$G$720,$G52,'6.3 Asset_Health'!$M$11:$M$720,$M52)</f>
        <v>0</v>
      </c>
    </row>
    <row r="53" spans="1:35">
      <c r="D53" s="435" t="s">
        <v>79</v>
      </c>
      <c r="E53" s="435"/>
      <c r="G53" s="435" t="s">
        <v>12</v>
      </c>
      <c r="H53" s="435" t="s">
        <v>2669</v>
      </c>
      <c r="I53" s="435" t="s">
        <v>7</v>
      </c>
      <c r="J53" s="435" t="s">
        <v>299</v>
      </c>
      <c r="M53" s="435" t="s">
        <v>847</v>
      </c>
      <c r="AC53" s="435" t="s">
        <v>2</v>
      </c>
      <c r="AE53" s="813">
        <f>SUMIFS('6.3 Asset_Health'!AE$11:AE$720,'6.3 Asset_Health'!$G$11:$G$720,$G53,'6.3 Asset_Health'!$M$11:$M$720,$M53)</f>
        <v>0</v>
      </c>
      <c r="AF53" s="813">
        <f>SUMIFS('6.3 Asset_Health'!AF$11:AF$720,'6.3 Asset_Health'!$G$11:$G$720,$G53,'6.3 Asset_Health'!$M$11:$M$720,$M53)</f>
        <v>0</v>
      </c>
      <c r="AG53" s="813">
        <f>SUMIFS('6.3 Asset_Health'!AG$11:AG$720,'6.3 Asset_Health'!$G$11:$G$720,$G53,'6.3 Asset_Health'!$M$11:$M$720,$M53)</f>
        <v>0</v>
      </c>
      <c r="AH53" s="813">
        <f>SUMIFS('6.3 Asset_Health'!AH$11:AH$720,'6.3 Asset_Health'!$G$11:$G$720,$G53,'6.3 Asset_Health'!$M$11:$M$720,$M53)</f>
        <v>0</v>
      </c>
      <c r="AI53" s="813">
        <f>SUMIFS('6.3 Asset_Health'!AI$11:AI$720,'6.3 Asset_Health'!$G$11:$G$720,$G53,'6.3 Asset_Health'!$M$11:$M$720,$M53)</f>
        <v>0</v>
      </c>
    </row>
    <row r="54" spans="1:35">
      <c r="D54" s="435" t="s">
        <v>79</v>
      </c>
      <c r="E54" s="435"/>
      <c r="G54" s="435" t="s">
        <v>12</v>
      </c>
      <c r="H54" s="435" t="s">
        <v>2669</v>
      </c>
      <c r="I54" s="435" t="s">
        <v>7</v>
      </c>
      <c r="J54" s="435" t="s">
        <v>299</v>
      </c>
      <c r="M54" s="435" t="s">
        <v>846</v>
      </c>
      <c r="AC54" s="435" t="s">
        <v>2</v>
      </c>
      <c r="AE54" s="813">
        <f>SUMIFS('6.3 Asset_Health'!AE$11:AE$720,'6.3 Asset_Health'!$G$11:$G$720,$G54,'6.3 Asset_Health'!$M$11:$M$720,$M54)</f>
        <v>0</v>
      </c>
      <c r="AF54" s="813">
        <f>SUMIFS('6.3 Asset_Health'!AF$11:AF$720,'6.3 Asset_Health'!$G$11:$G$720,$G54,'6.3 Asset_Health'!$M$11:$M$720,$M54)</f>
        <v>0</v>
      </c>
      <c r="AG54" s="813">
        <f>SUMIFS('6.3 Asset_Health'!AG$11:AG$720,'6.3 Asset_Health'!$G$11:$G$720,$G54,'6.3 Asset_Health'!$M$11:$M$720,$M54)</f>
        <v>0</v>
      </c>
      <c r="AH54" s="813">
        <f>SUMIFS('6.3 Asset_Health'!AH$11:AH$720,'6.3 Asset_Health'!$G$11:$G$720,$G54,'6.3 Asset_Health'!$M$11:$M$720,$M54)</f>
        <v>0</v>
      </c>
      <c r="AI54" s="813">
        <f>SUMIFS('6.3 Asset_Health'!AI$11:AI$720,'6.3 Asset_Health'!$G$11:$G$720,$G54,'6.3 Asset_Health'!$M$11:$M$720,$M54)</f>
        <v>0</v>
      </c>
    </row>
    <row r="55" spans="1:35">
      <c r="D55" s="435" t="s">
        <v>79</v>
      </c>
      <c r="E55" s="435"/>
      <c r="G55" s="435" t="s">
        <v>12</v>
      </c>
      <c r="H55" s="435" t="s">
        <v>2669</v>
      </c>
      <c r="I55" s="435" t="s">
        <v>7</v>
      </c>
      <c r="J55" s="435" t="s">
        <v>299</v>
      </c>
      <c r="M55" s="435" t="s">
        <v>861</v>
      </c>
      <c r="AC55" s="435" t="s">
        <v>2</v>
      </c>
      <c r="AE55" s="813">
        <f>SUMIFS('6.3 Asset_Health'!AE$11:AE$720,'6.3 Asset_Health'!$G$11:$G$720,$G55,'6.3 Asset_Health'!$M$11:$M$720,$M55)</f>
        <v>0</v>
      </c>
      <c r="AF55" s="813">
        <f>SUMIFS('6.3 Asset_Health'!AF$11:AF$720,'6.3 Asset_Health'!$G$11:$G$720,$G55,'6.3 Asset_Health'!$M$11:$M$720,$M55)</f>
        <v>0</v>
      </c>
      <c r="AG55" s="813">
        <f>SUMIFS('6.3 Asset_Health'!AG$11:AG$720,'6.3 Asset_Health'!$G$11:$G$720,$G55,'6.3 Asset_Health'!$M$11:$M$720,$M55)</f>
        <v>0</v>
      </c>
      <c r="AH55" s="813">
        <f>SUMIFS('6.3 Asset_Health'!AH$11:AH$720,'6.3 Asset_Health'!$G$11:$G$720,$G55,'6.3 Asset_Health'!$M$11:$M$720,$M55)</f>
        <v>0</v>
      </c>
      <c r="AI55" s="813">
        <f>SUMIFS('6.3 Asset_Health'!AI$11:AI$720,'6.3 Asset_Health'!$G$11:$G$720,$G55,'6.3 Asset_Health'!$M$11:$M$720,$M55)</f>
        <v>0</v>
      </c>
    </row>
    <row r="56" spans="1:35">
      <c r="D56" s="435" t="s">
        <v>79</v>
      </c>
      <c r="E56" s="435"/>
      <c r="G56" s="435" t="s">
        <v>12</v>
      </c>
      <c r="H56" s="435" t="s">
        <v>2669</v>
      </c>
      <c r="I56" s="435" t="s">
        <v>7</v>
      </c>
      <c r="J56" s="435" t="s">
        <v>299</v>
      </c>
      <c r="M56" s="435" t="s">
        <v>862</v>
      </c>
      <c r="AC56" s="435" t="s">
        <v>2</v>
      </c>
      <c r="AE56" s="813">
        <f>SUMIFS('6.3 Asset_Health'!AE$11:AE$720,'6.3 Asset_Health'!$G$11:$G$720,$G56,'6.3 Asset_Health'!$M$11:$M$720,$M56)</f>
        <v>0</v>
      </c>
      <c r="AF56" s="813">
        <f>SUMIFS('6.3 Asset_Health'!AF$11:AF$720,'6.3 Asset_Health'!$G$11:$G$720,$G56,'6.3 Asset_Health'!$M$11:$M$720,$M56)</f>
        <v>0</v>
      </c>
      <c r="AG56" s="813">
        <f>SUMIFS('6.3 Asset_Health'!AG$11:AG$720,'6.3 Asset_Health'!$G$11:$G$720,$G56,'6.3 Asset_Health'!$M$11:$M$720,$M56)</f>
        <v>0</v>
      </c>
      <c r="AH56" s="813">
        <f>SUMIFS('6.3 Asset_Health'!AH$11:AH$720,'6.3 Asset_Health'!$G$11:$G$720,$G56,'6.3 Asset_Health'!$M$11:$M$720,$M56)</f>
        <v>0</v>
      </c>
      <c r="AI56" s="813">
        <f>SUMIFS('6.3 Asset_Health'!AI$11:AI$720,'6.3 Asset_Health'!$G$11:$G$720,$G56,'6.3 Asset_Health'!$M$11:$M$720,$M56)</f>
        <v>0</v>
      </c>
    </row>
    <row r="57" spans="1:35">
      <c r="D57" s="435" t="s">
        <v>79</v>
      </c>
      <c r="E57" s="435"/>
      <c r="G57" s="435" t="s">
        <v>12</v>
      </c>
      <c r="H57" s="435" t="s">
        <v>2669</v>
      </c>
      <c r="I57" s="435" t="s">
        <v>7</v>
      </c>
      <c r="J57" s="435" t="s">
        <v>299</v>
      </c>
      <c r="M57" s="435" t="s">
        <v>863</v>
      </c>
      <c r="AC57" s="435" t="s">
        <v>2</v>
      </c>
      <c r="AE57" s="813">
        <f>SUMIFS('6.3 Asset_Health'!AE$11:AE$720,'6.3 Asset_Health'!$G$11:$G$720,$G57,'6.3 Asset_Health'!$M$11:$M$720,$M57)</f>
        <v>0</v>
      </c>
      <c r="AF57" s="813">
        <f>SUMIFS('6.3 Asset_Health'!AF$11:AF$720,'6.3 Asset_Health'!$G$11:$G$720,$G57,'6.3 Asset_Health'!$M$11:$M$720,$M57)</f>
        <v>0</v>
      </c>
      <c r="AG57" s="813">
        <f>SUMIFS('6.3 Asset_Health'!AG$11:AG$720,'6.3 Asset_Health'!$G$11:$G$720,$G57,'6.3 Asset_Health'!$M$11:$M$720,$M57)</f>
        <v>0</v>
      </c>
      <c r="AH57" s="813">
        <f>SUMIFS('6.3 Asset_Health'!AH$11:AH$720,'6.3 Asset_Health'!$G$11:$G$720,$G57,'6.3 Asset_Health'!$M$11:$M$720,$M57)</f>
        <v>0</v>
      </c>
      <c r="AI57" s="813">
        <f>SUMIFS('6.3 Asset_Health'!AI$11:AI$720,'6.3 Asset_Health'!$G$11:$G$720,$G57,'6.3 Asset_Health'!$M$11:$M$720,$M57)</f>
        <v>0</v>
      </c>
    </row>
    <row r="58" spans="1:35">
      <c r="D58" s="435" t="s">
        <v>79</v>
      </c>
      <c r="E58" s="435"/>
      <c r="G58" s="435" t="s">
        <v>12</v>
      </c>
      <c r="H58" s="435" t="s">
        <v>2669</v>
      </c>
      <c r="I58" s="435" t="s">
        <v>7</v>
      </c>
      <c r="J58" s="435" t="s">
        <v>299</v>
      </c>
      <c r="M58" s="435" t="s">
        <v>864</v>
      </c>
      <c r="AC58" s="435" t="s">
        <v>2</v>
      </c>
      <c r="AE58" s="813">
        <f>SUMIFS('6.3 Asset_Health'!AE$11:AE$720,'6.3 Asset_Health'!$G$11:$G$720,$G58,'6.3 Asset_Health'!$M$11:$M$720,$M58)</f>
        <v>0</v>
      </c>
      <c r="AF58" s="813">
        <f>SUMIFS('6.3 Asset_Health'!AF$11:AF$720,'6.3 Asset_Health'!$G$11:$G$720,$G58,'6.3 Asset_Health'!$M$11:$M$720,$M58)</f>
        <v>0</v>
      </c>
      <c r="AG58" s="813">
        <f>SUMIFS('6.3 Asset_Health'!AG$11:AG$720,'6.3 Asset_Health'!$G$11:$G$720,$G58,'6.3 Asset_Health'!$M$11:$M$720,$M58)</f>
        <v>0</v>
      </c>
      <c r="AH58" s="813">
        <f>SUMIFS('6.3 Asset_Health'!AH$11:AH$720,'6.3 Asset_Health'!$G$11:$G$720,$G58,'6.3 Asset_Health'!$M$11:$M$720,$M58)</f>
        <v>0</v>
      </c>
      <c r="AI58" s="813">
        <f>SUMIFS('6.3 Asset_Health'!AI$11:AI$720,'6.3 Asset_Health'!$G$11:$G$720,$G58,'6.3 Asset_Health'!$M$11:$M$720,$M58)</f>
        <v>0</v>
      </c>
    </row>
    <row r="59" spans="1:35">
      <c r="D59" s="435" t="s">
        <v>79</v>
      </c>
      <c r="E59" s="435"/>
      <c r="G59" s="435" t="s">
        <v>12</v>
      </c>
      <c r="H59" s="435" t="s">
        <v>2669</v>
      </c>
      <c r="I59" s="435" t="s">
        <v>7</v>
      </c>
      <c r="J59" s="435" t="s">
        <v>299</v>
      </c>
      <c r="M59" s="435" t="s">
        <v>860</v>
      </c>
      <c r="AC59" s="435" t="s">
        <v>2</v>
      </c>
      <c r="AE59" s="813">
        <f>SUMIFS('6.3 Asset_Health'!AE$11:AE$720,'6.3 Asset_Health'!$G$11:$G$720,$G59,'6.3 Asset_Health'!$M$11:$M$720,$M59)</f>
        <v>0</v>
      </c>
      <c r="AF59" s="813">
        <f>SUMIFS('6.3 Asset_Health'!AF$11:AF$720,'6.3 Asset_Health'!$G$11:$G$720,$G59,'6.3 Asset_Health'!$M$11:$M$720,$M59)</f>
        <v>0</v>
      </c>
      <c r="AG59" s="813">
        <f>SUMIFS('6.3 Asset_Health'!AG$11:AG$720,'6.3 Asset_Health'!$G$11:$G$720,$G59,'6.3 Asset_Health'!$M$11:$M$720,$M59)</f>
        <v>0</v>
      </c>
      <c r="AH59" s="813">
        <f>SUMIFS('6.3 Asset_Health'!AH$11:AH$720,'6.3 Asset_Health'!$G$11:$G$720,$G59,'6.3 Asset_Health'!$M$11:$M$720,$M59)</f>
        <v>0</v>
      </c>
      <c r="AI59" s="813">
        <f>SUMIFS('6.3 Asset_Health'!AI$11:AI$720,'6.3 Asset_Health'!$G$11:$G$720,$G59,'6.3 Asset_Health'!$M$11:$M$720,$M59)</f>
        <v>0</v>
      </c>
    </row>
    <row r="61" spans="1:35" s="1" customFormat="1" ht="13.9">
      <c r="A61" s="66"/>
      <c r="B61" s="78" t="s">
        <v>1414</v>
      </c>
    </row>
    <row r="62" spans="1:35" s="435" customFormat="1"/>
    <row r="63" spans="1:35" s="435" customFormat="1">
      <c r="D63" s="435" t="s">
        <v>79</v>
      </c>
      <c r="G63" s="435" t="s">
        <v>86</v>
      </c>
      <c r="H63" s="435" t="s">
        <v>2669</v>
      </c>
      <c r="I63" s="435" t="s">
        <v>7</v>
      </c>
      <c r="J63" s="435" t="s">
        <v>299</v>
      </c>
      <c r="M63" s="435" t="s">
        <v>855</v>
      </c>
      <c r="AC63" s="435" t="s">
        <v>965</v>
      </c>
      <c r="AE63" s="813">
        <f>SUMIFS('6.3 Asset_Health'!AE$11:AE$720,'6.3 Asset_Health'!$G$11:$G$720,$G63,'6.3 Asset_Health'!$M$11:$M$720,$M63)</f>
        <v>0</v>
      </c>
      <c r="AF63" s="813">
        <f>SUMIFS('6.3 Asset_Health'!AF$11:AF$720,'6.3 Asset_Health'!$G$11:$G$720,$G63,'6.3 Asset_Health'!$M$11:$M$720,$M63)</f>
        <v>0</v>
      </c>
      <c r="AG63" s="813">
        <f>SUMIFS('6.3 Asset_Health'!AG$11:AG$720,'6.3 Asset_Health'!$G$11:$G$720,$G63,'6.3 Asset_Health'!$M$11:$M$720,$M63)</f>
        <v>0</v>
      </c>
      <c r="AH63" s="813">
        <f>SUMIFS('6.3 Asset_Health'!AH$11:AH$720,'6.3 Asset_Health'!$G$11:$G$720,$G63,'6.3 Asset_Health'!$M$11:$M$720,$M63)</f>
        <v>0</v>
      </c>
      <c r="AI63" s="813">
        <f>SUMIFS('6.3 Asset_Health'!AI$11:AI$720,'6.3 Asset_Health'!$G$11:$G$720,$G63,'6.3 Asset_Health'!$M$11:$M$720,$M63)</f>
        <v>0</v>
      </c>
    </row>
    <row r="64" spans="1:35" s="435" customFormat="1">
      <c r="D64" s="435" t="s">
        <v>79</v>
      </c>
      <c r="G64" s="435" t="s">
        <v>86</v>
      </c>
      <c r="H64" s="435" t="s">
        <v>2669</v>
      </c>
      <c r="I64" s="435" t="s">
        <v>7</v>
      </c>
      <c r="J64" s="435" t="s">
        <v>299</v>
      </c>
      <c r="M64" s="435" t="s">
        <v>2655</v>
      </c>
      <c r="AC64" s="435" t="s">
        <v>965</v>
      </c>
      <c r="AE64" s="813">
        <f>SUMIFS('6.3 Asset_Health'!AE$11:AE$720,'6.3 Asset_Health'!$G$11:$G$720,$G64,'6.3 Asset_Health'!$M$11:$M$720,$M64)</f>
        <v>0</v>
      </c>
      <c r="AF64" s="813">
        <f>SUMIFS('6.3 Asset_Health'!AF$11:AF$720,'6.3 Asset_Health'!$G$11:$G$720,$G64,'6.3 Asset_Health'!$M$11:$M$720,$M64)</f>
        <v>0</v>
      </c>
      <c r="AG64" s="813">
        <f>SUMIFS('6.3 Asset_Health'!AG$11:AG$720,'6.3 Asset_Health'!$G$11:$G$720,$G64,'6.3 Asset_Health'!$M$11:$M$720,$M64)</f>
        <v>0</v>
      </c>
      <c r="AH64" s="813">
        <f>SUMIFS('6.3 Asset_Health'!AH$11:AH$720,'6.3 Asset_Health'!$G$11:$G$720,$G64,'6.3 Asset_Health'!$M$11:$M$720,$M64)</f>
        <v>0</v>
      </c>
      <c r="AI64" s="813">
        <f>SUMIFS('6.3 Asset_Health'!AI$11:AI$720,'6.3 Asset_Health'!$G$11:$G$720,$G64,'6.3 Asset_Health'!$M$11:$M$720,$M64)</f>
        <v>0</v>
      </c>
    </row>
    <row r="65" spans="4:35" s="435" customFormat="1">
      <c r="D65" s="435" t="s">
        <v>79</v>
      </c>
      <c r="G65" s="435" t="s">
        <v>86</v>
      </c>
      <c r="H65" s="435" t="s">
        <v>2669</v>
      </c>
      <c r="I65" s="435" t="s">
        <v>7</v>
      </c>
      <c r="J65" s="435" t="s">
        <v>299</v>
      </c>
      <c r="M65" s="435" t="s">
        <v>832</v>
      </c>
      <c r="AC65" s="435" t="s">
        <v>965</v>
      </c>
      <c r="AE65" s="813">
        <f>SUMIFS('6.3 Asset_Health'!AE$11:AE$720,'6.3 Asset_Health'!$G$11:$G$720,$G65,'6.3 Asset_Health'!$M$11:$M$720,$M65)</f>
        <v>0</v>
      </c>
      <c r="AF65" s="813">
        <f>SUMIFS('6.3 Asset_Health'!AF$11:AF$720,'6.3 Asset_Health'!$G$11:$G$720,$G65,'6.3 Asset_Health'!$M$11:$M$720,$M65)</f>
        <v>0</v>
      </c>
      <c r="AG65" s="813">
        <f>SUMIFS('6.3 Asset_Health'!AG$11:AG$720,'6.3 Asset_Health'!$G$11:$G$720,$G65,'6.3 Asset_Health'!$M$11:$M$720,$M65)</f>
        <v>0</v>
      </c>
      <c r="AH65" s="813">
        <f>SUMIFS('6.3 Asset_Health'!AH$11:AH$720,'6.3 Asset_Health'!$G$11:$G$720,$G65,'6.3 Asset_Health'!$M$11:$M$720,$M65)</f>
        <v>0</v>
      </c>
      <c r="AI65" s="813">
        <f>SUMIFS('6.3 Asset_Health'!AI$11:AI$720,'6.3 Asset_Health'!$G$11:$G$720,$G65,'6.3 Asset_Health'!$M$11:$M$720,$M65)</f>
        <v>0</v>
      </c>
    </row>
    <row r="66" spans="4:35" s="435" customFormat="1">
      <c r="D66" s="435" t="s">
        <v>79</v>
      </c>
      <c r="G66" s="435" t="s">
        <v>86</v>
      </c>
      <c r="H66" s="435" t="s">
        <v>2669</v>
      </c>
      <c r="I66" s="435" t="s">
        <v>7</v>
      </c>
      <c r="J66" s="435" t="s">
        <v>299</v>
      </c>
      <c r="M66" s="435" t="s">
        <v>833</v>
      </c>
      <c r="AC66" s="435" t="s">
        <v>965</v>
      </c>
      <c r="AE66" s="813">
        <f>SUMIFS('6.3 Asset_Health'!AE$11:AE$720,'6.3 Asset_Health'!$G$11:$G$720,$G66,'6.3 Asset_Health'!$M$11:$M$720,$M66)</f>
        <v>0</v>
      </c>
      <c r="AF66" s="813">
        <f>SUMIFS('6.3 Asset_Health'!AF$11:AF$720,'6.3 Asset_Health'!$G$11:$G$720,$G66,'6.3 Asset_Health'!$M$11:$M$720,$M66)</f>
        <v>0</v>
      </c>
      <c r="AG66" s="813">
        <f>SUMIFS('6.3 Asset_Health'!AG$11:AG$720,'6.3 Asset_Health'!$G$11:$G$720,$G66,'6.3 Asset_Health'!$M$11:$M$720,$M66)</f>
        <v>0</v>
      </c>
      <c r="AH66" s="813">
        <f>SUMIFS('6.3 Asset_Health'!AH$11:AH$720,'6.3 Asset_Health'!$G$11:$G$720,$G66,'6.3 Asset_Health'!$M$11:$M$720,$M66)</f>
        <v>0</v>
      </c>
      <c r="AI66" s="813">
        <f>SUMIFS('6.3 Asset_Health'!AI$11:AI$720,'6.3 Asset_Health'!$G$11:$G$720,$G66,'6.3 Asset_Health'!$M$11:$M$720,$M66)</f>
        <v>0</v>
      </c>
    </row>
    <row r="67" spans="4:35" s="435" customFormat="1">
      <c r="D67" s="435" t="s">
        <v>79</v>
      </c>
      <c r="G67" s="435" t="s">
        <v>86</v>
      </c>
      <c r="H67" s="435" t="s">
        <v>2669</v>
      </c>
      <c r="I67" s="435" t="s">
        <v>7</v>
      </c>
      <c r="J67" s="435" t="s">
        <v>299</v>
      </c>
      <c r="M67" s="435" t="s">
        <v>2656</v>
      </c>
      <c r="AC67" s="435" t="s">
        <v>965</v>
      </c>
      <c r="AE67" s="813">
        <f>SUMIFS('6.3 Asset_Health'!AE$11:AE$720,'6.3 Asset_Health'!$G$11:$G$720,$G67,'6.3 Asset_Health'!$M$11:$M$720,$M67)</f>
        <v>0</v>
      </c>
      <c r="AF67" s="813">
        <f>SUMIFS('6.3 Asset_Health'!AF$11:AF$720,'6.3 Asset_Health'!$G$11:$G$720,$G67,'6.3 Asset_Health'!$M$11:$M$720,$M67)</f>
        <v>0</v>
      </c>
      <c r="AG67" s="813">
        <f>SUMIFS('6.3 Asset_Health'!AG$11:AG$720,'6.3 Asset_Health'!$G$11:$G$720,$G67,'6.3 Asset_Health'!$M$11:$M$720,$M67)</f>
        <v>0</v>
      </c>
      <c r="AH67" s="813">
        <f>SUMIFS('6.3 Asset_Health'!AH$11:AH$720,'6.3 Asset_Health'!$G$11:$G$720,$G67,'6.3 Asset_Health'!$M$11:$M$720,$M67)</f>
        <v>0</v>
      </c>
      <c r="AI67" s="813">
        <f>SUMIFS('6.3 Asset_Health'!AI$11:AI$720,'6.3 Asset_Health'!$G$11:$G$720,$G67,'6.3 Asset_Health'!$M$11:$M$720,$M67)</f>
        <v>0</v>
      </c>
    </row>
    <row r="68" spans="4:35" s="435" customFormat="1">
      <c r="D68" s="435" t="s">
        <v>79</v>
      </c>
      <c r="G68" s="435" t="s">
        <v>86</v>
      </c>
      <c r="H68" s="435" t="s">
        <v>2669</v>
      </c>
      <c r="I68" s="435" t="s">
        <v>7</v>
      </c>
      <c r="J68" s="435" t="s">
        <v>299</v>
      </c>
      <c r="M68" s="435" t="s">
        <v>834</v>
      </c>
      <c r="AC68" s="435" t="s">
        <v>965</v>
      </c>
      <c r="AE68" s="813">
        <f>SUMIFS('6.3 Asset_Health'!AE$11:AE$720,'6.3 Asset_Health'!$G$11:$G$720,$G68,'6.3 Asset_Health'!$M$11:$M$720,$M68)</f>
        <v>0</v>
      </c>
      <c r="AF68" s="813">
        <f>SUMIFS('6.3 Asset_Health'!AF$11:AF$720,'6.3 Asset_Health'!$G$11:$G$720,$G68,'6.3 Asset_Health'!$M$11:$M$720,$M68)</f>
        <v>0</v>
      </c>
      <c r="AG68" s="813">
        <f>SUMIFS('6.3 Asset_Health'!AG$11:AG$720,'6.3 Asset_Health'!$G$11:$G$720,$G68,'6.3 Asset_Health'!$M$11:$M$720,$M68)</f>
        <v>0</v>
      </c>
      <c r="AH68" s="813">
        <f>SUMIFS('6.3 Asset_Health'!AH$11:AH$720,'6.3 Asset_Health'!$G$11:$G$720,$G68,'6.3 Asset_Health'!$M$11:$M$720,$M68)</f>
        <v>0</v>
      </c>
      <c r="AI68" s="813">
        <f>SUMIFS('6.3 Asset_Health'!AI$11:AI$720,'6.3 Asset_Health'!$G$11:$G$720,$G68,'6.3 Asset_Health'!$M$11:$M$720,$M68)</f>
        <v>0</v>
      </c>
    </row>
    <row r="69" spans="4:35" s="435" customFormat="1">
      <c r="D69" s="435" t="s">
        <v>79</v>
      </c>
      <c r="G69" s="435" t="s">
        <v>86</v>
      </c>
      <c r="H69" s="435" t="s">
        <v>2669</v>
      </c>
      <c r="I69" s="435" t="s">
        <v>7</v>
      </c>
      <c r="J69" s="435" t="s">
        <v>299</v>
      </c>
      <c r="M69" s="435" t="s">
        <v>841</v>
      </c>
      <c r="AC69" s="435" t="s">
        <v>965</v>
      </c>
      <c r="AE69" s="813">
        <f>SUMIFS('6.3 Asset_Health'!AE$11:AE$720,'6.3 Asset_Health'!$G$11:$G$720,$G69,'6.3 Asset_Health'!$M$11:$M$720,$M69)</f>
        <v>0</v>
      </c>
      <c r="AF69" s="813">
        <f>SUMIFS('6.3 Asset_Health'!AF$11:AF$720,'6.3 Asset_Health'!$G$11:$G$720,$G69,'6.3 Asset_Health'!$M$11:$M$720,$M69)</f>
        <v>0</v>
      </c>
      <c r="AG69" s="813">
        <f>SUMIFS('6.3 Asset_Health'!AG$11:AG$720,'6.3 Asset_Health'!$G$11:$G$720,$G69,'6.3 Asset_Health'!$M$11:$M$720,$M69)</f>
        <v>0</v>
      </c>
      <c r="AH69" s="813">
        <f>SUMIFS('6.3 Asset_Health'!AH$11:AH$720,'6.3 Asset_Health'!$G$11:$G$720,$G69,'6.3 Asset_Health'!$M$11:$M$720,$M69)</f>
        <v>0</v>
      </c>
      <c r="AI69" s="813">
        <f>SUMIFS('6.3 Asset_Health'!AI$11:AI$720,'6.3 Asset_Health'!$G$11:$G$720,$G69,'6.3 Asset_Health'!$M$11:$M$720,$M69)</f>
        <v>0</v>
      </c>
    </row>
    <row r="70" spans="4:35" s="435" customFormat="1">
      <c r="D70" s="435" t="s">
        <v>79</v>
      </c>
      <c r="G70" s="435" t="s">
        <v>86</v>
      </c>
      <c r="H70" s="435" t="s">
        <v>2669</v>
      </c>
      <c r="I70" s="435" t="s">
        <v>7</v>
      </c>
      <c r="J70" s="435" t="s">
        <v>299</v>
      </c>
      <c r="M70" s="435" t="s">
        <v>839</v>
      </c>
      <c r="AC70" s="435" t="s">
        <v>965</v>
      </c>
      <c r="AE70" s="813">
        <f>SUMIFS('6.3 Asset_Health'!AE$11:AE$720,'6.3 Asset_Health'!$G$11:$G$720,$G70,'6.3 Asset_Health'!$M$11:$M$720,$M70)</f>
        <v>0</v>
      </c>
      <c r="AF70" s="813">
        <f>SUMIFS('6.3 Asset_Health'!AF$11:AF$720,'6.3 Asset_Health'!$G$11:$G$720,$G70,'6.3 Asset_Health'!$M$11:$M$720,$M70)</f>
        <v>0</v>
      </c>
      <c r="AG70" s="813">
        <f>SUMIFS('6.3 Asset_Health'!AG$11:AG$720,'6.3 Asset_Health'!$G$11:$G$720,$G70,'6.3 Asset_Health'!$M$11:$M$720,$M70)</f>
        <v>0</v>
      </c>
      <c r="AH70" s="813">
        <f>SUMIFS('6.3 Asset_Health'!AH$11:AH$720,'6.3 Asset_Health'!$G$11:$G$720,$G70,'6.3 Asset_Health'!$M$11:$M$720,$M70)</f>
        <v>0</v>
      </c>
      <c r="AI70" s="813">
        <f>SUMIFS('6.3 Asset_Health'!AI$11:AI$720,'6.3 Asset_Health'!$G$11:$G$720,$G70,'6.3 Asset_Health'!$M$11:$M$720,$M70)</f>
        <v>0</v>
      </c>
    </row>
    <row r="71" spans="4:35" s="435" customFormat="1">
      <c r="D71" s="435" t="s">
        <v>79</v>
      </c>
      <c r="G71" s="435" t="s">
        <v>86</v>
      </c>
      <c r="H71" s="435" t="s">
        <v>2669</v>
      </c>
      <c r="I71" s="435" t="s">
        <v>7</v>
      </c>
      <c r="J71" s="435" t="s">
        <v>299</v>
      </c>
      <c r="M71" s="435" t="s">
        <v>835</v>
      </c>
      <c r="AC71" s="435" t="s">
        <v>965</v>
      </c>
      <c r="AE71" s="813">
        <f>SUMIFS('6.3 Asset_Health'!AE$11:AE$720,'6.3 Asset_Health'!$G$11:$G$720,$G71,'6.3 Asset_Health'!$M$11:$M$720,$M71)</f>
        <v>0</v>
      </c>
      <c r="AF71" s="813">
        <f>SUMIFS('6.3 Asset_Health'!AF$11:AF$720,'6.3 Asset_Health'!$G$11:$G$720,$G71,'6.3 Asset_Health'!$M$11:$M$720,$M71)</f>
        <v>0</v>
      </c>
      <c r="AG71" s="813">
        <f>SUMIFS('6.3 Asset_Health'!AG$11:AG$720,'6.3 Asset_Health'!$G$11:$G$720,$G71,'6.3 Asset_Health'!$M$11:$M$720,$M71)</f>
        <v>0</v>
      </c>
      <c r="AH71" s="813">
        <f>SUMIFS('6.3 Asset_Health'!AH$11:AH$720,'6.3 Asset_Health'!$G$11:$G$720,$G71,'6.3 Asset_Health'!$M$11:$M$720,$M71)</f>
        <v>0</v>
      </c>
      <c r="AI71" s="813">
        <f>SUMIFS('6.3 Asset_Health'!AI$11:AI$720,'6.3 Asset_Health'!$G$11:$G$720,$G71,'6.3 Asset_Health'!$M$11:$M$720,$M71)</f>
        <v>0</v>
      </c>
    </row>
    <row r="72" spans="4:35" s="435" customFormat="1">
      <c r="D72" s="435" t="s">
        <v>79</v>
      </c>
      <c r="G72" s="435" t="s">
        <v>86</v>
      </c>
      <c r="H72" s="435" t="s">
        <v>2669</v>
      </c>
      <c r="I72" s="435" t="s">
        <v>7</v>
      </c>
      <c r="J72" s="435" t="s">
        <v>299</v>
      </c>
      <c r="M72" s="435" t="s">
        <v>837</v>
      </c>
      <c r="AC72" s="435" t="s">
        <v>965</v>
      </c>
      <c r="AE72" s="813">
        <f>SUMIFS('6.3 Asset_Health'!AE$11:AE$720,'6.3 Asset_Health'!$G$11:$G$720,$G72,'6.3 Asset_Health'!$M$11:$M$720,$M72)</f>
        <v>0</v>
      </c>
      <c r="AF72" s="813">
        <f>SUMIFS('6.3 Asset_Health'!AF$11:AF$720,'6.3 Asset_Health'!$G$11:$G$720,$G72,'6.3 Asset_Health'!$M$11:$M$720,$M72)</f>
        <v>0</v>
      </c>
      <c r="AG72" s="813">
        <f>SUMIFS('6.3 Asset_Health'!AG$11:AG$720,'6.3 Asset_Health'!$G$11:$G$720,$G72,'6.3 Asset_Health'!$M$11:$M$720,$M72)</f>
        <v>0</v>
      </c>
      <c r="AH72" s="813">
        <f>SUMIFS('6.3 Asset_Health'!AH$11:AH$720,'6.3 Asset_Health'!$G$11:$G$720,$G72,'6.3 Asset_Health'!$M$11:$M$720,$M72)</f>
        <v>0</v>
      </c>
      <c r="AI72" s="813">
        <f>SUMIFS('6.3 Asset_Health'!AI$11:AI$720,'6.3 Asset_Health'!$G$11:$G$720,$G72,'6.3 Asset_Health'!$M$11:$M$720,$M72)</f>
        <v>0</v>
      </c>
    </row>
    <row r="73" spans="4:35" s="435" customFormat="1">
      <c r="D73" s="435" t="s">
        <v>79</v>
      </c>
      <c r="G73" s="435" t="s">
        <v>86</v>
      </c>
      <c r="H73" s="435" t="s">
        <v>2669</v>
      </c>
      <c r="I73" s="435" t="s">
        <v>7</v>
      </c>
      <c r="J73" s="435" t="s">
        <v>299</v>
      </c>
      <c r="M73" s="435" t="s">
        <v>2657</v>
      </c>
      <c r="AC73" s="435" t="s">
        <v>965</v>
      </c>
      <c r="AE73" s="813">
        <f>SUMIFS('6.3 Asset_Health'!AE$11:AE$720,'6.3 Asset_Health'!$G$11:$G$720,$G73,'6.3 Asset_Health'!$M$11:$M$720,$M73)</f>
        <v>0</v>
      </c>
      <c r="AF73" s="813">
        <f>SUMIFS('6.3 Asset_Health'!AF$11:AF$720,'6.3 Asset_Health'!$G$11:$G$720,$G73,'6.3 Asset_Health'!$M$11:$M$720,$M73)</f>
        <v>0</v>
      </c>
      <c r="AG73" s="813">
        <f>SUMIFS('6.3 Asset_Health'!AG$11:AG$720,'6.3 Asset_Health'!$G$11:$G$720,$G73,'6.3 Asset_Health'!$M$11:$M$720,$M73)</f>
        <v>0</v>
      </c>
      <c r="AH73" s="813">
        <f>SUMIFS('6.3 Asset_Health'!AH$11:AH$720,'6.3 Asset_Health'!$G$11:$G$720,$G73,'6.3 Asset_Health'!$M$11:$M$720,$M73)</f>
        <v>0</v>
      </c>
      <c r="AI73" s="813">
        <f>SUMIFS('6.3 Asset_Health'!AI$11:AI$720,'6.3 Asset_Health'!$G$11:$G$720,$G73,'6.3 Asset_Health'!$M$11:$M$720,$M73)</f>
        <v>0</v>
      </c>
    </row>
    <row r="74" spans="4:35" s="435" customFormat="1">
      <c r="D74" s="435" t="s">
        <v>79</v>
      </c>
      <c r="G74" s="435" t="s">
        <v>86</v>
      </c>
      <c r="H74" s="435" t="s">
        <v>2669</v>
      </c>
      <c r="I74" s="435" t="s">
        <v>7</v>
      </c>
      <c r="J74" s="435" t="s">
        <v>299</v>
      </c>
      <c r="M74" s="435" t="s">
        <v>838</v>
      </c>
      <c r="AC74" s="435" t="s">
        <v>965</v>
      </c>
      <c r="AE74" s="813">
        <f>SUMIFS('6.3 Asset_Health'!AE$11:AE$720,'6.3 Asset_Health'!$G$11:$G$720,$G74,'6.3 Asset_Health'!$M$11:$M$720,$M74)</f>
        <v>0</v>
      </c>
      <c r="AF74" s="813">
        <f>SUMIFS('6.3 Asset_Health'!AF$11:AF$720,'6.3 Asset_Health'!$G$11:$G$720,$G74,'6.3 Asset_Health'!$M$11:$M$720,$M74)</f>
        <v>0</v>
      </c>
      <c r="AG74" s="813">
        <f>SUMIFS('6.3 Asset_Health'!AG$11:AG$720,'6.3 Asset_Health'!$G$11:$G$720,$G74,'6.3 Asset_Health'!$M$11:$M$720,$M74)</f>
        <v>0</v>
      </c>
      <c r="AH74" s="813">
        <f>SUMIFS('6.3 Asset_Health'!AH$11:AH$720,'6.3 Asset_Health'!$G$11:$G$720,$G74,'6.3 Asset_Health'!$M$11:$M$720,$M74)</f>
        <v>0</v>
      </c>
      <c r="AI74" s="813">
        <f>SUMIFS('6.3 Asset_Health'!AI$11:AI$720,'6.3 Asset_Health'!$G$11:$G$720,$G74,'6.3 Asset_Health'!$M$11:$M$720,$M74)</f>
        <v>0</v>
      </c>
    </row>
    <row r="75" spans="4:35" s="435" customFormat="1">
      <c r="D75" s="435" t="s">
        <v>79</v>
      </c>
      <c r="G75" s="435" t="s">
        <v>86</v>
      </c>
      <c r="H75" s="435" t="s">
        <v>2669</v>
      </c>
      <c r="I75" s="435" t="s">
        <v>7</v>
      </c>
      <c r="J75" s="435" t="s">
        <v>299</v>
      </c>
      <c r="M75" s="435" t="s">
        <v>842</v>
      </c>
      <c r="AC75" s="435" t="s">
        <v>965</v>
      </c>
      <c r="AE75" s="813">
        <f>SUMIFS('6.3 Asset_Health'!AE$11:AE$720,'6.3 Asset_Health'!$G$11:$G$720,$G75,'6.3 Asset_Health'!$M$11:$M$720,$M75)</f>
        <v>0</v>
      </c>
      <c r="AF75" s="813">
        <f>SUMIFS('6.3 Asset_Health'!AF$11:AF$720,'6.3 Asset_Health'!$G$11:$G$720,$G75,'6.3 Asset_Health'!$M$11:$M$720,$M75)</f>
        <v>0</v>
      </c>
      <c r="AG75" s="813">
        <f>SUMIFS('6.3 Asset_Health'!AG$11:AG$720,'6.3 Asset_Health'!$G$11:$G$720,$G75,'6.3 Asset_Health'!$M$11:$M$720,$M75)</f>
        <v>0</v>
      </c>
      <c r="AH75" s="813">
        <f>SUMIFS('6.3 Asset_Health'!AH$11:AH$720,'6.3 Asset_Health'!$G$11:$G$720,$G75,'6.3 Asset_Health'!$M$11:$M$720,$M75)</f>
        <v>0</v>
      </c>
      <c r="AI75" s="813">
        <f>SUMIFS('6.3 Asset_Health'!AI$11:AI$720,'6.3 Asset_Health'!$G$11:$G$720,$G75,'6.3 Asset_Health'!$M$11:$M$720,$M75)</f>
        <v>0</v>
      </c>
    </row>
    <row r="76" spans="4:35" s="435" customFormat="1">
      <c r="D76" s="435" t="s">
        <v>79</v>
      </c>
      <c r="G76" s="435" t="s">
        <v>86</v>
      </c>
      <c r="H76" s="435" t="s">
        <v>2669</v>
      </c>
      <c r="I76" s="435" t="s">
        <v>7</v>
      </c>
      <c r="J76" s="435" t="s">
        <v>299</v>
      </c>
      <c r="M76" s="435" t="s">
        <v>843</v>
      </c>
      <c r="AC76" s="435" t="s">
        <v>965</v>
      </c>
      <c r="AE76" s="813">
        <f>SUMIFS('6.3 Asset_Health'!AE$11:AE$720,'6.3 Asset_Health'!$G$11:$G$720,$G76,'6.3 Asset_Health'!$M$11:$M$720,$M76)</f>
        <v>0</v>
      </c>
      <c r="AF76" s="813">
        <f>SUMIFS('6.3 Asset_Health'!AF$11:AF$720,'6.3 Asset_Health'!$G$11:$G$720,$G76,'6.3 Asset_Health'!$M$11:$M$720,$M76)</f>
        <v>0</v>
      </c>
      <c r="AG76" s="813">
        <f>SUMIFS('6.3 Asset_Health'!AG$11:AG$720,'6.3 Asset_Health'!$G$11:$G$720,$G76,'6.3 Asset_Health'!$M$11:$M$720,$M76)</f>
        <v>0</v>
      </c>
      <c r="AH76" s="813">
        <f>SUMIFS('6.3 Asset_Health'!AH$11:AH$720,'6.3 Asset_Health'!$G$11:$G$720,$G76,'6.3 Asset_Health'!$M$11:$M$720,$M76)</f>
        <v>0</v>
      </c>
      <c r="AI76" s="813">
        <f>SUMIFS('6.3 Asset_Health'!AI$11:AI$720,'6.3 Asset_Health'!$G$11:$G$720,$G76,'6.3 Asset_Health'!$M$11:$M$720,$M76)</f>
        <v>0</v>
      </c>
    </row>
    <row r="77" spans="4:35" s="435" customFormat="1">
      <c r="D77" s="435" t="s">
        <v>79</v>
      </c>
      <c r="G77" s="435" t="s">
        <v>86</v>
      </c>
      <c r="H77" s="435" t="s">
        <v>2669</v>
      </c>
      <c r="I77" s="435" t="s">
        <v>7</v>
      </c>
      <c r="J77" s="435" t="s">
        <v>299</v>
      </c>
      <c r="M77" s="435" t="s">
        <v>852</v>
      </c>
      <c r="AC77" s="435" t="s">
        <v>965</v>
      </c>
      <c r="AE77" s="813">
        <f>SUMIFS('6.3 Asset_Health'!AE$11:AE$720,'6.3 Asset_Health'!$G$11:$G$720,$G77,'6.3 Asset_Health'!$M$11:$M$720,$M77)</f>
        <v>0</v>
      </c>
      <c r="AF77" s="813">
        <f>SUMIFS('6.3 Asset_Health'!AF$11:AF$720,'6.3 Asset_Health'!$G$11:$G$720,$G77,'6.3 Asset_Health'!$M$11:$M$720,$M77)</f>
        <v>0</v>
      </c>
      <c r="AG77" s="813">
        <f>SUMIFS('6.3 Asset_Health'!AG$11:AG$720,'6.3 Asset_Health'!$G$11:$G$720,$G77,'6.3 Asset_Health'!$M$11:$M$720,$M77)</f>
        <v>0</v>
      </c>
      <c r="AH77" s="813">
        <f>SUMIFS('6.3 Asset_Health'!AH$11:AH$720,'6.3 Asset_Health'!$G$11:$G$720,$G77,'6.3 Asset_Health'!$M$11:$M$720,$M77)</f>
        <v>0</v>
      </c>
      <c r="AI77" s="813">
        <f>SUMIFS('6.3 Asset_Health'!AI$11:AI$720,'6.3 Asset_Health'!$G$11:$G$720,$G77,'6.3 Asset_Health'!$M$11:$M$720,$M77)</f>
        <v>0</v>
      </c>
    </row>
    <row r="78" spans="4:35" s="435" customFormat="1">
      <c r="D78" s="435" t="s">
        <v>79</v>
      </c>
      <c r="G78" s="435" t="s">
        <v>86</v>
      </c>
      <c r="H78" s="435" t="s">
        <v>2669</v>
      </c>
      <c r="I78" s="435" t="s">
        <v>7</v>
      </c>
      <c r="J78" s="435" t="s">
        <v>299</v>
      </c>
      <c r="M78" s="435" t="s">
        <v>848</v>
      </c>
      <c r="AC78" s="435" t="s">
        <v>965</v>
      </c>
      <c r="AE78" s="813">
        <f>SUMIFS('6.3 Asset_Health'!AE$11:AE$720,'6.3 Asset_Health'!$G$11:$G$720,$G78,'6.3 Asset_Health'!$M$11:$M$720,$M78)</f>
        <v>0</v>
      </c>
      <c r="AF78" s="813">
        <f>SUMIFS('6.3 Asset_Health'!AF$11:AF$720,'6.3 Asset_Health'!$G$11:$G$720,$G78,'6.3 Asset_Health'!$M$11:$M$720,$M78)</f>
        <v>0</v>
      </c>
      <c r="AG78" s="813">
        <f>SUMIFS('6.3 Asset_Health'!AG$11:AG$720,'6.3 Asset_Health'!$G$11:$G$720,$G78,'6.3 Asset_Health'!$M$11:$M$720,$M78)</f>
        <v>0</v>
      </c>
      <c r="AH78" s="813">
        <f>SUMIFS('6.3 Asset_Health'!AH$11:AH$720,'6.3 Asset_Health'!$G$11:$G$720,$G78,'6.3 Asset_Health'!$M$11:$M$720,$M78)</f>
        <v>0</v>
      </c>
      <c r="AI78" s="813">
        <f>SUMIFS('6.3 Asset_Health'!AI$11:AI$720,'6.3 Asset_Health'!$G$11:$G$720,$G78,'6.3 Asset_Health'!$M$11:$M$720,$M78)</f>
        <v>0</v>
      </c>
    </row>
    <row r="79" spans="4:35" s="435" customFormat="1">
      <c r="D79" s="435" t="s">
        <v>79</v>
      </c>
      <c r="G79" s="435" t="s">
        <v>86</v>
      </c>
      <c r="H79" s="435" t="s">
        <v>2669</v>
      </c>
      <c r="I79" s="435" t="s">
        <v>7</v>
      </c>
      <c r="J79" s="435" t="s">
        <v>299</v>
      </c>
      <c r="M79" s="435" t="s">
        <v>849</v>
      </c>
      <c r="AC79" s="435" t="s">
        <v>965</v>
      </c>
      <c r="AE79" s="813">
        <f>SUMIFS('6.3 Asset_Health'!AE$11:AE$720,'6.3 Asset_Health'!$G$11:$G$720,$G79,'6.3 Asset_Health'!$M$11:$M$720,$M79)</f>
        <v>0</v>
      </c>
      <c r="AF79" s="813">
        <f>SUMIFS('6.3 Asset_Health'!AF$11:AF$720,'6.3 Asset_Health'!$G$11:$G$720,$G79,'6.3 Asset_Health'!$M$11:$M$720,$M79)</f>
        <v>0</v>
      </c>
      <c r="AG79" s="813">
        <f>SUMIFS('6.3 Asset_Health'!AG$11:AG$720,'6.3 Asset_Health'!$G$11:$G$720,$G79,'6.3 Asset_Health'!$M$11:$M$720,$M79)</f>
        <v>0</v>
      </c>
      <c r="AH79" s="813">
        <f>SUMIFS('6.3 Asset_Health'!AH$11:AH$720,'6.3 Asset_Health'!$G$11:$G$720,$G79,'6.3 Asset_Health'!$M$11:$M$720,$M79)</f>
        <v>0</v>
      </c>
      <c r="AI79" s="813">
        <f>SUMIFS('6.3 Asset_Health'!AI$11:AI$720,'6.3 Asset_Health'!$G$11:$G$720,$G79,'6.3 Asset_Health'!$M$11:$M$720,$M79)</f>
        <v>0</v>
      </c>
    </row>
    <row r="80" spans="4:35" s="435" customFormat="1">
      <c r="D80" s="435" t="s">
        <v>79</v>
      </c>
      <c r="G80" s="435" t="s">
        <v>86</v>
      </c>
      <c r="H80" s="435" t="s">
        <v>2669</v>
      </c>
      <c r="I80" s="435" t="s">
        <v>7</v>
      </c>
      <c r="J80" s="435" t="s">
        <v>299</v>
      </c>
      <c r="M80" s="435" t="s">
        <v>857</v>
      </c>
      <c r="AC80" s="435" t="s">
        <v>965</v>
      </c>
      <c r="AE80" s="813">
        <f>SUMIFS('6.3 Asset_Health'!AE$11:AE$720,'6.3 Asset_Health'!$G$11:$G$720,$G80,'6.3 Asset_Health'!$M$11:$M$720,$M80)</f>
        <v>0</v>
      </c>
      <c r="AF80" s="813">
        <f>SUMIFS('6.3 Asset_Health'!AF$11:AF$720,'6.3 Asset_Health'!$G$11:$G$720,$G80,'6.3 Asset_Health'!$M$11:$M$720,$M80)</f>
        <v>0</v>
      </c>
      <c r="AG80" s="813">
        <f>SUMIFS('6.3 Asset_Health'!AG$11:AG$720,'6.3 Asset_Health'!$G$11:$G$720,$G80,'6.3 Asset_Health'!$M$11:$M$720,$M80)</f>
        <v>0</v>
      </c>
      <c r="AH80" s="813">
        <f>SUMIFS('6.3 Asset_Health'!AH$11:AH$720,'6.3 Asset_Health'!$G$11:$G$720,$G80,'6.3 Asset_Health'!$M$11:$M$720,$M80)</f>
        <v>0</v>
      </c>
      <c r="AI80" s="813">
        <f>SUMIFS('6.3 Asset_Health'!AI$11:AI$720,'6.3 Asset_Health'!$G$11:$G$720,$G80,'6.3 Asset_Health'!$M$11:$M$720,$M80)</f>
        <v>0</v>
      </c>
    </row>
    <row r="81" spans="4:35" s="435" customFormat="1">
      <c r="D81" s="435" t="s">
        <v>79</v>
      </c>
      <c r="G81" s="435" t="s">
        <v>86</v>
      </c>
      <c r="H81" s="435" t="s">
        <v>2669</v>
      </c>
      <c r="I81" s="435" t="s">
        <v>7</v>
      </c>
      <c r="J81" s="435" t="s">
        <v>299</v>
      </c>
      <c r="M81" s="435" t="s">
        <v>2658</v>
      </c>
      <c r="AC81" s="435" t="s">
        <v>965</v>
      </c>
      <c r="AE81" s="813">
        <f>SUMIFS('6.3 Asset_Health'!AE$11:AE$720,'6.3 Asset_Health'!$G$11:$G$720,$G81,'6.3 Asset_Health'!$M$11:$M$720,$M81)</f>
        <v>0</v>
      </c>
      <c r="AF81" s="813">
        <f>SUMIFS('6.3 Asset_Health'!AF$11:AF$720,'6.3 Asset_Health'!$G$11:$G$720,$G81,'6.3 Asset_Health'!$M$11:$M$720,$M81)</f>
        <v>0</v>
      </c>
      <c r="AG81" s="813">
        <f>SUMIFS('6.3 Asset_Health'!AG$11:AG$720,'6.3 Asset_Health'!$G$11:$G$720,$G81,'6.3 Asset_Health'!$M$11:$M$720,$M81)</f>
        <v>0</v>
      </c>
      <c r="AH81" s="813">
        <f>SUMIFS('6.3 Asset_Health'!AH$11:AH$720,'6.3 Asset_Health'!$G$11:$G$720,$G81,'6.3 Asset_Health'!$M$11:$M$720,$M81)</f>
        <v>0</v>
      </c>
      <c r="AI81" s="813">
        <f>SUMIFS('6.3 Asset_Health'!AI$11:AI$720,'6.3 Asset_Health'!$G$11:$G$720,$G81,'6.3 Asset_Health'!$M$11:$M$720,$M81)</f>
        <v>0</v>
      </c>
    </row>
    <row r="82" spans="4:35" s="435" customFormat="1">
      <c r="D82" s="435" t="s">
        <v>79</v>
      </c>
      <c r="G82" s="435" t="s">
        <v>86</v>
      </c>
      <c r="H82" s="435" t="s">
        <v>2669</v>
      </c>
      <c r="I82" s="435" t="s">
        <v>7</v>
      </c>
      <c r="J82" s="435" t="s">
        <v>299</v>
      </c>
      <c r="M82" s="435" t="s">
        <v>836</v>
      </c>
      <c r="AC82" s="435" t="s">
        <v>965</v>
      </c>
      <c r="AE82" s="813">
        <f>SUMIFS('6.3 Asset_Health'!AE$11:AE$720,'6.3 Asset_Health'!$G$11:$G$720,$G82,'6.3 Asset_Health'!$M$11:$M$720,$M82)</f>
        <v>0</v>
      </c>
      <c r="AF82" s="813">
        <f>SUMIFS('6.3 Asset_Health'!AF$11:AF$720,'6.3 Asset_Health'!$G$11:$G$720,$G82,'6.3 Asset_Health'!$M$11:$M$720,$M82)</f>
        <v>0</v>
      </c>
      <c r="AG82" s="813">
        <f>SUMIFS('6.3 Asset_Health'!AG$11:AG$720,'6.3 Asset_Health'!$G$11:$G$720,$G82,'6.3 Asset_Health'!$M$11:$M$720,$M82)</f>
        <v>0</v>
      </c>
      <c r="AH82" s="813">
        <f>SUMIFS('6.3 Asset_Health'!AH$11:AH$720,'6.3 Asset_Health'!$G$11:$G$720,$G82,'6.3 Asset_Health'!$M$11:$M$720,$M82)</f>
        <v>0</v>
      </c>
      <c r="AI82" s="813">
        <f>SUMIFS('6.3 Asset_Health'!AI$11:AI$720,'6.3 Asset_Health'!$G$11:$G$720,$G82,'6.3 Asset_Health'!$M$11:$M$720,$M82)</f>
        <v>0</v>
      </c>
    </row>
    <row r="83" spans="4:35" s="435" customFormat="1">
      <c r="D83" s="435" t="s">
        <v>79</v>
      </c>
      <c r="G83" s="435" t="s">
        <v>86</v>
      </c>
      <c r="H83" s="435" t="s">
        <v>2669</v>
      </c>
      <c r="I83" s="435" t="s">
        <v>7</v>
      </c>
      <c r="J83" s="435" t="s">
        <v>299</v>
      </c>
      <c r="M83" s="435" t="s">
        <v>859</v>
      </c>
      <c r="AC83" s="435" t="s">
        <v>965</v>
      </c>
      <c r="AE83" s="813">
        <f>SUMIFS('6.3 Asset_Health'!AE$11:AE$720,'6.3 Asset_Health'!$G$11:$G$720,$G83,'6.3 Asset_Health'!$M$11:$M$720,$M83)</f>
        <v>0</v>
      </c>
      <c r="AF83" s="813">
        <f>SUMIFS('6.3 Asset_Health'!AF$11:AF$720,'6.3 Asset_Health'!$G$11:$G$720,$G83,'6.3 Asset_Health'!$M$11:$M$720,$M83)</f>
        <v>0</v>
      </c>
      <c r="AG83" s="813">
        <f>SUMIFS('6.3 Asset_Health'!AG$11:AG$720,'6.3 Asset_Health'!$G$11:$G$720,$G83,'6.3 Asset_Health'!$M$11:$M$720,$M83)</f>
        <v>0</v>
      </c>
      <c r="AH83" s="813">
        <f>SUMIFS('6.3 Asset_Health'!AH$11:AH$720,'6.3 Asset_Health'!$G$11:$G$720,$G83,'6.3 Asset_Health'!$M$11:$M$720,$M83)</f>
        <v>0</v>
      </c>
      <c r="AI83" s="813">
        <f>SUMIFS('6.3 Asset_Health'!AI$11:AI$720,'6.3 Asset_Health'!$G$11:$G$720,$G83,'6.3 Asset_Health'!$M$11:$M$720,$M83)</f>
        <v>0</v>
      </c>
    </row>
    <row r="84" spans="4:35" s="435" customFormat="1">
      <c r="D84" s="435" t="s">
        <v>79</v>
      </c>
      <c r="G84" s="435" t="s">
        <v>86</v>
      </c>
      <c r="H84" s="435" t="s">
        <v>2669</v>
      </c>
      <c r="I84" s="435" t="s">
        <v>7</v>
      </c>
      <c r="J84" s="435" t="s">
        <v>299</v>
      </c>
      <c r="M84" s="435" t="s">
        <v>2659</v>
      </c>
      <c r="AC84" s="435" t="s">
        <v>965</v>
      </c>
      <c r="AE84" s="813">
        <f>SUMIFS('6.3 Asset_Health'!AE$11:AE$720,'6.3 Asset_Health'!$G$11:$G$720,$G84,'6.3 Asset_Health'!$M$11:$M$720,$M84)</f>
        <v>0</v>
      </c>
      <c r="AF84" s="813">
        <f>SUMIFS('6.3 Asset_Health'!AF$11:AF$720,'6.3 Asset_Health'!$G$11:$G$720,$G84,'6.3 Asset_Health'!$M$11:$M$720,$M84)</f>
        <v>0</v>
      </c>
      <c r="AG84" s="813">
        <f>SUMIFS('6.3 Asset_Health'!AG$11:AG$720,'6.3 Asset_Health'!$G$11:$G$720,$G84,'6.3 Asset_Health'!$M$11:$M$720,$M84)</f>
        <v>0</v>
      </c>
      <c r="AH84" s="813">
        <f>SUMIFS('6.3 Asset_Health'!AH$11:AH$720,'6.3 Asset_Health'!$G$11:$G$720,$G84,'6.3 Asset_Health'!$M$11:$M$720,$M84)</f>
        <v>0</v>
      </c>
      <c r="AI84" s="813">
        <f>SUMIFS('6.3 Asset_Health'!AI$11:AI$720,'6.3 Asset_Health'!$G$11:$G$720,$G84,'6.3 Asset_Health'!$M$11:$M$720,$M84)</f>
        <v>0</v>
      </c>
    </row>
    <row r="85" spans="4:35" s="435" customFormat="1">
      <c r="D85" s="435" t="s">
        <v>79</v>
      </c>
      <c r="G85" s="435" t="s">
        <v>86</v>
      </c>
      <c r="H85" s="435" t="s">
        <v>2669</v>
      </c>
      <c r="I85" s="435" t="s">
        <v>7</v>
      </c>
      <c r="J85" s="435" t="s">
        <v>299</v>
      </c>
      <c r="M85" s="435" t="s">
        <v>844</v>
      </c>
      <c r="AC85" s="435" t="s">
        <v>965</v>
      </c>
      <c r="AE85" s="813">
        <f>SUMIFS('6.3 Asset_Health'!AE$11:AE$720,'6.3 Asset_Health'!$G$11:$G$720,$G85,'6.3 Asset_Health'!$M$11:$M$720,$M85)</f>
        <v>0</v>
      </c>
      <c r="AF85" s="813">
        <f>SUMIFS('6.3 Asset_Health'!AF$11:AF$720,'6.3 Asset_Health'!$G$11:$G$720,$G85,'6.3 Asset_Health'!$M$11:$M$720,$M85)</f>
        <v>0</v>
      </c>
      <c r="AG85" s="813">
        <f>SUMIFS('6.3 Asset_Health'!AG$11:AG$720,'6.3 Asset_Health'!$G$11:$G$720,$G85,'6.3 Asset_Health'!$M$11:$M$720,$M85)</f>
        <v>0</v>
      </c>
      <c r="AH85" s="813">
        <f>SUMIFS('6.3 Asset_Health'!AH$11:AH$720,'6.3 Asset_Health'!$G$11:$G$720,$G85,'6.3 Asset_Health'!$M$11:$M$720,$M85)</f>
        <v>0</v>
      </c>
      <c r="AI85" s="813">
        <f>SUMIFS('6.3 Asset_Health'!AI$11:AI$720,'6.3 Asset_Health'!$G$11:$G$720,$G85,'6.3 Asset_Health'!$M$11:$M$720,$M85)</f>
        <v>0</v>
      </c>
    </row>
    <row r="86" spans="4:35" s="435" customFormat="1">
      <c r="D86" s="435" t="s">
        <v>79</v>
      </c>
      <c r="G86" s="435" t="s">
        <v>86</v>
      </c>
      <c r="H86" s="435" t="s">
        <v>2669</v>
      </c>
      <c r="I86" s="435" t="s">
        <v>7</v>
      </c>
      <c r="J86" s="435" t="s">
        <v>299</v>
      </c>
      <c r="M86" s="435" t="s">
        <v>850</v>
      </c>
      <c r="AC86" s="435" t="s">
        <v>965</v>
      </c>
      <c r="AE86" s="813">
        <f>SUMIFS('6.3 Asset_Health'!AE$11:AE$720,'6.3 Asset_Health'!$G$11:$G$720,$G86,'6.3 Asset_Health'!$M$11:$M$720,$M86)</f>
        <v>0</v>
      </c>
      <c r="AF86" s="813">
        <f>SUMIFS('6.3 Asset_Health'!AF$11:AF$720,'6.3 Asset_Health'!$G$11:$G$720,$G86,'6.3 Asset_Health'!$M$11:$M$720,$M86)</f>
        <v>0</v>
      </c>
      <c r="AG86" s="813">
        <f>SUMIFS('6.3 Asset_Health'!AG$11:AG$720,'6.3 Asset_Health'!$G$11:$G$720,$G86,'6.3 Asset_Health'!$M$11:$M$720,$M86)</f>
        <v>0</v>
      </c>
      <c r="AH86" s="813">
        <f>SUMIFS('6.3 Asset_Health'!AH$11:AH$720,'6.3 Asset_Health'!$G$11:$G$720,$G86,'6.3 Asset_Health'!$M$11:$M$720,$M86)</f>
        <v>0</v>
      </c>
      <c r="AI86" s="813">
        <f>SUMIFS('6.3 Asset_Health'!AI$11:AI$720,'6.3 Asset_Health'!$G$11:$G$720,$G86,'6.3 Asset_Health'!$M$11:$M$720,$M86)</f>
        <v>0</v>
      </c>
    </row>
    <row r="87" spans="4:35" s="435" customFormat="1">
      <c r="D87" s="435" t="s">
        <v>79</v>
      </c>
      <c r="G87" s="435" t="s">
        <v>86</v>
      </c>
      <c r="H87" s="435" t="s">
        <v>2669</v>
      </c>
      <c r="I87" s="435" t="s">
        <v>7</v>
      </c>
      <c r="J87" s="435" t="s">
        <v>299</v>
      </c>
      <c r="M87" s="435" t="s">
        <v>854</v>
      </c>
      <c r="AC87" s="435" t="s">
        <v>965</v>
      </c>
      <c r="AE87" s="813">
        <f>SUMIFS('6.3 Asset_Health'!AE$11:AE$720,'6.3 Asset_Health'!$G$11:$G$720,$G87,'6.3 Asset_Health'!$M$11:$M$720,$M87)</f>
        <v>0</v>
      </c>
      <c r="AF87" s="813">
        <f>SUMIFS('6.3 Asset_Health'!AF$11:AF$720,'6.3 Asset_Health'!$G$11:$G$720,$G87,'6.3 Asset_Health'!$M$11:$M$720,$M87)</f>
        <v>0</v>
      </c>
      <c r="AG87" s="813">
        <f>SUMIFS('6.3 Asset_Health'!AG$11:AG$720,'6.3 Asset_Health'!$G$11:$G$720,$G87,'6.3 Asset_Health'!$M$11:$M$720,$M87)</f>
        <v>0</v>
      </c>
      <c r="AH87" s="813">
        <f>SUMIFS('6.3 Asset_Health'!AH$11:AH$720,'6.3 Asset_Health'!$G$11:$G$720,$G87,'6.3 Asset_Health'!$M$11:$M$720,$M87)</f>
        <v>0</v>
      </c>
      <c r="AI87" s="813">
        <f>SUMIFS('6.3 Asset_Health'!AI$11:AI$720,'6.3 Asset_Health'!$G$11:$G$720,$G87,'6.3 Asset_Health'!$M$11:$M$720,$M87)</f>
        <v>0</v>
      </c>
    </row>
    <row r="88" spans="4:35" s="435" customFormat="1">
      <c r="D88" s="435" t="s">
        <v>79</v>
      </c>
      <c r="G88" s="435" t="s">
        <v>86</v>
      </c>
      <c r="H88" s="435" t="s">
        <v>2669</v>
      </c>
      <c r="I88" s="435" t="s">
        <v>7</v>
      </c>
      <c r="J88" s="435" t="s">
        <v>299</v>
      </c>
      <c r="M88" s="435" t="s">
        <v>2660</v>
      </c>
      <c r="AC88" s="435" t="s">
        <v>965</v>
      </c>
      <c r="AE88" s="813">
        <f>SUMIFS('6.3 Asset_Health'!AE$11:AE$720,'6.3 Asset_Health'!$G$11:$G$720,$G88,'6.3 Asset_Health'!$M$11:$M$720,$M88)</f>
        <v>0</v>
      </c>
      <c r="AF88" s="813">
        <f>SUMIFS('6.3 Asset_Health'!AF$11:AF$720,'6.3 Asset_Health'!$G$11:$G$720,$G88,'6.3 Asset_Health'!$M$11:$M$720,$M88)</f>
        <v>0</v>
      </c>
      <c r="AG88" s="813">
        <f>SUMIFS('6.3 Asset_Health'!AG$11:AG$720,'6.3 Asset_Health'!$G$11:$G$720,$G88,'6.3 Asset_Health'!$M$11:$M$720,$M88)</f>
        <v>0</v>
      </c>
      <c r="AH88" s="813">
        <f>SUMIFS('6.3 Asset_Health'!AH$11:AH$720,'6.3 Asset_Health'!$G$11:$G$720,$G88,'6.3 Asset_Health'!$M$11:$M$720,$M88)</f>
        <v>0</v>
      </c>
      <c r="AI88" s="813">
        <f>SUMIFS('6.3 Asset_Health'!AI$11:AI$720,'6.3 Asset_Health'!$G$11:$G$720,$G88,'6.3 Asset_Health'!$M$11:$M$720,$M88)</f>
        <v>0</v>
      </c>
    </row>
    <row r="89" spans="4:35" s="435" customFormat="1">
      <c r="D89" s="435" t="s">
        <v>79</v>
      </c>
      <c r="G89" s="435" t="s">
        <v>86</v>
      </c>
      <c r="H89" s="435" t="s">
        <v>2669</v>
      </c>
      <c r="I89" s="435" t="s">
        <v>7</v>
      </c>
      <c r="J89" s="435" t="s">
        <v>299</v>
      </c>
      <c r="M89" s="435" t="s">
        <v>2661</v>
      </c>
      <c r="AC89" s="435" t="s">
        <v>965</v>
      </c>
      <c r="AE89" s="813">
        <f>SUMIFS('6.3 Asset_Health'!AE$11:AE$720,'6.3 Asset_Health'!$G$11:$G$720,$G89,'6.3 Asset_Health'!$M$11:$M$720,$M89)</f>
        <v>0</v>
      </c>
      <c r="AF89" s="813">
        <f>SUMIFS('6.3 Asset_Health'!AF$11:AF$720,'6.3 Asset_Health'!$G$11:$G$720,$G89,'6.3 Asset_Health'!$M$11:$M$720,$M89)</f>
        <v>0</v>
      </c>
      <c r="AG89" s="813">
        <f>SUMIFS('6.3 Asset_Health'!AG$11:AG$720,'6.3 Asset_Health'!$G$11:$G$720,$G89,'6.3 Asset_Health'!$M$11:$M$720,$M89)</f>
        <v>0</v>
      </c>
      <c r="AH89" s="813">
        <f>SUMIFS('6.3 Asset_Health'!AH$11:AH$720,'6.3 Asset_Health'!$G$11:$G$720,$G89,'6.3 Asset_Health'!$M$11:$M$720,$M89)</f>
        <v>0</v>
      </c>
      <c r="AI89" s="813">
        <f>SUMIFS('6.3 Asset_Health'!AI$11:AI$720,'6.3 Asset_Health'!$G$11:$G$720,$G89,'6.3 Asset_Health'!$M$11:$M$720,$M89)</f>
        <v>0</v>
      </c>
    </row>
    <row r="90" spans="4:35" s="435" customFormat="1">
      <c r="D90" s="435" t="s">
        <v>79</v>
      </c>
      <c r="G90" s="435" t="s">
        <v>86</v>
      </c>
      <c r="H90" s="435" t="s">
        <v>2669</v>
      </c>
      <c r="I90" s="435" t="s">
        <v>7</v>
      </c>
      <c r="J90" s="435" t="s">
        <v>299</v>
      </c>
      <c r="M90" s="435" t="s">
        <v>2662</v>
      </c>
      <c r="AC90" s="435" t="s">
        <v>965</v>
      </c>
      <c r="AE90" s="813">
        <f>SUMIFS('6.3 Asset_Health'!AE$11:AE$720,'6.3 Asset_Health'!$G$11:$G$720,$G90,'6.3 Asset_Health'!$M$11:$M$720,$M90)</f>
        <v>0</v>
      </c>
      <c r="AF90" s="813">
        <f>SUMIFS('6.3 Asset_Health'!AF$11:AF$720,'6.3 Asset_Health'!$G$11:$G$720,$G90,'6.3 Asset_Health'!$M$11:$M$720,$M90)</f>
        <v>0</v>
      </c>
      <c r="AG90" s="813">
        <f>SUMIFS('6.3 Asset_Health'!AG$11:AG$720,'6.3 Asset_Health'!$G$11:$G$720,$G90,'6.3 Asset_Health'!$M$11:$M$720,$M90)</f>
        <v>0</v>
      </c>
      <c r="AH90" s="813">
        <f>SUMIFS('6.3 Asset_Health'!AH$11:AH$720,'6.3 Asset_Health'!$G$11:$G$720,$G90,'6.3 Asset_Health'!$M$11:$M$720,$M90)</f>
        <v>0</v>
      </c>
      <c r="AI90" s="813">
        <f>SUMIFS('6.3 Asset_Health'!AI$11:AI$720,'6.3 Asset_Health'!$G$11:$G$720,$G90,'6.3 Asset_Health'!$M$11:$M$720,$M90)</f>
        <v>0</v>
      </c>
    </row>
    <row r="91" spans="4:35" s="435" customFormat="1">
      <c r="D91" s="435" t="s">
        <v>79</v>
      </c>
      <c r="G91" s="435" t="s">
        <v>86</v>
      </c>
      <c r="H91" s="435" t="s">
        <v>2669</v>
      </c>
      <c r="I91" s="435" t="s">
        <v>7</v>
      </c>
      <c r="J91" s="435" t="s">
        <v>299</v>
      </c>
      <c r="M91" s="435" t="s">
        <v>2663</v>
      </c>
      <c r="AC91" s="435" t="s">
        <v>965</v>
      </c>
      <c r="AE91" s="813">
        <f>SUMIFS('6.3 Asset_Health'!AE$11:AE$720,'6.3 Asset_Health'!$G$11:$G$720,$G91,'6.3 Asset_Health'!$M$11:$M$720,$M91)</f>
        <v>0</v>
      </c>
      <c r="AF91" s="813">
        <f>SUMIFS('6.3 Asset_Health'!AF$11:AF$720,'6.3 Asset_Health'!$G$11:$G$720,$G91,'6.3 Asset_Health'!$M$11:$M$720,$M91)</f>
        <v>0</v>
      </c>
      <c r="AG91" s="813">
        <f>SUMIFS('6.3 Asset_Health'!AG$11:AG$720,'6.3 Asset_Health'!$G$11:$G$720,$G91,'6.3 Asset_Health'!$M$11:$M$720,$M91)</f>
        <v>0</v>
      </c>
      <c r="AH91" s="813">
        <f>SUMIFS('6.3 Asset_Health'!AH$11:AH$720,'6.3 Asset_Health'!$G$11:$G$720,$G91,'6.3 Asset_Health'!$M$11:$M$720,$M91)</f>
        <v>0</v>
      </c>
      <c r="AI91" s="813">
        <f>SUMIFS('6.3 Asset_Health'!AI$11:AI$720,'6.3 Asset_Health'!$G$11:$G$720,$G91,'6.3 Asset_Health'!$M$11:$M$720,$M91)</f>
        <v>0</v>
      </c>
    </row>
    <row r="92" spans="4:35" s="435" customFormat="1">
      <c r="D92" s="435" t="s">
        <v>79</v>
      </c>
      <c r="G92" s="435" t="s">
        <v>86</v>
      </c>
      <c r="H92" s="435" t="s">
        <v>2669</v>
      </c>
      <c r="I92" s="435" t="s">
        <v>7</v>
      </c>
      <c r="J92" s="435" t="s">
        <v>299</v>
      </c>
      <c r="M92" s="435" t="s">
        <v>2664</v>
      </c>
      <c r="AC92" s="435" t="s">
        <v>965</v>
      </c>
      <c r="AE92" s="813">
        <f>SUMIFS('6.3 Asset_Health'!AE$11:AE$720,'6.3 Asset_Health'!$G$11:$G$720,$G92,'6.3 Asset_Health'!$M$11:$M$720,$M92)</f>
        <v>0</v>
      </c>
      <c r="AF92" s="813">
        <f>SUMIFS('6.3 Asset_Health'!AF$11:AF$720,'6.3 Asset_Health'!$G$11:$G$720,$G92,'6.3 Asset_Health'!$M$11:$M$720,$M92)</f>
        <v>0</v>
      </c>
      <c r="AG92" s="813">
        <f>SUMIFS('6.3 Asset_Health'!AG$11:AG$720,'6.3 Asset_Health'!$G$11:$G$720,$G92,'6.3 Asset_Health'!$M$11:$M$720,$M92)</f>
        <v>0</v>
      </c>
      <c r="AH92" s="813">
        <f>SUMIFS('6.3 Asset_Health'!AH$11:AH$720,'6.3 Asset_Health'!$G$11:$G$720,$G92,'6.3 Asset_Health'!$M$11:$M$720,$M92)</f>
        <v>0</v>
      </c>
      <c r="AI92" s="813">
        <f>SUMIFS('6.3 Asset_Health'!AI$11:AI$720,'6.3 Asset_Health'!$G$11:$G$720,$G92,'6.3 Asset_Health'!$M$11:$M$720,$M92)</f>
        <v>0</v>
      </c>
    </row>
    <row r="93" spans="4:35" s="435" customFormat="1">
      <c r="D93" s="435" t="s">
        <v>79</v>
      </c>
      <c r="G93" s="435" t="s">
        <v>86</v>
      </c>
      <c r="H93" s="435" t="s">
        <v>2669</v>
      </c>
      <c r="I93" s="435" t="s">
        <v>7</v>
      </c>
      <c r="J93" s="435" t="s">
        <v>299</v>
      </c>
      <c r="M93" s="435" t="s">
        <v>851</v>
      </c>
      <c r="AC93" s="435" t="s">
        <v>965</v>
      </c>
      <c r="AE93" s="813">
        <f>SUMIFS('6.3 Asset_Health'!AE$11:AE$720,'6.3 Asset_Health'!$G$11:$G$720,$G93,'6.3 Asset_Health'!$M$11:$M$720,$M93)</f>
        <v>0</v>
      </c>
      <c r="AF93" s="813">
        <f>SUMIFS('6.3 Asset_Health'!AF$11:AF$720,'6.3 Asset_Health'!$G$11:$G$720,$G93,'6.3 Asset_Health'!$M$11:$M$720,$M93)</f>
        <v>0</v>
      </c>
      <c r="AG93" s="813">
        <f>SUMIFS('6.3 Asset_Health'!AG$11:AG$720,'6.3 Asset_Health'!$G$11:$G$720,$G93,'6.3 Asset_Health'!$M$11:$M$720,$M93)</f>
        <v>0</v>
      </c>
      <c r="AH93" s="813">
        <f>SUMIFS('6.3 Asset_Health'!AH$11:AH$720,'6.3 Asset_Health'!$G$11:$G$720,$G93,'6.3 Asset_Health'!$M$11:$M$720,$M93)</f>
        <v>0</v>
      </c>
      <c r="AI93" s="813">
        <f>SUMIFS('6.3 Asset_Health'!AI$11:AI$720,'6.3 Asset_Health'!$G$11:$G$720,$G93,'6.3 Asset_Health'!$M$11:$M$720,$M93)</f>
        <v>0</v>
      </c>
    </row>
    <row r="94" spans="4:35" s="435" customFormat="1">
      <c r="D94" s="435" t="s">
        <v>79</v>
      </c>
      <c r="G94" s="435" t="s">
        <v>86</v>
      </c>
      <c r="H94" s="435" t="s">
        <v>2669</v>
      </c>
      <c r="I94" s="435" t="s">
        <v>7</v>
      </c>
      <c r="J94" s="435" t="s">
        <v>299</v>
      </c>
      <c r="M94" s="435" t="s">
        <v>856</v>
      </c>
      <c r="AC94" s="435" t="s">
        <v>965</v>
      </c>
      <c r="AE94" s="813">
        <f>SUMIFS('6.3 Asset_Health'!AE$11:AE$720,'6.3 Asset_Health'!$G$11:$G$720,$G94,'6.3 Asset_Health'!$M$11:$M$720,$M94)</f>
        <v>0</v>
      </c>
      <c r="AF94" s="813">
        <f>SUMIFS('6.3 Asset_Health'!AF$11:AF$720,'6.3 Asset_Health'!$G$11:$G$720,$G94,'6.3 Asset_Health'!$M$11:$M$720,$M94)</f>
        <v>0</v>
      </c>
      <c r="AG94" s="813">
        <f>SUMIFS('6.3 Asset_Health'!AG$11:AG$720,'6.3 Asset_Health'!$G$11:$G$720,$G94,'6.3 Asset_Health'!$M$11:$M$720,$M94)</f>
        <v>0</v>
      </c>
      <c r="AH94" s="813">
        <f>SUMIFS('6.3 Asset_Health'!AH$11:AH$720,'6.3 Asset_Health'!$G$11:$G$720,$G94,'6.3 Asset_Health'!$M$11:$M$720,$M94)</f>
        <v>0</v>
      </c>
      <c r="AI94" s="813">
        <f>SUMIFS('6.3 Asset_Health'!AI$11:AI$720,'6.3 Asset_Health'!$G$11:$G$720,$G94,'6.3 Asset_Health'!$M$11:$M$720,$M94)</f>
        <v>0</v>
      </c>
    </row>
    <row r="95" spans="4:35" s="435" customFormat="1">
      <c r="D95" s="435" t="s">
        <v>79</v>
      </c>
      <c r="G95" s="435" t="s">
        <v>86</v>
      </c>
      <c r="H95" s="435" t="s">
        <v>2669</v>
      </c>
      <c r="I95" s="435" t="s">
        <v>7</v>
      </c>
      <c r="J95" s="435" t="s">
        <v>299</v>
      </c>
      <c r="M95" s="435" t="s">
        <v>853</v>
      </c>
      <c r="AC95" s="435" t="s">
        <v>965</v>
      </c>
      <c r="AE95" s="813">
        <f>SUMIFS('6.3 Asset_Health'!AE$11:AE$720,'6.3 Asset_Health'!$G$11:$G$720,$G95,'6.3 Asset_Health'!$M$11:$M$720,$M95)</f>
        <v>0</v>
      </c>
      <c r="AF95" s="813">
        <f>SUMIFS('6.3 Asset_Health'!AF$11:AF$720,'6.3 Asset_Health'!$G$11:$G$720,$G95,'6.3 Asset_Health'!$M$11:$M$720,$M95)</f>
        <v>0</v>
      </c>
      <c r="AG95" s="813">
        <f>SUMIFS('6.3 Asset_Health'!AG$11:AG$720,'6.3 Asset_Health'!$G$11:$G$720,$G95,'6.3 Asset_Health'!$M$11:$M$720,$M95)</f>
        <v>0</v>
      </c>
      <c r="AH95" s="813">
        <f>SUMIFS('6.3 Asset_Health'!AH$11:AH$720,'6.3 Asset_Health'!$G$11:$G$720,$G95,'6.3 Asset_Health'!$M$11:$M$720,$M95)</f>
        <v>0</v>
      </c>
      <c r="AI95" s="813">
        <f>SUMIFS('6.3 Asset_Health'!AI$11:AI$720,'6.3 Asset_Health'!$G$11:$G$720,$G95,'6.3 Asset_Health'!$M$11:$M$720,$M95)</f>
        <v>0</v>
      </c>
    </row>
    <row r="96" spans="4:35" s="435" customFormat="1">
      <c r="D96" s="435" t="s">
        <v>79</v>
      </c>
      <c r="G96" s="435" t="s">
        <v>86</v>
      </c>
      <c r="H96" s="435" t="s">
        <v>2669</v>
      </c>
      <c r="I96" s="435" t="s">
        <v>7</v>
      </c>
      <c r="J96" s="435" t="s">
        <v>299</v>
      </c>
      <c r="M96" s="435" t="s">
        <v>845</v>
      </c>
      <c r="AC96" s="435" t="s">
        <v>965</v>
      </c>
      <c r="AE96" s="813">
        <f>SUMIFS('6.3 Asset_Health'!AE$11:AE$720,'6.3 Asset_Health'!$G$11:$G$720,$G96,'6.3 Asset_Health'!$M$11:$M$720,$M96)</f>
        <v>0</v>
      </c>
      <c r="AF96" s="813">
        <f>SUMIFS('6.3 Asset_Health'!AF$11:AF$720,'6.3 Asset_Health'!$G$11:$G$720,$G96,'6.3 Asset_Health'!$M$11:$M$720,$M96)</f>
        <v>0</v>
      </c>
      <c r="AG96" s="813">
        <f>SUMIFS('6.3 Asset_Health'!AG$11:AG$720,'6.3 Asset_Health'!$G$11:$G$720,$G96,'6.3 Asset_Health'!$M$11:$M$720,$M96)</f>
        <v>0</v>
      </c>
      <c r="AH96" s="813">
        <f>SUMIFS('6.3 Asset_Health'!AH$11:AH$720,'6.3 Asset_Health'!$G$11:$G$720,$G96,'6.3 Asset_Health'!$M$11:$M$720,$M96)</f>
        <v>0</v>
      </c>
      <c r="AI96" s="813">
        <f>SUMIFS('6.3 Asset_Health'!AI$11:AI$720,'6.3 Asset_Health'!$G$11:$G$720,$G96,'6.3 Asset_Health'!$M$11:$M$720,$M96)</f>
        <v>0</v>
      </c>
    </row>
    <row r="97" spans="1:35" s="435" customFormat="1">
      <c r="D97" s="435" t="s">
        <v>79</v>
      </c>
      <c r="G97" s="435" t="s">
        <v>86</v>
      </c>
      <c r="H97" s="435" t="s">
        <v>2669</v>
      </c>
      <c r="I97" s="435" t="s">
        <v>7</v>
      </c>
      <c r="J97" s="435" t="s">
        <v>299</v>
      </c>
      <c r="M97" s="435" t="s">
        <v>858</v>
      </c>
      <c r="AC97" s="435" t="s">
        <v>965</v>
      </c>
      <c r="AE97" s="813">
        <f>SUMIFS('6.3 Asset_Health'!AE$11:AE$720,'6.3 Asset_Health'!$G$11:$G$720,$G97,'6.3 Asset_Health'!$M$11:$M$720,$M97)</f>
        <v>0</v>
      </c>
      <c r="AF97" s="813">
        <f>SUMIFS('6.3 Asset_Health'!AF$11:AF$720,'6.3 Asset_Health'!$G$11:$G$720,$G97,'6.3 Asset_Health'!$M$11:$M$720,$M97)</f>
        <v>0</v>
      </c>
      <c r="AG97" s="813">
        <f>SUMIFS('6.3 Asset_Health'!AG$11:AG$720,'6.3 Asset_Health'!$G$11:$G$720,$G97,'6.3 Asset_Health'!$M$11:$M$720,$M97)</f>
        <v>0</v>
      </c>
      <c r="AH97" s="813">
        <f>SUMIFS('6.3 Asset_Health'!AH$11:AH$720,'6.3 Asset_Health'!$G$11:$G$720,$G97,'6.3 Asset_Health'!$M$11:$M$720,$M97)</f>
        <v>0</v>
      </c>
      <c r="AI97" s="813">
        <f>SUMIFS('6.3 Asset_Health'!AI$11:AI$720,'6.3 Asset_Health'!$G$11:$G$720,$G97,'6.3 Asset_Health'!$M$11:$M$720,$M97)</f>
        <v>0</v>
      </c>
    </row>
    <row r="98" spans="1:35" s="435" customFormat="1">
      <c r="D98" s="435" t="s">
        <v>79</v>
      </c>
      <c r="G98" s="435" t="s">
        <v>86</v>
      </c>
      <c r="H98" s="435" t="s">
        <v>2669</v>
      </c>
      <c r="I98" s="435" t="s">
        <v>7</v>
      </c>
      <c r="J98" s="435" t="s">
        <v>299</v>
      </c>
      <c r="M98" s="435" t="s">
        <v>2665</v>
      </c>
      <c r="AC98" s="435" t="s">
        <v>965</v>
      </c>
      <c r="AE98" s="813">
        <f>SUMIFS('6.3 Asset_Health'!AE$11:AE$720,'6.3 Asset_Health'!$G$11:$G$720,$G98,'6.3 Asset_Health'!$M$11:$M$720,$M98)</f>
        <v>0</v>
      </c>
      <c r="AF98" s="813">
        <f>SUMIFS('6.3 Asset_Health'!AF$11:AF$720,'6.3 Asset_Health'!$G$11:$G$720,$G98,'6.3 Asset_Health'!$M$11:$M$720,$M98)</f>
        <v>0</v>
      </c>
      <c r="AG98" s="813">
        <f>SUMIFS('6.3 Asset_Health'!AG$11:AG$720,'6.3 Asset_Health'!$G$11:$G$720,$G98,'6.3 Asset_Health'!$M$11:$M$720,$M98)</f>
        <v>0</v>
      </c>
      <c r="AH98" s="813">
        <f>SUMIFS('6.3 Asset_Health'!AH$11:AH$720,'6.3 Asset_Health'!$G$11:$G$720,$G98,'6.3 Asset_Health'!$M$11:$M$720,$M98)</f>
        <v>0</v>
      </c>
      <c r="AI98" s="813">
        <f>SUMIFS('6.3 Asset_Health'!AI$11:AI$720,'6.3 Asset_Health'!$G$11:$G$720,$G98,'6.3 Asset_Health'!$M$11:$M$720,$M98)</f>
        <v>0</v>
      </c>
    </row>
    <row r="99" spans="1:35" s="435" customFormat="1">
      <c r="D99" s="435" t="s">
        <v>79</v>
      </c>
      <c r="G99" s="435" t="s">
        <v>86</v>
      </c>
      <c r="H99" s="435" t="s">
        <v>2669</v>
      </c>
      <c r="I99" s="435" t="s">
        <v>7</v>
      </c>
      <c r="J99" s="435" t="s">
        <v>299</v>
      </c>
      <c r="M99" s="435" t="s">
        <v>2666</v>
      </c>
      <c r="AC99" s="435" t="s">
        <v>965</v>
      </c>
      <c r="AE99" s="813">
        <f>SUMIFS('6.3 Asset_Health'!AE$11:AE$720,'6.3 Asset_Health'!$G$11:$G$720,$G99,'6.3 Asset_Health'!$M$11:$M$720,$M99)</f>
        <v>0</v>
      </c>
      <c r="AF99" s="813">
        <f>SUMIFS('6.3 Asset_Health'!AF$11:AF$720,'6.3 Asset_Health'!$G$11:$G$720,$G99,'6.3 Asset_Health'!$M$11:$M$720,$M99)</f>
        <v>0</v>
      </c>
      <c r="AG99" s="813">
        <f>SUMIFS('6.3 Asset_Health'!AG$11:AG$720,'6.3 Asset_Health'!$G$11:$G$720,$G99,'6.3 Asset_Health'!$M$11:$M$720,$M99)</f>
        <v>0</v>
      </c>
      <c r="AH99" s="813">
        <f>SUMIFS('6.3 Asset_Health'!AH$11:AH$720,'6.3 Asset_Health'!$G$11:$G$720,$G99,'6.3 Asset_Health'!$M$11:$M$720,$M99)</f>
        <v>0</v>
      </c>
      <c r="AI99" s="813">
        <f>SUMIFS('6.3 Asset_Health'!AI$11:AI$720,'6.3 Asset_Health'!$G$11:$G$720,$G99,'6.3 Asset_Health'!$M$11:$M$720,$M99)</f>
        <v>0</v>
      </c>
    </row>
    <row r="100" spans="1:35" s="435" customFormat="1">
      <c r="D100" s="435" t="s">
        <v>79</v>
      </c>
      <c r="G100" s="435" t="s">
        <v>86</v>
      </c>
      <c r="H100" s="435" t="s">
        <v>2669</v>
      </c>
      <c r="I100" s="435" t="s">
        <v>7</v>
      </c>
      <c r="J100" s="435" t="s">
        <v>299</v>
      </c>
      <c r="M100" s="435" t="s">
        <v>2667</v>
      </c>
      <c r="AC100" s="435" t="s">
        <v>965</v>
      </c>
      <c r="AE100" s="813">
        <f>SUMIFS('6.3 Asset_Health'!AE$11:AE$720,'6.3 Asset_Health'!$G$11:$G$720,$G100,'6.3 Asset_Health'!$M$11:$M$720,$M100)</f>
        <v>0</v>
      </c>
      <c r="AF100" s="813">
        <f>SUMIFS('6.3 Asset_Health'!AF$11:AF$720,'6.3 Asset_Health'!$G$11:$G$720,$G100,'6.3 Asset_Health'!$M$11:$M$720,$M100)</f>
        <v>0</v>
      </c>
      <c r="AG100" s="813">
        <f>SUMIFS('6.3 Asset_Health'!AG$11:AG$720,'6.3 Asset_Health'!$G$11:$G$720,$G100,'6.3 Asset_Health'!$M$11:$M$720,$M100)</f>
        <v>0</v>
      </c>
      <c r="AH100" s="813">
        <f>SUMIFS('6.3 Asset_Health'!AH$11:AH$720,'6.3 Asset_Health'!$G$11:$G$720,$G100,'6.3 Asset_Health'!$M$11:$M$720,$M100)</f>
        <v>0</v>
      </c>
      <c r="AI100" s="813">
        <f>SUMIFS('6.3 Asset_Health'!AI$11:AI$720,'6.3 Asset_Health'!$G$11:$G$720,$G100,'6.3 Asset_Health'!$M$11:$M$720,$M100)</f>
        <v>0</v>
      </c>
    </row>
    <row r="101" spans="1:35" s="435" customFormat="1">
      <c r="D101" s="435" t="s">
        <v>79</v>
      </c>
      <c r="G101" s="435" t="s">
        <v>86</v>
      </c>
      <c r="H101" s="435" t="s">
        <v>2669</v>
      </c>
      <c r="I101" s="435" t="s">
        <v>7</v>
      </c>
      <c r="J101" s="435" t="s">
        <v>299</v>
      </c>
      <c r="M101" s="435" t="s">
        <v>840</v>
      </c>
      <c r="AC101" s="435" t="s">
        <v>965</v>
      </c>
      <c r="AE101" s="813">
        <f>SUMIFS('6.3 Asset_Health'!AE$11:AE$720,'6.3 Asset_Health'!$G$11:$G$720,$G101,'6.3 Asset_Health'!$M$11:$M$720,$M101)</f>
        <v>0</v>
      </c>
      <c r="AF101" s="813">
        <f>SUMIFS('6.3 Asset_Health'!AF$11:AF$720,'6.3 Asset_Health'!$G$11:$G$720,$G101,'6.3 Asset_Health'!$M$11:$M$720,$M101)</f>
        <v>0</v>
      </c>
      <c r="AG101" s="813">
        <f>SUMIFS('6.3 Asset_Health'!AG$11:AG$720,'6.3 Asset_Health'!$G$11:$G$720,$G101,'6.3 Asset_Health'!$M$11:$M$720,$M101)</f>
        <v>0</v>
      </c>
      <c r="AH101" s="813">
        <f>SUMIFS('6.3 Asset_Health'!AH$11:AH$720,'6.3 Asset_Health'!$G$11:$G$720,$G101,'6.3 Asset_Health'!$M$11:$M$720,$M101)</f>
        <v>0</v>
      </c>
      <c r="AI101" s="813">
        <f>SUMIFS('6.3 Asset_Health'!AI$11:AI$720,'6.3 Asset_Health'!$G$11:$G$720,$G101,'6.3 Asset_Health'!$M$11:$M$720,$M101)</f>
        <v>0</v>
      </c>
    </row>
    <row r="102" spans="1:35" s="435" customFormat="1">
      <c r="D102" s="435" t="s">
        <v>79</v>
      </c>
      <c r="G102" s="435" t="s">
        <v>86</v>
      </c>
      <c r="H102" s="435" t="s">
        <v>2669</v>
      </c>
      <c r="I102" s="435" t="s">
        <v>7</v>
      </c>
      <c r="J102" s="435" t="s">
        <v>299</v>
      </c>
      <c r="M102" s="435" t="s">
        <v>2668</v>
      </c>
      <c r="AC102" s="435" t="s">
        <v>965</v>
      </c>
      <c r="AE102" s="813">
        <f>SUMIFS('6.3 Asset_Health'!AE$11:AE$720,'6.3 Asset_Health'!$G$11:$G$720,$G102,'6.3 Asset_Health'!$M$11:$M$720,$M102)</f>
        <v>0</v>
      </c>
      <c r="AF102" s="813">
        <f>SUMIFS('6.3 Asset_Health'!AF$11:AF$720,'6.3 Asset_Health'!$G$11:$G$720,$G102,'6.3 Asset_Health'!$M$11:$M$720,$M102)</f>
        <v>0</v>
      </c>
      <c r="AG102" s="813">
        <f>SUMIFS('6.3 Asset_Health'!AG$11:AG$720,'6.3 Asset_Health'!$G$11:$G$720,$G102,'6.3 Asset_Health'!$M$11:$M$720,$M102)</f>
        <v>0</v>
      </c>
      <c r="AH102" s="813">
        <f>SUMIFS('6.3 Asset_Health'!AH$11:AH$720,'6.3 Asset_Health'!$G$11:$G$720,$G102,'6.3 Asset_Health'!$M$11:$M$720,$M102)</f>
        <v>0</v>
      </c>
      <c r="AI102" s="813">
        <f>SUMIFS('6.3 Asset_Health'!AI$11:AI$720,'6.3 Asset_Health'!$G$11:$G$720,$G102,'6.3 Asset_Health'!$M$11:$M$720,$M102)</f>
        <v>0</v>
      </c>
    </row>
    <row r="103" spans="1:35" s="435" customFormat="1">
      <c r="D103" s="435" t="s">
        <v>79</v>
      </c>
      <c r="G103" s="435" t="s">
        <v>86</v>
      </c>
      <c r="H103" s="435" t="s">
        <v>2669</v>
      </c>
      <c r="I103" s="435" t="s">
        <v>7</v>
      </c>
      <c r="J103" s="435" t="s">
        <v>299</v>
      </c>
      <c r="M103" s="435" t="s">
        <v>847</v>
      </c>
      <c r="AC103" s="435" t="s">
        <v>965</v>
      </c>
      <c r="AE103" s="813">
        <f>SUMIFS('6.3 Asset_Health'!AE$11:AE$720,'6.3 Asset_Health'!$G$11:$G$720,$G103,'6.3 Asset_Health'!$M$11:$M$720,$M103)</f>
        <v>0</v>
      </c>
      <c r="AF103" s="813">
        <f>SUMIFS('6.3 Asset_Health'!AF$11:AF$720,'6.3 Asset_Health'!$G$11:$G$720,$G103,'6.3 Asset_Health'!$M$11:$M$720,$M103)</f>
        <v>0</v>
      </c>
      <c r="AG103" s="813">
        <f>SUMIFS('6.3 Asset_Health'!AG$11:AG$720,'6.3 Asset_Health'!$G$11:$G$720,$G103,'6.3 Asset_Health'!$M$11:$M$720,$M103)</f>
        <v>0</v>
      </c>
      <c r="AH103" s="813">
        <f>SUMIFS('6.3 Asset_Health'!AH$11:AH$720,'6.3 Asset_Health'!$G$11:$G$720,$G103,'6.3 Asset_Health'!$M$11:$M$720,$M103)</f>
        <v>0</v>
      </c>
      <c r="AI103" s="813">
        <f>SUMIFS('6.3 Asset_Health'!AI$11:AI$720,'6.3 Asset_Health'!$G$11:$G$720,$G103,'6.3 Asset_Health'!$M$11:$M$720,$M103)</f>
        <v>0</v>
      </c>
    </row>
    <row r="104" spans="1:35" s="435" customFormat="1">
      <c r="D104" s="435" t="s">
        <v>79</v>
      </c>
      <c r="G104" s="435" t="s">
        <v>86</v>
      </c>
      <c r="H104" s="435" t="s">
        <v>2669</v>
      </c>
      <c r="I104" s="435" t="s">
        <v>7</v>
      </c>
      <c r="J104" s="435" t="s">
        <v>299</v>
      </c>
      <c r="M104" s="435" t="s">
        <v>846</v>
      </c>
      <c r="AC104" s="435" t="s">
        <v>965</v>
      </c>
      <c r="AE104" s="813">
        <f>SUMIFS('6.3 Asset_Health'!AE$11:AE$720,'6.3 Asset_Health'!$G$11:$G$720,$G104,'6.3 Asset_Health'!$M$11:$M$720,$M104)</f>
        <v>0</v>
      </c>
      <c r="AF104" s="813">
        <f>SUMIFS('6.3 Asset_Health'!AF$11:AF$720,'6.3 Asset_Health'!$G$11:$G$720,$G104,'6.3 Asset_Health'!$M$11:$M$720,$M104)</f>
        <v>0</v>
      </c>
      <c r="AG104" s="813">
        <f>SUMIFS('6.3 Asset_Health'!AG$11:AG$720,'6.3 Asset_Health'!$G$11:$G$720,$G104,'6.3 Asset_Health'!$M$11:$M$720,$M104)</f>
        <v>0</v>
      </c>
      <c r="AH104" s="813">
        <f>SUMIFS('6.3 Asset_Health'!AH$11:AH$720,'6.3 Asset_Health'!$G$11:$G$720,$G104,'6.3 Asset_Health'!$M$11:$M$720,$M104)</f>
        <v>0</v>
      </c>
      <c r="AI104" s="813">
        <f>SUMIFS('6.3 Asset_Health'!AI$11:AI$720,'6.3 Asset_Health'!$G$11:$G$720,$G104,'6.3 Asset_Health'!$M$11:$M$720,$M104)</f>
        <v>0</v>
      </c>
    </row>
    <row r="105" spans="1:35" s="435" customFormat="1">
      <c r="D105" s="435" t="s">
        <v>79</v>
      </c>
      <c r="G105" s="435" t="s">
        <v>86</v>
      </c>
      <c r="H105" s="435" t="s">
        <v>2669</v>
      </c>
      <c r="I105" s="435" t="s">
        <v>7</v>
      </c>
      <c r="J105" s="435" t="s">
        <v>299</v>
      </c>
      <c r="M105" s="435" t="s">
        <v>861</v>
      </c>
      <c r="AC105" s="435" t="s">
        <v>965</v>
      </c>
      <c r="AE105" s="813">
        <f>SUMIFS('6.3 Asset_Health'!AE$11:AE$720,'6.3 Asset_Health'!$G$11:$G$720,$G105,'6.3 Asset_Health'!$M$11:$M$720,$M105)</f>
        <v>0</v>
      </c>
      <c r="AF105" s="813">
        <f>SUMIFS('6.3 Asset_Health'!AF$11:AF$720,'6.3 Asset_Health'!$G$11:$G$720,$G105,'6.3 Asset_Health'!$M$11:$M$720,$M105)</f>
        <v>0</v>
      </c>
      <c r="AG105" s="813">
        <f>SUMIFS('6.3 Asset_Health'!AG$11:AG$720,'6.3 Asset_Health'!$G$11:$G$720,$G105,'6.3 Asset_Health'!$M$11:$M$720,$M105)</f>
        <v>0</v>
      </c>
      <c r="AH105" s="813">
        <f>SUMIFS('6.3 Asset_Health'!AH$11:AH$720,'6.3 Asset_Health'!$G$11:$G$720,$G105,'6.3 Asset_Health'!$M$11:$M$720,$M105)</f>
        <v>0</v>
      </c>
      <c r="AI105" s="813">
        <f>SUMIFS('6.3 Asset_Health'!AI$11:AI$720,'6.3 Asset_Health'!$G$11:$G$720,$G105,'6.3 Asset_Health'!$M$11:$M$720,$M105)</f>
        <v>0</v>
      </c>
    </row>
    <row r="106" spans="1:35" s="435" customFormat="1">
      <c r="D106" s="435" t="s">
        <v>79</v>
      </c>
      <c r="G106" s="435" t="s">
        <v>86</v>
      </c>
      <c r="H106" s="435" t="s">
        <v>2669</v>
      </c>
      <c r="I106" s="435" t="s">
        <v>7</v>
      </c>
      <c r="J106" s="435" t="s">
        <v>299</v>
      </c>
      <c r="M106" s="435" t="s">
        <v>862</v>
      </c>
      <c r="AC106" s="435" t="s">
        <v>965</v>
      </c>
      <c r="AE106" s="813">
        <f>SUMIFS('6.3 Asset_Health'!AE$11:AE$720,'6.3 Asset_Health'!$G$11:$G$720,$G106,'6.3 Asset_Health'!$M$11:$M$720,$M106)</f>
        <v>0</v>
      </c>
      <c r="AF106" s="813">
        <f>SUMIFS('6.3 Asset_Health'!AF$11:AF$720,'6.3 Asset_Health'!$G$11:$G$720,$G106,'6.3 Asset_Health'!$M$11:$M$720,$M106)</f>
        <v>0</v>
      </c>
      <c r="AG106" s="813">
        <f>SUMIFS('6.3 Asset_Health'!AG$11:AG$720,'6.3 Asset_Health'!$G$11:$G$720,$G106,'6.3 Asset_Health'!$M$11:$M$720,$M106)</f>
        <v>0</v>
      </c>
      <c r="AH106" s="813">
        <f>SUMIFS('6.3 Asset_Health'!AH$11:AH$720,'6.3 Asset_Health'!$G$11:$G$720,$G106,'6.3 Asset_Health'!$M$11:$M$720,$M106)</f>
        <v>0</v>
      </c>
      <c r="AI106" s="813">
        <f>SUMIFS('6.3 Asset_Health'!AI$11:AI$720,'6.3 Asset_Health'!$G$11:$G$720,$G106,'6.3 Asset_Health'!$M$11:$M$720,$M106)</f>
        <v>0</v>
      </c>
    </row>
    <row r="107" spans="1:35" s="435" customFormat="1">
      <c r="D107" s="435" t="s">
        <v>79</v>
      </c>
      <c r="G107" s="435" t="s">
        <v>86</v>
      </c>
      <c r="H107" s="435" t="s">
        <v>2669</v>
      </c>
      <c r="I107" s="435" t="s">
        <v>7</v>
      </c>
      <c r="J107" s="435" t="s">
        <v>299</v>
      </c>
      <c r="M107" s="435" t="s">
        <v>863</v>
      </c>
      <c r="AC107" s="435" t="s">
        <v>965</v>
      </c>
      <c r="AE107" s="813">
        <f>SUMIFS('6.3 Asset_Health'!AE$11:AE$720,'6.3 Asset_Health'!$G$11:$G$720,$G107,'6.3 Asset_Health'!$M$11:$M$720,$M107)</f>
        <v>0</v>
      </c>
      <c r="AF107" s="813">
        <f>SUMIFS('6.3 Asset_Health'!AF$11:AF$720,'6.3 Asset_Health'!$G$11:$G$720,$G107,'6.3 Asset_Health'!$M$11:$M$720,$M107)</f>
        <v>0</v>
      </c>
      <c r="AG107" s="813">
        <f>SUMIFS('6.3 Asset_Health'!AG$11:AG$720,'6.3 Asset_Health'!$G$11:$G$720,$G107,'6.3 Asset_Health'!$M$11:$M$720,$M107)</f>
        <v>0</v>
      </c>
      <c r="AH107" s="813">
        <f>SUMIFS('6.3 Asset_Health'!AH$11:AH$720,'6.3 Asset_Health'!$G$11:$G$720,$G107,'6.3 Asset_Health'!$M$11:$M$720,$M107)</f>
        <v>0</v>
      </c>
      <c r="AI107" s="813">
        <f>SUMIFS('6.3 Asset_Health'!AI$11:AI$720,'6.3 Asset_Health'!$G$11:$G$720,$G107,'6.3 Asset_Health'!$M$11:$M$720,$M107)</f>
        <v>0</v>
      </c>
    </row>
    <row r="108" spans="1:35" s="435" customFormat="1">
      <c r="D108" s="435" t="s">
        <v>79</v>
      </c>
      <c r="G108" s="435" t="s">
        <v>86</v>
      </c>
      <c r="H108" s="435" t="s">
        <v>2669</v>
      </c>
      <c r="I108" s="435" t="s">
        <v>7</v>
      </c>
      <c r="J108" s="435" t="s">
        <v>299</v>
      </c>
      <c r="M108" s="435" t="s">
        <v>864</v>
      </c>
      <c r="AC108" s="435" t="s">
        <v>965</v>
      </c>
      <c r="AE108" s="813">
        <f>SUMIFS('6.3 Asset_Health'!AE$11:AE$720,'6.3 Asset_Health'!$G$11:$G$720,$G108,'6.3 Asset_Health'!$M$11:$M$720,$M108)</f>
        <v>0</v>
      </c>
      <c r="AF108" s="813">
        <f>SUMIFS('6.3 Asset_Health'!AF$11:AF$720,'6.3 Asset_Health'!$G$11:$G$720,$G108,'6.3 Asset_Health'!$M$11:$M$720,$M108)</f>
        <v>0</v>
      </c>
      <c r="AG108" s="813">
        <f>SUMIFS('6.3 Asset_Health'!AG$11:AG$720,'6.3 Asset_Health'!$G$11:$G$720,$G108,'6.3 Asset_Health'!$M$11:$M$720,$M108)</f>
        <v>0</v>
      </c>
      <c r="AH108" s="813">
        <f>SUMIFS('6.3 Asset_Health'!AH$11:AH$720,'6.3 Asset_Health'!$G$11:$G$720,$G108,'6.3 Asset_Health'!$M$11:$M$720,$M108)</f>
        <v>0</v>
      </c>
      <c r="AI108" s="813">
        <f>SUMIFS('6.3 Asset_Health'!AI$11:AI$720,'6.3 Asset_Health'!$G$11:$G$720,$G108,'6.3 Asset_Health'!$M$11:$M$720,$M108)</f>
        <v>0</v>
      </c>
    </row>
    <row r="109" spans="1:35" s="435" customFormat="1">
      <c r="D109" s="435" t="s">
        <v>79</v>
      </c>
      <c r="G109" s="435" t="s">
        <v>86</v>
      </c>
      <c r="H109" s="435" t="s">
        <v>2669</v>
      </c>
      <c r="I109" s="435" t="s">
        <v>7</v>
      </c>
      <c r="J109" s="435" t="s">
        <v>299</v>
      </c>
      <c r="M109" s="435" t="s">
        <v>860</v>
      </c>
      <c r="AC109" s="435" t="s">
        <v>965</v>
      </c>
      <c r="AE109" s="813">
        <f>SUMIFS('6.3 Asset_Health'!AE$11:AE$720,'6.3 Asset_Health'!$G$11:$G$720,$G109,'6.3 Asset_Health'!$M$11:$M$720,$M109)</f>
        <v>0</v>
      </c>
      <c r="AF109" s="813">
        <f>SUMIFS('6.3 Asset_Health'!AF$11:AF$720,'6.3 Asset_Health'!$G$11:$G$720,$G109,'6.3 Asset_Health'!$M$11:$M$720,$M109)</f>
        <v>0</v>
      </c>
      <c r="AG109" s="813">
        <f>SUMIFS('6.3 Asset_Health'!AG$11:AG$720,'6.3 Asset_Health'!$G$11:$G$720,$G109,'6.3 Asset_Health'!$M$11:$M$720,$M109)</f>
        <v>0</v>
      </c>
      <c r="AH109" s="813">
        <f>SUMIFS('6.3 Asset_Health'!AH$11:AH$720,'6.3 Asset_Health'!$G$11:$G$720,$G109,'6.3 Asset_Health'!$M$11:$M$720,$M109)</f>
        <v>0</v>
      </c>
      <c r="AI109" s="813">
        <f>SUMIFS('6.3 Asset_Health'!AI$11:AI$720,'6.3 Asset_Health'!$G$11:$G$720,$G109,'6.3 Asset_Health'!$M$11:$M$720,$M109)</f>
        <v>0</v>
      </c>
    </row>
    <row r="111" spans="1:35" s="73" customFormat="1" ht="18">
      <c r="A111" s="74" t="s">
        <v>76</v>
      </c>
    </row>
  </sheetData>
  <mergeCells count="1">
    <mergeCell ref="AE6:AI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59999389629810485"/>
  </sheetPr>
  <dimension ref="A1:AK43"/>
  <sheetViews>
    <sheetView zoomScale="80" zoomScaleNormal="80" workbookViewId="0">
      <pane ySplit="8" topLeftCell="A9" activePane="bottomLeft" state="frozen"/>
      <selection activeCell="A5" sqref="A5"/>
      <selection pane="bottomLeft"/>
    </sheetView>
  </sheetViews>
  <sheetFormatPr defaultRowHeight="14.25"/>
  <cols>
    <col min="1" max="3" width="1.73046875" customWidth="1"/>
    <col min="4" max="4" width="8.1328125" bestFit="1" customWidth="1"/>
    <col min="5" max="5" width="5" bestFit="1" customWidth="1"/>
    <col min="6" max="7" width="5" style="435" customWidth="1"/>
    <col min="8" max="8" width="13.73046875" bestFit="1" customWidth="1"/>
    <col min="9" max="9" width="9.3984375" bestFit="1" customWidth="1"/>
    <col min="10" max="10" width="37.73046875" bestFit="1" customWidth="1"/>
    <col min="11" max="11" width="11.86328125" customWidth="1"/>
    <col min="12" max="12" width="12.265625" customWidth="1"/>
    <col min="14" max="14" width="20.73046875" bestFit="1" customWidth="1"/>
    <col min="15" max="15" width="7.265625" bestFit="1" customWidth="1"/>
    <col min="16" max="16" width="15.3984375" customWidth="1"/>
    <col min="17" max="17" width="13.1328125" customWidth="1"/>
    <col min="18" max="27" width="1.73046875" customWidth="1"/>
    <col min="28" max="28" width="1.86328125" customWidth="1"/>
    <col min="29" max="29" width="5" bestFit="1" customWidth="1"/>
    <col min="30" max="30" width="7.73046875" customWidth="1"/>
  </cols>
  <sheetData>
    <row r="1" spans="1:37" s="73" customFormat="1" ht="23.25">
      <c r="A1" s="89" t="str">
        <f>'1.1 Cover'!A2</f>
        <v>Regulatory Reporting Pack</v>
      </c>
    </row>
    <row r="2" spans="1:37" s="73" customFormat="1" ht="23.25">
      <c r="A2" s="89" t="str">
        <f>'1.1 Cover'!A3</f>
        <v>Price base - 2018/19</v>
      </c>
    </row>
    <row r="3" spans="1:37" s="73" customFormat="1" ht="23.25">
      <c r="A3" s="89" t="str">
        <f>'1.1 Cover'!A4</f>
        <v>Regulatory Year: April 2021 - March 2022</v>
      </c>
    </row>
    <row r="4" spans="1:37" s="73" customFormat="1" ht="23.25">
      <c r="A4" s="89" t="s">
        <v>1086</v>
      </c>
    </row>
    <row r="6" spans="1:37">
      <c r="AD6" s="435"/>
      <c r="AE6" s="1347" t="s">
        <v>112</v>
      </c>
      <c r="AF6" s="1348"/>
      <c r="AG6" s="1348"/>
      <c r="AH6" s="1348"/>
      <c r="AI6" s="1349"/>
    </row>
    <row r="7" spans="1:37" s="67" customFormat="1">
      <c r="D7" s="87" t="s">
        <v>111</v>
      </c>
      <c r="E7" s="87" t="s">
        <v>68</v>
      </c>
      <c r="F7" s="87"/>
      <c r="G7" s="87"/>
      <c r="H7" s="87" t="s">
        <v>110</v>
      </c>
      <c r="I7" s="87" t="s">
        <v>109</v>
      </c>
      <c r="J7" s="87" t="s">
        <v>108</v>
      </c>
      <c r="K7" s="87" t="s">
        <v>107</v>
      </c>
      <c r="L7" s="87" t="s">
        <v>106</v>
      </c>
      <c r="M7" s="87" t="s">
        <v>105</v>
      </c>
      <c r="N7" s="87" t="s">
        <v>104</v>
      </c>
      <c r="O7" s="87" t="s">
        <v>103</v>
      </c>
      <c r="P7" s="87" t="s">
        <v>102</v>
      </c>
      <c r="Q7" s="87" t="s">
        <v>71</v>
      </c>
      <c r="R7" s="86" t="s">
        <v>101</v>
      </c>
      <c r="S7" s="86" t="s">
        <v>100</v>
      </c>
      <c r="T7" s="86" t="s">
        <v>99</v>
      </c>
      <c r="U7" s="86" t="s">
        <v>98</v>
      </c>
      <c r="V7" s="86" t="s">
        <v>97</v>
      </c>
      <c r="W7" s="86" t="s">
        <v>96</v>
      </c>
      <c r="X7" s="86" t="s">
        <v>95</v>
      </c>
      <c r="Y7" s="86" t="s">
        <v>94</v>
      </c>
      <c r="Z7" s="86" t="s">
        <v>93</v>
      </c>
      <c r="AA7" s="86" t="s">
        <v>92</v>
      </c>
      <c r="AB7" s="86" t="s">
        <v>91</v>
      </c>
      <c r="AC7" s="67" t="s">
        <v>5</v>
      </c>
      <c r="AE7" s="84">
        <v>2022</v>
      </c>
      <c r="AF7" s="83">
        <v>2023</v>
      </c>
      <c r="AG7" s="83">
        <v>2024</v>
      </c>
      <c r="AH7" s="83">
        <v>2025</v>
      </c>
      <c r="AI7" s="82">
        <v>2026</v>
      </c>
    </row>
    <row r="8" spans="1:37">
      <c r="R8" s="67"/>
      <c r="S8" s="67"/>
      <c r="T8" s="67"/>
      <c r="U8" s="67"/>
    </row>
    <row r="9" spans="1:37" s="1" customFormat="1" ht="17.649999999999999">
      <c r="B9" s="2" t="s">
        <v>274</v>
      </c>
    </row>
    <row r="11" spans="1:37" s="1" customFormat="1" ht="13.9">
      <c r="A11" s="66"/>
      <c r="B11" s="78" t="s">
        <v>942</v>
      </c>
    </row>
    <row r="13" spans="1:37">
      <c r="D13" t="s">
        <v>79</v>
      </c>
      <c r="E13" t="s">
        <v>68</v>
      </c>
      <c r="H13" t="s">
        <v>269</v>
      </c>
      <c r="I13" t="s">
        <v>1</v>
      </c>
      <c r="J13" t="s">
        <v>271</v>
      </c>
      <c r="K13" s="96"/>
      <c r="L13" s="96"/>
      <c r="N13" t="s">
        <v>272</v>
      </c>
      <c r="O13" t="s">
        <v>222</v>
      </c>
      <c r="P13" s="76"/>
      <c r="Q13" s="76"/>
      <c r="R13" s="76"/>
      <c r="S13" s="76"/>
      <c r="T13" s="76"/>
      <c r="U13" s="76"/>
      <c r="AC13" t="s">
        <v>2</v>
      </c>
      <c r="AD13" s="80"/>
      <c r="AE13" s="81"/>
      <c r="AF13" s="81"/>
      <c r="AG13" s="81"/>
      <c r="AH13" s="81"/>
      <c r="AI13" s="81"/>
      <c r="AK13" s="435"/>
    </row>
    <row r="14" spans="1:37">
      <c r="D14" t="s">
        <v>79</v>
      </c>
      <c r="E14" t="s">
        <v>68</v>
      </c>
      <c r="H14" t="s">
        <v>269</v>
      </c>
      <c r="I14" t="s">
        <v>7</v>
      </c>
      <c r="J14" t="s">
        <v>271</v>
      </c>
      <c r="K14" s="96"/>
      <c r="L14" s="96"/>
      <c r="N14" t="s">
        <v>272</v>
      </c>
      <c r="O14" t="s">
        <v>222</v>
      </c>
      <c r="P14" s="76"/>
      <c r="Q14" s="76"/>
      <c r="R14" s="76"/>
      <c r="S14" s="76"/>
      <c r="T14" s="76"/>
      <c r="U14" s="76"/>
      <c r="AC14" t="s">
        <v>2</v>
      </c>
      <c r="AD14" s="80"/>
      <c r="AE14" s="81"/>
      <c r="AF14" s="81"/>
      <c r="AG14" s="81"/>
      <c r="AH14" s="81"/>
      <c r="AI14" s="81"/>
    </row>
    <row r="16" spans="1:37" s="1" customFormat="1" ht="13.9">
      <c r="A16" s="66"/>
      <c r="B16" s="78" t="s">
        <v>943</v>
      </c>
    </row>
    <row r="18" spans="1:37">
      <c r="D18" t="s">
        <v>185</v>
      </c>
      <c r="E18" t="s">
        <v>68</v>
      </c>
      <c r="H18" t="s">
        <v>269</v>
      </c>
      <c r="I18" t="s">
        <v>1</v>
      </c>
      <c r="J18" t="s">
        <v>271</v>
      </c>
      <c r="K18" s="96"/>
      <c r="L18" s="96"/>
      <c r="N18" t="s">
        <v>272</v>
      </c>
      <c r="O18" t="s">
        <v>222</v>
      </c>
      <c r="P18" s="76"/>
      <c r="Q18" s="76"/>
      <c r="R18" s="76"/>
      <c r="S18" s="76"/>
      <c r="T18" s="76"/>
      <c r="U18" s="76"/>
      <c r="AC18" t="s">
        <v>2</v>
      </c>
      <c r="AD18" s="80"/>
      <c r="AE18" s="81"/>
      <c r="AF18" s="81"/>
      <c r="AG18" s="81"/>
      <c r="AH18" s="81"/>
      <c r="AI18" s="81"/>
    </row>
    <row r="19" spans="1:37">
      <c r="D19" t="s">
        <v>185</v>
      </c>
      <c r="E19" t="s">
        <v>68</v>
      </c>
      <c r="H19" t="s">
        <v>269</v>
      </c>
      <c r="I19" t="s">
        <v>7</v>
      </c>
      <c r="J19" t="s">
        <v>271</v>
      </c>
      <c r="K19" s="96"/>
      <c r="L19" s="96"/>
      <c r="N19" t="s">
        <v>272</v>
      </c>
      <c r="O19" t="s">
        <v>222</v>
      </c>
      <c r="P19" s="76"/>
      <c r="Q19" s="76"/>
      <c r="R19" s="76"/>
      <c r="S19" s="76"/>
      <c r="T19" s="76"/>
      <c r="U19" s="76"/>
      <c r="AC19" t="s">
        <v>2</v>
      </c>
      <c r="AD19" s="80"/>
      <c r="AE19" s="81"/>
      <c r="AF19" s="81"/>
      <c r="AG19" s="81"/>
      <c r="AH19" s="81"/>
      <c r="AI19" s="81"/>
    </row>
    <row r="21" spans="1:37" s="1" customFormat="1" ht="13.9">
      <c r="A21" s="66"/>
      <c r="B21" s="78" t="s">
        <v>944</v>
      </c>
    </row>
    <row r="23" spans="1:37">
      <c r="D23" t="s">
        <v>79</v>
      </c>
      <c r="E23" t="s">
        <v>149</v>
      </c>
      <c r="H23" t="s">
        <v>269</v>
      </c>
      <c r="I23" t="s">
        <v>1</v>
      </c>
      <c r="J23" t="s">
        <v>271</v>
      </c>
      <c r="K23" s="96"/>
      <c r="L23" s="96"/>
      <c r="N23" t="s">
        <v>273</v>
      </c>
      <c r="O23" t="s">
        <v>221</v>
      </c>
      <c r="P23" s="76"/>
      <c r="Q23" s="76"/>
      <c r="R23" s="76"/>
      <c r="S23" s="76"/>
      <c r="T23" s="76"/>
      <c r="U23" s="76"/>
      <c r="AC23" t="s">
        <v>2</v>
      </c>
      <c r="AD23" s="80"/>
      <c r="AE23" s="81"/>
      <c r="AF23" s="81"/>
      <c r="AG23" s="81"/>
      <c r="AH23" s="81"/>
      <c r="AI23" s="81"/>
      <c r="AK23" s="435"/>
    </row>
    <row r="24" spans="1:37">
      <c r="D24" t="s">
        <v>79</v>
      </c>
      <c r="E24" t="s">
        <v>149</v>
      </c>
      <c r="H24" t="s">
        <v>269</v>
      </c>
      <c r="I24" t="s">
        <v>7</v>
      </c>
      <c r="J24" t="s">
        <v>271</v>
      </c>
      <c r="K24" s="96"/>
      <c r="L24" s="96"/>
      <c r="N24" s="435" t="s">
        <v>273</v>
      </c>
      <c r="O24" t="s">
        <v>221</v>
      </c>
      <c r="P24" s="76"/>
      <c r="Q24" s="76"/>
      <c r="R24" s="76"/>
      <c r="S24" s="76"/>
      <c r="T24" s="76"/>
      <c r="U24" s="76"/>
      <c r="AC24" t="s">
        <v>2</v>
      </c>
      <c r="AD24" s="80"/>
      <c r="AE24" s="81"/>
      <c r="AF24" s="81"/>
      <c r="AG24" s="81"/>
      <c r="AH24" s="81"/>
      <c r="AI24" s="81"/>
    </row>
    <row r="25" spans="1:37">
      <c r="K25" s="96"/>
      <c r="L25" s="96"/>
      <c r="P25" s="76"/>
      <c r="Q25" s="76"/>
      <c r="R25" s="76"/>
      <c r="S25" s="76"/>
      <c r="T25" s="76"/>
      <c r="U25" s="76"/>
      <c r="AD25" s="80"/>
    </row>
    <row r="26" spans="1:37" s="1" customFormat="1" ht="17.649999999999999">
      <c r="B26" s="2" t="s">
        <v>296</v>
      </c>
    </row>
    <row r="28" spans="1:37" s="1" customFormat="1" ht="13.9">
      <c r="A28" s="66"/>
      <c r="B28" s="78" t="s">
        <v>942</v>
      </c>
    </row>
    <row r="30" spans="1:37">
      <c r="D30" t="s">
        <v>79</v>
      </c>
      <c r="E30" t="s">
        <v>68</v>
      </c>
      <c r="H30" t="s">
        <v>269</v>
      </c>
      <c r="I30" t="s">
        <v>1</v>
      </c>
      <c r="J30" t="s">
        <v>271</v>
      </c>
      <c r="K30" s="96"/>
      <c r="L30" s="96"/>
      <c r="N30" t="s">
        <v>272</v>
      </c>
      <c r="O30" t="s">
        <v>3072</v>
      </c>
      <c r="P30" s="76"/>
      <c r="Q30" s="76"/>
      <c r="R30" s="76"/>
      <c r="S30" s="76"/>
      <c r="T30" s="76"/>
      <c r="U30" s="76"/>
      <c r="AC30" t="s">
        <v>2</v>
      </c>
      <c r="AD30" s="80"/>
      <c r="AE30" s="81"/>
      <c r="AF30" s="81"/>
      <c r="AG30" s="81"/>
      <c r="AH30" s="81"/>
      <c r="AI30" s="81"/>
    </row>
    <row r="31" spans="1:37">
      <c r="D31" t="s">
        <v>79</v>
      </c>
      <c r="E31" t="s">
        <v>68</v>
      </c>
      <c r="H31" t="s">
        <v>269</v>
      </c>
      <c r="I31" t="s">
        <v>7</v>
      </c>
      <c r="J31" t="s">
        <v>271</v>
      </c>
      <c r="K31" s="96"/>
      <c r="L31" s="96"/>
      <c r="N31" t="s">
        <v>272</v>
      </c>
      <c r="O31" s="435" t="s">
        <v>3072</v>
      </c>
      <c r="P31" s="76"/>
      <c r="Q31" s="76"/>
      <c r="R31" s="76"/>
      <c r="S31" s="76"/>
      <c r="T31" s="76"/>
      <c r="U31" s="76"/>
      <c r="AC31" t="s">
        <v>2</v>
      </c>
      <c r="AD31" s="80"/>
      <c r="AE31" s="81"/>
      <c r="AF31" s="81"/>
      <c r="AG31" s="81"/>
      <c r="AH31" s="81"/>
      <c r="AI31" s="81"/>
    </row>
    <row r="33" spans="1:35" s="1" customFormat="1" ht="13.9">
      <c r="A33" s="66"/>
      <c r="B33" s="78" t="s">
        <v>943</v>
      </c>
    </row>
    <row r="35" spans="1:35">
      <c r="D35" t="s">
        <v>185</v>
      </c>
      <c r="E35" t="s">
        <v>68</v>
      </c>
      <c r="H35" t="s">
        <v>269</v>
      </c>
      <c r="I35" t="s">
        <v>1</v>
      </c>
      <c r="J35" t="s">
        <v>271</v>
      </c>
      <c r="K35" s="96"/>
      <c r="L35" s="96"/>
      <c r="N35" t="s">
        <v>272</v>
      </c>
      <c r="O35" s="435" t="s">
        <v>3072</v>
      </c>
      <c r="P35" s="76"/>
      <c r="Q35" s="76"/>
      <c r="R35" s="76"/>
      <c r="S35" s="76"/>
      <c r="T35" s="76"/>
      <c r="U35" s="76"/>
      <c r="AC35" t="s">
        <v>2</v>
      </c>
      <c r="AD35" s="80"/>
      <c r="AE35" s="81"/>
      <c r="AF35" s="81"/>
      <c r="AG35" s="81"/>
      <c r="AH35" s="81"/>
      <c r="AI35" s="81"/>
    </row>
    <row r="36" spans="1:35">
      <c r="D36" t="s">
        <v>185</v>
      </c>
      <c r="E36" t="s">
        <v>68</v>
      </c>
      <c r="H36" t="s">
        <v>269</v>
      </c>
      <c r="I36" t="s">
        <v>7</v>
      </c>
      <c r="J36" t="s">
        <v>271</v>
      </c>
      <c r="K36" s="96"/>
      <c r="L36" s="96"/>
      <c r="N36" t="s">
        <v>272</v>
      </c>
      <c r="O36" s="435" t="s">
        <v>3072</v>
      </c>
      <c r="P36" s="76"/>
      <c r="Q36" s="76"/>
      <c r="R36" s="76"/>
      <c r="S36" s="76"/>
      <c r="T36" s="76"/>
      <c r="U36" s="76"/>
      <c r="AC36" t="s">
        <v>2</v>
      </c>
      <c r="AD36" s="80"/>
      <c r="AE36" s="81"/>
      <c r="AF36" s="81"/>
      <c r="AG36" s="81"/>
      <c r="AH36" s="81"/>
      <c r="AI36" s="81"/>
    </row>
    <row r="38" spans="1:35" s="1" customFormat="1" ht="13.9">
      <c r="A38" s="66"/>
      <c r="B38" s="78" t="s">
        <v>944</v>
      </c>
    </row>
    <row r="40" spans="1:35">
      <c r="D40" s="435" t="s">
        <v>79</v>
      </c>
      <c r="E40" t="s">
        <v>149</v>
      </c>
      <c r="H40" t="s">
        <v>269</v>
      </c>
      <c r="I40" t="s">
        <v>1</v>
      </c>
      <c r="J40" t="s">
        <v>271</v>
      </c>
      <c r="K40" s="96"/>
      <c r="L40" s="96"/>
      <c r="N40" t="s">
        <v>273</v>
      </c>
      <c r="O40" t="s">
        <v>3073</v>
      </c>
      <c r="P40" s="76"/>
      <c r="Q40" s="76"/>
      <c r="R40" s="76"/>
      <c r="S40" s="76"/>
      <c r="T40" s="76"/>
      <c r="U40" s="76"/>
      <c r="AC40" t="s">
        <v>2</v>
      </c>
      <c r="AD40" s="80"/>
      <c r="AE40" s="81"/>
      <c r="AF40" s="81"/>
      <c r="AG40" s="81"/>
      <c r="AH40" s="81"/>
      <c r="AI40" s="81"/>
    </row>
    <row r="41" spans="1:35">
      <c r="D41" s="435" t="s">
        <v>79</v>
      </c>
      <c r="E41" t="s">
        <v>149</v>
      </c>
      <c r="H41" t="s">
        <v>269</v>
      </c>
      <c r="I41" t="s">
        <v>7</v>
      </c>
      <c r="J41" t="s">
        <v>271</v>
      </c>
      <c r="K41" s="96"/>
      <c r="L41" s="96"/>
      <c r="N41" t="s">
        <v>273</v>
      </c>
      <c r="O41" s="435" t="s">
        <v>3073</v>
      </c>
      <c r="P41" s="76"/>
      <c r="Q41" s="76"/>
      <c r="R41" s="76"/>
      <c r="S41" s="76"/>
      <c r="T41" s="76"/>
      <c r="U41" s="76"/>
      <c r="AC41" t="s">
        <v>2</v>
      </c>
      <c r="AD41" s="80"/>
      <c r="AE41" s="81"/>
      <c r="AF41" s="81"/>
      <c r="AG41" s="81"/>
      <c r="AH41" s="81"/>
      <c r="AI41" s="81"/>
    </row>
    <row r="43" spans="1:35" s="73" customFormat="1" ht="18">
      <c r="A43" s="74" t="s">
        <v>76</v>
      </c>
    </row>
  </sheetData>
  <mergeCells count="1">
    <mergeCell ref="AE6:AI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Analysis" ma:contentTypeID="0x0101004C9F495A7355574383679A0A27B2912100EA173FD8BA8CDA4A8A3023E100EA169F" ma:contentTypeVersion="10" ma:contentTypeDescription="This is used to create spreadsheets" ma:contentTypeScope="" ma:versionID="d232fbd6b6f6ded1419a23867ec122f5">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9fc8d84820d098ed6ec4940ef6c4aa33"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a9306fc-8436-45f0-b931-e34f519be3a3" ContentTypeId="0x0101004C9F495A7355574383679A0A27B29121" PreviousValue="true"/>
</file>

<file path=customXml/item3.xml><?xml version="1.0" encoding="utf-8"?>
<p:properties xmlns:p="http://schemas.microsoft.com/office/2006/metadata/properties" xmlns:xsi="http://www.w3.org/2001/XMLSchema-instance" xmlns:pc="http://schemas.microsoft.com/office/infopath/2007/PartnerControls">
  <documentManagement>
    <_Status xmlns="http://schemas.microsoft.com/sharepoint/v3/fields">Draft</_Status>
    <Descriptor xmlns="631298fc-6a88-4548-b7d9-3b164918c4a3" xsi:nil="true"/>
    <Classification xmlns="631298fc-6a88-4548-b7d9-3b164918c4a3">Unclassified</Classification>
    <Organisation xmlns="631298fc-6a88-4548-b7d9-3b164918c4a3">Choose an Organisation</Organisation>
    <Applicable_x0020_Start_x0020_Date xmlns="631298fc-6a88-4548-b7d9-3b164918c4a3" xsi:nil="true"/>
    <Applicable_x0020_Duration xmlns="631298fc-6a88-4548-b7d9-3b164918c4a3">-</Applicable_x0020_Duration>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1DE9AEEA-C243-4A88-9647-1949C6D769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7D1891-4A7D-4FD0-91B5-82E0AA38B60B}">
  <ds:schemaRefs>
    <ds:schemaRef ds:uri="Microsoft.SharePoint.Taxonomy.ContentTypeSync"/>
  </ds:schemaRefs>
</ds:datastoreItem>
</file>

<file path=customXml/itemProps3.xml><?xml version="1.0" encoding="utf-8"?>
<ds:datastoreItem xmlns:ds="http://schemas.openxmlformats.org/officeDocument/2006/customXml" ds:itemID="{2241F692-1162-4601-86FD-B9FF3A8C603D}">
  <ds:schemaRefs>
    <ds:schemaRef ds:uri="http://schemas.microsoft.com/office/infopath/2007/PartnerControls"/>
    <ds:schemaRef ds:uri="http://purl.org/dc/elements/1.1/"/>
    <ds:schemaRef ds:uri="http://www.w3.org/XML/1998/namespace"/>
    <ds:schemaRef ds:uri="http://schemas.microsoft.com/sharepoint/v3/fields"/>
    <ds:schemaRef ds:uri="http://purl.org/dc/dcmitype/"/>
    <ds:schemaRef ds:uri="http://purl.org/dc/terms/"/>
    <ds:schemaRef ds:uri="http://schemas.microsoft.com/office/2006/documentManagement/types"/>
    <ds:schemaRef ds:uri="http://schemas.openxmlformats.org/package/2006/metadata/core-properties"/>
    <ds:schemaRef ds:uri="631298fc-6a88-4548-b7d9-3b164918c4a3"/>
    <ds:schemaRef ds:uri="http://schemas.microsoft.com/office/2006/metadata/properties"/>
  </ds:schemaRefs>
</ds:datastoreItem>
</file>

<file path=customXml/itemProps4.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5.xml><?xml version="1.0" encoding="utf-8"?>
<ds:datastoreItem xmlns:ds="http://schemas.openxmlformats.org/officeDocument/2006/customXml" ds:itemID="{4B984258-822C-499E-BFBC-2838113F73E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103</vt:i4>
      </vt:variant>
    </vt:vector>
  </HeadingPairs>
  <TitlesOfParts>
    <vt:vector size="180" baseType="lpstr">
      <vt:lpstr>1.1 Cover</vt:lpstr>
      <vt:lpstr>1.2 Contents</vt:lpstr>
      <vt:lpstr>1.3 Lists</vt:lpstr>
      <vt:lpstr>1.4 ChangesLog</vt:lpstr>
      <vt:lpstr>1.5 Universal Data</vt:lpstr>
      <vt:lpstr>1.6 Checks</vt:lpstr>
      <vt:lpstr>2.1 Revenue_Interface</vt:lpstr>
      <vt:lpstr>2.2 NARM_Interface</vt:lpstr>
      <vt:lpstr>2.3 Resilience Interface</vt:lpstr>
      <vt:lpstr>3.1 TO_Totex</vt:lpstr>
      <vt:lpstr>3.2 SO_Totex</vt:lpstr>
      <vt:lpstr>3.3 Allowances</vt:lpstr>
      <vt:lpstr>3.4 Totex_Summary</vt:lpstr>
      <vt:lpstr>3.5 Forecast_Totex</vt:lpstr>
      <vt:lpstr>4.1 TO PCFM Input Summary</vt:lpstr>
      <vt:lpstr>4.2 SO PCFM Input Summary</vt:lpstr>
      <vt:lpstr>4.3 TO PCDs</vt:lpstr>
      <vt:lpstr>4.4 SO PCDs </vt:lpstr>
      <vt:lpstr>4.5 TO Re-openers</vt:lpstr>
      <vt:lpstr>4.6 SO Re-openers</vt:lpstr>
      <vt:lpstr>4.7 TO PT</vt:lpstr>
      <vt:lpstr>4.8 SO PT </vt:lpstr>
      <vt:lpstr>4.9 Opex Escalator</vt:lpstr>
      <vt:lpstr>4.10 TO ODI</vt:lpstr>
      <vt:lpstr>4.11 TO ORA</vt:lpstr>
      <vt:lpstr>4.12 SO ORA</vt:lpstr>
      <vt:lpstr>4.13 TO Tax Pools Totex alloc</vt:lpstr>
      <vt:lpstr>4.14 SO Tax Pools Totex alloc</vt:lpstr>
      <vt:lpstr>5.1 TO_Indirects</vt:lpstr>
      <vt:lpstr>5.2 SO_Indirects</vt:lpstr>
      <vt:lpstr>5.3 TO_Direct_Opex</vt:lpstr>
      <vt:lpstr>5.4 SO_Direct_Opex</vt:lpstr>
      <vt:lpstr>5.5 Cost_Movements</vt:lpstr>
      <vt:lpstr>5.6 Quarry_Loss_CV</vt:lpstr>
      <vt:lpstr>5.7 PSUP_Opex</vt:lpstr>
      <vt:lpstr>3.9 Related_Party</vt:lpstr>
      <vt:lpstr>5.8 Provisions</vt:lpstr>
      <vt:lpstr>5.9 Bus_Sup_Alloc</vt:lpstr>
      <vt:lpstr>6.1_Capex_summary</vt:lpstr>
      <vt:lpstr>6.2_Projects</vt:lpstr>
      <vt:lpstr>6.3 Asset_Health</vt:lpstr>
      <vt:lpstr>6.4 Asset Health_Projects</vt:lpstr>
      <vt:lpstr>6.5 Redundant_Assets</vt:lpstr>
      <vt:lpstr>6.6 PSUP_Capex</vt:lpstr>
      <vt:lpstr>6.7 TO_NonOp_Capex</vt:lpstr>
      <vt:lpstr>6.8 SO_NonOp_Capex</vt:lpstr>
      <vt:lpstr>7.1_Pipeline_data</vt:lpstr>
      <vt:lpstr>7.2_Activity_Ind</vt:lpstr>
      <vt:lpstr>7.3_Peak_Demand</vt:lpstr>
      <vt:lpstr>7.4_Demand_Perf</vt:lpstr>
      <vt:lpstr>7.5_Compressor_Util_Perf</vt:lpstr>
      <vt:lpstr>7.6_Compressor_Assets</vt:lpstr>
      <vt:lpstr>7.7_Emissions</vt:lpstr>
      <vt:lpstr>7.8 Asset_data</vt:lpstr>
      <vt:lpstr>7.8_Forecast_Scenarios</vt:lpstr>
      <vt:lpstr>8.1_Satisfacton_Survey</vt:lpstr>
      <vt:lpstr>8.2 BCF</vt:lpstr>
      <vt:lpstr>8.3 Environmental Scorecard</vt:lpstr>
      <vt:lpstr>8.4 Gas_contraints</vt:lpstr>
      <vt:lpstr>8.5 Gas_contraint_events</vt:lpstr>
      <vt:lpstr>8.6 NIA</vt:lpstr>
      <vt:lpstr>8.7 NIC</vt:lpstr>
      <vt:lpstr>8.8 CNIA</vt:lpstr>
      <vt:lpstr>8.9 SIF</vt:lpstr>
      <vt:lpstr>8.10 Pipeline Log</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ECNIAt</vt:lpstr>
      <vt:lpstr>ENIA2020_21</vt:lpstr>
      <vt:lpstr>HYINt</vt:lpstr>
      <vt:lpstr>NIAEt</vt:lpstr>
      <vt:lpstr>NIAV2020_21</vt:lpstr>
      <vt:lpstr>SIFFt</vt:lpstr>
      <vt:lpstr>SOActualBadDebtcostincurred</vt:lpstr>
      <vt:lpstr>SOCDSPt</vt:lpstr>
      <vt:lpstr>SOCRITOt</vt:lpstr>
      <vt:lpstr>SOCRITRAt</vt:lpstr>
      <vt:lpstr>SOCRITROt</vt:lpstr>
      <vt:lpstr>SOCROTOt</vt:lpstr>
      <vt:lpstr>SOCROTRAt</vt:lpstr>
      <vt:lpstr>SOCROTROt</vt:lpstr>
      <vt:lpstr>SOFIOCOt</vt:lpstr>
      <vt:lpstr>SOFIOCRAt</vt:lpstr>
      <vt:lpstr>SOFIOCROt</vt:lpstr>
      <vt:lpstr>SOInterestincomeaccruedadjustment</vt:lpstr>
      <vt:lpstr>SONOITt</vt:lpstr>
      <vt:lpstr>SONZOt</vt:lpstr>
      <vt:lpstr>SONZROt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TOAHt</vt:lpstr>
      <vt:lpstr>TOAIO</vt:lpstr>
      <vt:lpstr>TOAIOU</vt:lpstr>
      <vt:lpstr>TOALC</vt:lpstr>
      <vt:lpstr>TOALCU</vt:lpstr>
      <vt:lpstr>TOALTt</vt:lpstr>
      <vt:lpstr>TOANC</vt:lpstr>
      <vt:lpstr>TOANCU</vt:lpstr>
      <vt:lpstr>TOAOC</vt:lpstr>
      <vt:lpstr>TOAOCU</vt:lpstr>
      <vt:lpstr>TOARC</vt:lpstr>
      <vt:lpstr>TOARCU</vt:lpstr>
      <vt:lpstr>TOBPDt</vt:lpstr>
      <vt:lpstr>TOBTROt</vt:lpstr>
      <vt:lpstr>TOBTRRAt</vt:lpstr>
      <vt:lpstr>TOBTRROt</vt:lpstr>
      <vt:lpstr>TOCAMt</vt:lpstr>
      <vt:lpstr>TOCEPOt</vt:lpstr>
      <vt:lpstr>TOCEPRAt</vt:lpstr>
      <vt:lpstr>TOCEPROt</vt:lpstr>
      <vt:lpstr>TOCRITOt</vt:lpstr>
      <vt:lpstr>TOCRITRAt</vt:lpstr>
      <vt:lpstr>TOCRITROt</vt:lpstr>
      <vt:lpstr>TOCROTOt</vt:lpstr>
      <vt:lpstr>TOCROTRAt</vt:lpstr>
      <vt:lpstr>TOCROTROt</vt:lpstr>
      <vt:lpstr>TOCSPt</vt:lpstr>
      <vt:lpstr>TOEDEt</vt:lpstr>
      <vt:lpstr>TOFIOCOt</vt:lpstr>
      <vt:lpstr>TOFIOCRAt</vt:lpstr>
      <vt:lpstr>TOFIOCROt</vt:lpstr>
      <vt:lpstr>TOIDRSt</vt:lpstr>
      <vt:lpstr>TOInterestincomeaccruedadjustment</vt:lpstr>
      <vt:lpstr>TOKLSOt</vt:lpstr>
      <vt:lpstr>TOKLSRAt</vt:lpstr>
      <vt:lpstr>TOKLSROt</vt:lpstr>
      <vt:lpstr>TOLFt</vt:lpstr>
      <vt:lpstr>TONARMAHOt</vt:lpstr>
      <vt:lpstr>TONARMAHRt</vt:lpstr>
      <vt:lpstr>TONARMRt</vt:lpstr>
      <vt:lpstr>TONLAHOt</vt:lpstr>
      <vt:lpstr>TONLAHRt</vt:lpstr>
      <vt:lpstr>TONLARt</vt:lpstr>
      <vt:lpstr>TONOITt</vt:lpstr>
      <vt:lpstr>TONumberofQualifyingProjectswithnetEnvironmentalGainequaltoorabove15</vt:lpstr>
      <vt:lpstr>TONumberofQualifyingProjectswithnetEnvironmentalGainequaltoorlessthan5</vt:lpstr>
      <vt:lpstr>TONZOt</vt:lpstr>
      <vt:lpstr>TONZPSt</vt:lpstr>
      <vt:lpstr>TONZPt</vt:lpstr>
      <vt:lpstr>TONZROt</vt:lpstr>
      <vt:lpstr>TOOIDRSt</vt:lpstr>
      <vt:lpstr>TOOPTCt</vt:lpstr>
      <vt:lpstr>TOPOSDRSt</vt:lpstr>
      <vt:lpstr>TOPREDRSt</vt:lpstr>
      <vt:lpstr>TOProvisionalBadDebtcost</vt:lpstr>
      <vt:lpstr>TOPSUPOt</vt:lpstr>
      <vt:lpstr>TOPSUPRAt</vt:lpstr>
      <vt:lpstr>TOPSUPROt</vt:lpstr>
      <vt:lpstr>TOPTVt</vt:lpstr>
      <vt:lpstr>TOQLt_and_PDt</vt:lpstr>
      <vt:lpstr>TORARt</vt:lpstr>
      <vt:lpstr>TORBDt</vt:lpstr>
      <vt:lpstr>TORBt</vt:lpstr>
      <vt:lpstr>TORDFRt</vt:lpstr>
      <vt:lpstr>TOTotalannualoperationalandofficewaste</vt:lpstr>
      <vt:lpstr>TOTotalannualoperationalandofficewasterecycled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Emily Sprake</dc:creator>
  <cp:lastModifiedBy>Charlotte Booth</cp:lastModifiedBy>
  <dcterms:created xsi:type="dcterms:W3CDTF">2020-09-24T10:50:45Z</dcterms:created>
  <dcterms:modified xsi:type="dcterms:W3CDTF">2021-12-13T16:29:19Z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0x0101004C9F495A7355574383679A0A27B2912100EA173FD8BA8CDA4A8A3023E100EA169F</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d2dfaa66-c532-4d38-a42a-96e1fe67b871</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ies>
</file>